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0.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defaultThemeVersion="166925"/>
  <mc:AlternateContent xmlns:mc="http://schemas.openxmlformats.org/markup-compatibility/2006">
    <mc:Choice Requires="x15">
      <x15ac:absPath xmlns:x15ac="http://schemas.microsoft.com/office/spreadsheetml/2010/11/ac" url="https://greenpowerdenmark-my.sharepoint.com/personal/jpc_greenpowerdenmark_dk/Documents/Skrivebord/"/>
    </mc:Choice>
  </mc:AlternateContent>
  <xr:revisionPtr revIDLastSave="14" documentId="13_ncr:1_{BA53FD59-EBD2-448A-95BF-413B750840BC}" xr6:coauthVersionLast="47" xr6:coauthVersionMax="47" xr10:uidLastSave="{1CA447E3-1DB0-4BB8-8658-451C6D43BB6F}"/>
  <bookViews>
    <workbookView xWindow="-120" yWindow="-120" windowWidth="29040" windowHeight="15840" firstSheet="2" activeTab="7" xr2:uid="{5205622B-EDE5-488A-8401-177674F163D2}"/>
  </bookViews>
  <sheets>
    <sheet name="Forside" sheetId="28" r:id="rId1"/>
    <sheet name="Modeloverblik" sheetId="1" r:id="rId2"/>
    <sheet name="Disclaimer" sheetId="2" r:id="rId3"/>
    <sheet name="Opdateringslog, netselskab" sheetId="37" r:id="rId4"/>
    <sheet name="Opdateringslog, Green Power Den" sheetId="35" r:id="rId5"/>
    <sheet name="1. Output --&gt;" sheetId="24" r:id="rId6"/>
    <sheet name="1.1 Provenu" sheetId="19" r:id="rId7"/>
    <sheet name="1.2 Tarifoversigt" sheetId="20" r:id="rId8"/>
    <sheet name="1.3 Varslingsanalyse" sheetId="21" r:id="rId9"/>
    <sheet name="1.4 Hoveddata" sheetId="36" r:id="rId10"/>
    <sheet name="1.5 Indfødningstarif" sheetId="40" r:id="rId11"/>
    <sheet name="2. Input --&gt;" sheetId="22" r:id="rId12"/>
    <sheet name="2.1 Model setup" sheetId="4" r:id="rId13"/>
    <sheet name="2.2 Generelle input" sheetId="16" r:id="rId14"/>
    <sheet name="2.3 Selskabsspecifikke input" sheetId="11" r:id="rId15"/>
    <sheet name="3. Beregninger --&gt;" sheetId="23" r:id="rId16"/>
    <sheet name="3.1 Opsplitning af forbrug" sheetId="5" r:id="rId17"/>
    <sheet name="3.2 Abonnement" sheetId="17" r:id="rId18"/>
    <sheet name="3.3 Forbrugstariffer og effekt" sheetId="18" r:id="rId19"/>
    <sheet name="3.4 Tidsdifferentieret tarif" sheetId="29" r:id="rId20"/>
    <sheet name="3.5 Indfødningstarif" sheetId="39" r:id="rId21"/>
    <sheet name="4. Fejl- og kontrolark --&gt;" sheetId="31" r:id="rId22"/>
    <sheet name="4.1 Fejl- og kontroloversigt" sheetId="30" r:id="rId23"/>
    <sheet name="Hjælpeark --&gt;" sheetId="34" r:id="rId24"/>
    <sheet name="Hjælpeark, forbrugsnøgler" sheetId="33" r:id="rId25"/>
    <sheet name="Hjælpeark, fall-back-metoden" sheetId="38"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________________key1" hidden="1">[1]Pareto!$B$3:$B$10</definedName>
    <definedName name="________________key1" hidden="1">[1]Pareto!$B$3:$B$10</definedName>
    <definedName name="_______________key1" hidden="1">[1]Pareto!$B$3:$B$10</definedName>
    <definedName name="______________key1" hidden="1">[1]Pareto!$B$3:$B$10</definedName>
    <definedName name="_____________key1" hidden="1">[1]Pareto!$B$3:$B$10</definedName>
    <definedName name="____________key1" hidden="1">[1]Pareto!$B$3:$B$10</definedName>
    <definedName name="___________key1" hidden="1">[1]Pareto!$B$3:$B$10</definedName>
    <definedName name="__________key1" hidden="1">[1]Pareto!$B$3:$B$10</definedName>
    <definedName name="_________key1" hidden="1">[1]Pareto!$B$3:$B$10</definedName>
    <definedName name="________key1" hidden="1">[1]Pareto!$B$3:$B$10</definedName>
    <definedName name="_______key1" hidden="1">[1]Pareto!$B$3:$B$10</definedName>
    <definedName name="______key1" hidden="1">[1]Pareto!$B$3:$B$10</definedName>
    <definedName name="_____key1" hidden="1">[1]Pareto!$B$3:$B$10</definedName>
    <definedName name="____key1" hidden="1">[1]Pareto!$B$3:$B$10</definedName>
    <definedName name="___a1" hidden="1">{"mgmt forecast",#N/A,FALSE,"Mgmt Forecast";"dcf table",#N/A,FALSE,"Mgmt Forecast";"sensitivity",#N/A,FALSE,"Mgmt Forecast";"table inputs",#N/A,FALSE,"Mgmt Forecast";"calculations",#N/A,FALSE,"Mgmt Forecast"}</definedName>
    <definedName name="___a2" hidden="1">{"mgmt forecast",#N/A,FALSE,"Mgmt Forecast";"dcf table",#N/A,FALSE,"Mgmt Forecast";"sensitivity",#N/A,FALSE,"Mgmt Forecast";"table inputs",#N/A,FALSE,"Mgmt Forecast";"calculations",#N/A,FALSE,"Mgmt Forecast"}</definedName>
    <definedName name="___djn1" hidden="1">{#N/A,#N/A,TRUE,"Goal";#N/A,#N/A,TRUE,"About";#N/A,#N/A,TRUE,"Linking";#N/A,#N/A,TRUE,"Compliance";#N/A,#N/A,TRUE,"Competitive";#N/A,#N/A,TRUE,"Proactive";#N/A,#N/A,TRUE,"Challenging";#N/A,#N/A,TRUE,"Development"}</definedName>
    <definedName name="___key1" hidden="1">[1]Pareto!$B$3:$B$10</definedName>
    <definedName name="___wrn1" hidden="1">{"mgmt forecast",#N/A,FALSE,"Mgmt Forecast";"dcf table",#N/A,FALSE,"Mgmt Forecast";"sensitivity",#N/A,FALSE,"Mgmt Forecast";"table inputs",#N/A,FALSE,"Mgmt Forecast";"calculations",#N/A,FALSE,"Mgmt Forecast"}</definedName>
    <definedName name="__123Graph_A" hidden="1">[2]Summary!$P$367:$AA$367</definedName>
    <definedName name="__123Graph_B" hidden="1">[3]IRR!$F$31:$F$35</definedName>
    <definedName name="__123Graph_C" hidden="1">[3]IRR!$G$31:$G$35</definedName>
    <definedName name="__123Graph_D" hidden="1">[3]IRR!$H$31:$H$35</definedName>
    <definedName name="__123Graph_E" hidden="1">[3]IRR!$I$31:$I$35</definedName>
    <definedName name="__123Graph_F" hidden="1">[3]IRR!$J$31:$J$35</definedName>
    <definedName name="__123Graph_X" hidden="1">[2]Summary!$D$358:$AA$358</definedName>
    <definedName name="__a1" hidden="1">{"mgmt forecast",#N/A,FALSE,"Mgmt Forecast";"dcf table",#N/A,FALSE,"Mgmt Forecast";"sensitivity",#N/A,FALSE,"Mgmt Forecast";"table inputs",#N/A,FALSE,"Mgmt Forecast";"calculations",#N/A,FALSE,"Mgmt Forecast"}</definedName>
    <definedName name="__a2" hidden="1">{"mgmt forecast",#N/A,FALSE,"Mgmt Forecast";"dcf table",#N/A,FALSE,"Mgmt Forecast";"sensitivity",#N/A,FALSE,"Mgmt Forecast";"table inputs",#N/A,FALSE,"Mgmt Forecast";"calculations",#N/A,FALSE,"Mgmt Forecast"}</definedName>
    <definedName name="__DIM1" hidden="1">" "</definedName>
    <definedName name="__DIM2" hidden="1">" "</definedName>
    <definedName name="__DIM3" hidden="1">" "</definedName>
    <definedName name="__DIM4" hidden="1">" "</definedName>
    <definedName name="__djn1" hidden="1">{#N/A,#N/A,TRUE,"Goal";#N/A,#N/A,TRUE,"About";#N/A,#N/A,TRUE,"Linking";#N/A,#N/A,TRUE,"Compliance";#N/A,#N/A,TRUE,"Competitive";#N/A,#N/A,TRUE,"Proactive";#N/A,#N/A,TRUE,"Challenging";#N/A,#N/A,TRUE,"Development"}</definedName>
    <definedName name="__FDS_HYPERLINK_TOGGLE_STATE__" hidden="1">"ON"</definedName>
    <definedName name="__FDS_UNIQUE_RANGE_ID_GENERATOR_COUNTER" hidden="1">91</definedName>
    <definedName name="__FDS_USED_FOR_REUSING_RANGE_IDS_RECYCLE" hidden="1">{784,785,787,757,788,758,759,761,763,764,790,791,793,794,795,796,797,799,801,802,806,803,808,817,857,858}</definedName>
    <definedName name="__key1" hidden="1">[1]Pareto!$B$3:$B$10</definedName>
    <definedName name="__wrn1" hidden="1">{"mgmt forecast",#N/A,FALSE,"Mgmt Forecast";"dcf table",#N/A,FALSE,"Mgmt Forecast";"sensitivity",#N/A,FALSE,"Mgmt Forecast";"table inputs",#N/A,FALSE,"Mgmt Forecast";"calculations",#N/A,FALSE,"Mgmt Forecast"}</definedName>
    <definedName name="__xlcn.LinkedTable_DataSheet1" hidden="1">#REF!</definedName>
    <definedName name="_1__FDSAUDITLINK__" hidden="1">{"fdsup://directions/FAT Viewer?action=UPDATE&amp;creator=factset&amp;DYN_ARGS=TRUE&amp;DOC_NAME=FAT:FQL_AUDITING_CLIENT_TEMPLATE.FAT&amp;display_string=Audit&amp;VAR:KEY=CZYDANINMP&amp;VAR:QUERY=RkZfRU5UUlBSX1ZBTChBTk4sTk9XLE5PVyk=&amp;WINDOW=FIRST_POPUP&amp;HEIGHT=450&amp;WIDTH=450&amp;START_MA","XIMIZED=FALSE&amp;VAR:CALENDAR=FIVEDAY&amp;VAR:SYMBOL=685876&amp;VAR:INDEX=0"}</definedName>
    <definedName name="_10__FDSAUDITLINK__" hidden="1">{"fdsup://directions/FAT Viewer?action=UPDATE&amp;creator=factset&amp;DYN_ARGS=TRUE&amp;DOC_NAME=FAT:FQL_AUDITING_CLIENT_TEMPLATE.FAT&amp;display_string=Audit&amp;VAR:KEY=HOBWNAFWLY&amp;VAR:QUERY=RkZfRU5UUlBSX1ZBTF9EQUlMWSgwLCwsLCwnRElMJyk=&amp;WINDOW=FIRST_POPUP&amp;HEIGHT=450&amp;WIDTH=450&amp;","START_MAXIMIZED=FALSE&amp;VAR:CALENDAR=FIVEDAY&amp;VAR:SYMBOL=685876&amp;VAR:INDEX=0"}</definedName>
    <definedName name="_100__123Graph_XCHART_10" hidden="1">'[4]Inputs and Calc'!$BG$235:$BK$235</definedName>
    <definedName name="_100__FDSAUDITLINK__" hidden="1">{"fdsup://directions/FAT Viewer?action=UPDATE&amp;creator=factset&amp;DYN_ARGS=TRUE&amp;DOC_NAME=FAT:FQL_AUDITING_CLIENT_TEMPLATE.FAT&amp;display_string=Audit&amp;VAR:KEY=YNCBONSHQJ&amp;VAR:QUERY=RkZfRVBTX0RJTF9CRUZfVU5VU1VBTChBTk5fUiw0MDE3OCk=&amp;WINDOW=FIRST_POPUP&amp;HEIGHT=450&amp;WIDTH=","450&amp;START_MAXIMIZED=FALSE&amp;VAR:CALENDAR=FIVEDAY&amp;VAR:SYMBOL=066504&amp;VAR:INDEX=0"}</definedName>
    <definedName name="_101__FDSAUDITLINK__" hidden="1">{"fdsup://directions/FAT Viewer?action=UPDATE&amp;creator=factset&amp;DYN_ARGS=TRUE&amp;DOC_NAME=FAT:FQL_AUDITING_CLIENT_TEMPLATE.FAT&amp;display_string=Audit&amp;VAR:KEY=EDQXGHSHSB&amp;VAR:QUERY=RkZfQ0FQRVgoQU5OX1IsNDAxNzgsLCwsLE0p&amp;WINDOW=FIRST_POPUP&amp;HEIGHT=450&amp;WIDTH=450&amp;START_MA","XIMIZED=FALSE&amp;VAR:CALENDAR=FIVEDAY&amp;VAR:SYMBOL=066504&amp;VAR:INDEX=0"}</definedName>
    <definedName name="_102__FDSAUDITLINK__" hidden="1">{"fdsup://directions/FAT Viewer?action=UPDATE&amp;creator=factset&amp;DYN_ARGS=TRUE&amp;DOC_NAME=FAT:FQL_AUDITING_CLIENT_TEMPLATE.FAT&amp;display_string=Audit&amp;VAR:KEY=EBKLQHQFAZ&amp;VAR:QUERY=RkZfQ0FQRVgoQU5OX1IsMzk4MTMsLCwsLE0p&amp;WINDOW=FIRST_POPUP&amp;HEIGHT=450&amp;WIDTH=450&amp;START_MA","XIMIZED=FALSE&amp;VAR:CALENDAR=FIVEDAY&amp;VAR:SYMBOL=066504&amp;VAR:INDEX=0"}</definedName>
    <definedName name="_103__FDSAUDITLINK__" hidden="1">{"fdsup://directions/FAT Viewer?action=UPDATE&amp;creator=factset&amp;DYN_ARGS=TRUE&amp;DOC_NAME=FAT:FQL_AUDITING_CLIENT_TEMPLATE.FAT&amp;display_string=Audit&amp;VAR:KEY=ALQNUNYTSF&amp;VAR:QUERY=RkZfRVBTX0RJTF9CRUZfVU5VU1VBTChBTk5fUiwzOTgxMyk=&amp;WINDOW=FIRST_POPUP&amp;HEIGHT=450&amp;WIDTH=","450&amp;START_MAXIMIZED=FALSE&amp;VAR:CALENDAR=FIVEDAY&amp;VAR:SYMBOL=066504&amp;VAR:INDEX=0"}</definedName>
    <definedName name="_104__FDSAUDITLINK__" hidden="1">{"fdsup://directions/FAT Viewer?action=UPDATE&amp;creator=factset&amp;DYN_ARGS=TRUE&amp;DOC_NAME=FAT:FQL_AUDITING_CLIENT_TEMPLATE.FAT&amp;display_string=Audit&amp;VAR:KEY=ITORCFMBYR&amp;VAR:QUERY=RkZfRUJJVERBX09QRVIoQU5OX1IsMzk4MTMsLCwsLE0p&amp;WINDOW=FIRST_POPUP&amp;HEIGHT=450&amp;WIDTH=450&amp;","START_MAXIMIZED=FALSE&amp;VAR:CALENDAR=FIVEDAY&amp;VAR:SYMBOL=066504&amp;VAR:INDEX=0"}</definedName>
    <definedName name="_105__FDSAUDITLINK__" hidden="1">{"fdsup://Directions/FactSet Auditing Viewer?action=AUDIT_VALUE&amp;DB=129&amp;ID1=066727&amp;VALUEID=01001&amp;SDATE=2009&amp;PERIODTYPE=ANNR_STD&amp;window=popup_no_bar&amp;width=385&amp;height=120&amp;START_MAXIMIZED=FALSE&amp;creator=factset&amp;display_string=Audit"}</definedName>
    <definedName name="_106__FDSAUDITLINK__" hidden="1">{"fdsup://directions/FAT Viewer?action=UPDATE&amp;creator=factset&amp;DYN_ARGS=TRUE&amp;DOC_NAME=FAT:FQL_AUDITING_CLIENT_TEMPLATE.FAT&amp;display_string=Audit&amp;VAR:KEY=CNKVABCDIF&amp;VAR:QUERY=RkZfRUJJVERBX09QRVIoQU5OX1IsNDAxNzgsLCwsLE0p&amp;WINDOW=FIRST_POPUP&amp;HEIGHT=450&amp;WIDTH=450&amp;","START_MAXIMIZED=FALSE&amp;VAR:CALENDAR=FIVEDAY&amp;VAR:SYMBOL=066727&amp;VAR:INDEX=0"}</definedName>
    <definedName name="_107__FDSAUDITLINK__" hidden="1">{"fdsup://Directions/FactSet Auditing Viewer?action=AUDIT_VALUE&amp;DB=129&amp;ID1=066727&amp;VALUEID=01151&amp;SDATE=2009&amp;PERIODTYPE=ANNR_STD&amp;window=popup_no_bar&amp;width=385&amp;height=120&amp;START_MAXIMIZED=FALSE&amp;creator=factset&amp;display_string=Audit"}</definedName>
    <definedName name="_108__123Graph_XCHART_18" hidden="1">[2]Summary!$D$391:$BC$391</definedName>
    <definedName name="_108__FDSAUDITLINK__" hidden="1">{"fdsup://directions/FAT Viewer?action=UPDATE&amp;creator=factset&amp;DYN_ARGS=TRUE&amp;DOC_NAME=FAT:FQL_AUDITING_CLIENT_TEMPLATE.FAT&amp;display_string=Audit&amp;VAR:KEY=UBCPGZSVIV&amp;VAR:QUERY=RkZfRUJJVF9PUEVSKEFOTl9SLDQwMTc4LCwsLCxNKQ==&amp;WINDOW=FIRST_POPUP&amp;HEIGHT=450&amp;WIDTH=450&amp;","START_MAXIMIZED=FALSE&amp;VAR:CALENDAR=FIVEDAY&amp;VAR:SYMBOL=066727&amp;VAR:INDEX=0"}</definedName>
    <definedName name="_109__123Graph_XCHART_19" hidden="1">[2]Summary!$D$358:$AA$358</definedName>
    <definedName name="_109__FDSAUDITLINK__" hidden="1">{"fdsup://Directions/FactSet Auditing Viewer?action=AUDIT_VALUE&amp;DB=129&amp;ID1=066727&amp;VALUEID=01250&amp;SDATE=2009&amp;PERIODTYPE=ANNR_STD&amp;window=popup_no_bar&amp;width=385&amp;height=120&amp;START_MAXIMIZED=FALSE&amp;creator=factset&amp;display_string=Audit"}</definedName>
    <definedName name="_11__123Graph_ACHART_20" hidden="1">[2]Summary!$P$365:$AA$365</definedName>
    <definedName name="_11__FDSAUDITLINK__" hidden="1">{"fdsup://directions/FAT Viewer?action=UPDATE&amp;creator=factset&amp;DYN_ARGS=TRUE&amp;DOC_NAME=FAT:FQL_AUDITING_CLIENT_TEMPLATE.FAT&amp;display_string=Audit&amp;VAR:KEY=GPQZWHCXUX&amp;VAR:QUERY=RkZfTkVUX0RFQlQoUVRSLDAp&amp;WINDOW=FIRST_POPUP&amp;HEIGHT=450&amp;WIDTH=450&amp;START_MAXIMIZED=FALS","E&amp;VAR:CALENDAR=FIVEDAY&amp;VAR:SYMBOL=685876&amp;VAR:INDEX=0"}</definedName>
    <definedName name="_110__FDSAUDITLINK__" hidden="1">{"fdsup://directions/FAT Viewer?action=UPDATE&amp;creator=factset&amp;DYN_ARGS=TRUE&amp;DOC_NAME=FAT:FQL_AUDITING_CLIENT_TEMPLATE.FAT&amp;display_string=Audit&amp;VAR:KEY=OLKTQZYTQH&amp;VAR:QUERY=RkZfRVBTX0RJTF9CRUZfVU5VU1VBTChBTk5fUiw0MDE3OCk=&amp;WINDOW=FIRST_POPUP&amp;HEIGHT=450&amp;WIDTH=","450&amp;START_MAXIMIZED=FALSE&amp;VAR:CALENDAR=FIVEDAY&amp;VAR:SYMBOL=066727&amp;VAR:INDEX=0"}</definedName>
    <definedName name="_111__123Graph_XCHART_20" hidden="1">[2]Summary!$D$358:$AA$358</definedName>
    <definedName name="_111__FDSAUDITLINK__" hidden="1">{"fdsup://Directions/FactSet Auditing Viewer?action=AUDIT_VALUE&amp;DB=129&amp;ID1=066727&amp;VALUEID=05194&amp;SDATE=2009&amp;PERIODTYPE=ANNR_STD&amp;window=popup_no_bar&amp;width=385&amp;height=120&amp;START_MAXIMIZED=FALSE&amp;creator=factset&amp;display_string=Audit"}</definedName>
    <definedName name="_112__123Graph_XCHART_21" hidden="1">[2]Summary!$P$358:$AA$358</definedName>
    <definedName name="_112__FDSAUDITLINK__" hidden="1">{"fdsup://directions/FAT Viewer?action=UPDATE&amp;creator=factset&amp;DYN_ARGS=TRUE&amp;DOC_NAME=FAT:FQL_AUDITING_CLIENT_TEMPLATE.FAT&amp;display_string=Audit&amp;VAR:KEY=YXALKVGLMZ&amp;VAR:QUERY=RkZfQ0FQRVgoQU5OX1IsNDAxNzgsLCwsLE0p&amp;WINDOW=FIRST_POPUP&amp;HEIGHT=450&amp;WIDTH=450&amp;START_MA","XIMIZED=FALSE&amp;VAR:CALENDAR=FIVEDAY&amp;VAR:SYMBOL=066727&amp;VAR:INDEX=0"}</definedName>
    <definedName name="_113__123Graph_XCHART_22" hidden="1">[2]Summary!$P$358:$AA$358</definedName>
    <definedName name="_113__FDSAUDITLINK__" hidden="1">{"fdsup://Directions/FactSet Auditing Viewer?action=AUDIT_VALUE&amp;DB=129&amp;ID1=066727&amp;VALUEID=01201&amp;SDATE=2009&amp;PERIODTYPE=ANNR_STD&amp;window=popup_no_bar&amp;width=385&amp;height=120&amp;START_MAXIMIZED=FALSE&amp;creator=factset&amp;display_string=Audit"}</definedName>
    <definedName name="_114__123Graph_XCHART_23" hidden="1">[2]Summary!$P$358:$AA$358</definedName>
    <definedName name="_114__FDSAUDITLINK__" hidden="1">{"fdsup://Directions/FactSet Auditing Viewer?action=AUDIT_VALUE&amp;DB=129&amp;ID1=066727&amp;VALUEID=01201&amp;SDATE=2008&amp;PERIODTYPE=ANNR_STD&amp;window=popup_no_bar&amp;width=385&amp;height=120&amp;START_MAXIMIZED=FALSE&amp;creator=factset&amp;display_string=Audit"}</definedName>
    <definedName name="_115__123Graph_XCHART_24" hidden="1">[2]Summary!$P$358:$AA$358</definedName>
    <definedName name="_115__FDSAUDITLINK__" hidden="1">{"fdsup://directions/FAT Viewer?action=UPDATE&amp;creator=factset&amp;DYN_ARGS=TRUE&amp;DOC_NAME=FAT:FQL_AUDITING_CLIENT_TEMPLATE.FAT&amp;display_string=Audit&amp;VAR:KEY=YXALMVGDOH&amp;VAR:QUERY=RkZfQ0FQRVgoQU5OX1IsMzk4MTMsLCwsLE0p&amp;WINDOW=FIRST_POPUP&amp;HEIGHT=450&amp;WIDTH=450&amp;START_MA","XIMIZED=FALSE&amp;VAR:CALENDAR=FIVEDAY&amp;VAR:SYMBOL=066727&amp;VAR:INDEX=0"}</definedName>
    <definedName name="_116__123Graph_XCHART_25" hidden="1">[2]Summary!$P$358:$AD$358</definedName>
    <definedName name="_116__FDSAUDITLINK__" hidden="1">{"fdsup://Directions/FactSet Auditing Viewer?action=AUDIT_VALUE&amp;DB=129&amp;ID1=066727&amp;VALUEID=05194&amp;SDATE=2008&amp;PERIODTYPE=ANNR_STD&amp;window=popup_no_bar&amp;width=385&amp;height=120&amp;START_MAXIMIZED=FALSE&amp;creator=factset&amp;display_string=Audit"}</definedName>
    <definedName name="_117__123Graph_XCHART_26" hidden="1">[2]Summary!$P$358:$AA$358</definedName>
    <definedName name="_117__FDSAUDITLINK__" hidden="1">{"fdsup://directions/FAT Viewer?action=UPDATE&amp;creator=factset&amp;DYN_ARGS=TRUE&amp;DOC_NAME=FAT:FQL_AUDITING_CLIENT_TEMPLATE.FAT&amp;display_string=Audit&amp;VAR:KEY=GHUXMNWLOJ&amp;VAR:QUERY=RkZfRVBTX0RJTF9CRUZfVU5VU1VBTChBTk5fUiwzOTgxMyk=&amp;WINDOW=FIRST_POPUP&amp;HEIGHT=450&amp;WIDTH=","450&amp;START_MAXIMIZED=FALSE&amp;VAR:CALENDAR=FIVEDAY&amp;VAR:SYMBOL=066727&amp;VAR:INDEX=0"}</definedName>
    <definedName name="_118__123Graph_XCHART_27" hidden="1">[2]Summary!$P$358:$AA$358</definedName>
    <definedName name="_118__FDSAUDITLINK__" hidden="1">{"fdsup://Directions/FactSet Auditing Viewer?action=AUDIT_VALUE&amp;DB=129&amp;ID1=066727&amp;VALUEID=01250&amp;SDATE=2008&amp;PERIODTYPE=ANNR_STD&amp;window=popup_no_bar&amp;width=385&amp;height=120&amp;START_MAXIMIZED=FALSE&amp;creator=factset&amp;display_string=Audit"}</definedName>
    <definedName name="_119__123Graph_XCHART_28" hidden="1">[2]Summary!$D$358:$AA$358</definedName>
    <definedName name="_119__FDSAUDITLINK__" hidden="1">{"fdsup://directions/FAT Viewer?action=UPDATE&amp;creator=factset&amp;DYN_ARGS=TRUE&amp;DOC_NAME=FAT:FQL_AUDITING_CLIENT_TEMPLATE.FAT&amp;display_string=Audit&amp;VAR:KEY=WRILSLQRSH&amp;VAR:QUERY=RkZfRUJJVF9PUEVSKEFOTl9SLDM5ODEzLCwsLCxNKQ==&amp;WINDOW=FIRST_POPUP&amp;HEIGHT=450&amp;WIDTH=450&amp;","START_MAXIMIZED=FALSE&amp;VAR:CALENDAR=FIVEDAY&amp;VAR:SYMBOL=066727&amp;VAR:INDEX=0"}</definedName>
    <definedName name="_12__123Graph_ACHART_22" hidden="1">[2]Summary!$P$360:$AA$360</definedName>
    <definedName name="_12__FDSAUDITLINK__" hidden="1">{"fdsup://directions/FAT Viewer?action=UPDATE&amp;creator=factset&amp;DYN_ARGS=TRUE&amp;DOC_NAME=FAT:FQL_AUDITING_CLIENT_TEMPLATE.FAT&amp;display_string=Audit&amp;VAR:KEY=JGZOTWLAPW&amp;VAR:QUERY=RkZfTUtUX1ZBTF9DVVJSKCk=&amp;WINDOW=FIRST_POPUP&amp;HEIGHT=450&amp;WIDTH=450&amp;START_MAXIMIZED=FALS","E&amp;VAR:CALENDAR=FIVEDAY&amp;VAR:SYMBOL=685876&amp;VAR:INDEX=0"}</definedName>
    <definedName name="_120__123Graph_XCHART_3" hidden="1">[2]Summary!$D$358:$AA$358</definedName>
    <definedName name="_120__FDSAUDITLINK__" hidden="1">{"fdsup://Directions/FactSet Auditing Viewer?action=AUDIT_VALUE&amp;DB=129&amp;ID1=066727&amp;VALUEID=01151&amp;SDATE=2008&amp;PERIODTYPE=ANNR_STD&amp;window=popup_no_bar&amp;width=385&amp;height=120&amp;START_MAXIMIZED=FALSE&amp;creator=factset&amp;display_string=Audit"}</definedName>
    <definedName name="_121__123Graph_XCHART_32" hidden="1">'[2]Hrs Wkd Per T'!$G$12:$AP$12</definedName>
    <definedName name="_121__FDSAUDITLINK__" hidden="1">{"fdsup://directions/FAT Viewer?action=UPDATE&amp;creator=factset&amp;DYN_ARGS=TRUE&amp;DOC_NAME=FAT:FQL_AUDITING_CLIENT_TEMPLATE.FAT&amp;display_string=Audit&amp;VAR:KEY=ENKHAXAFGF&amp;VAR:QUERY=RkZfRUJJVERBX09QRVIoQU5OX1IsMzk4MTMsLCwsLE0p&amp;WINDOW=FIRST_POPUP&amp;HEIGHT=450&amp;WIDTH=450&amp;","START_MAXIMIZED=FALSE&amp;VAR:CALENDAR=FIVEDAY&amp;VAR:SYMBOL=066727&amp;VAR:INDEX=0"}</definedName>
    <definedName name="_122__123Graph_XCHART_33" hidden="1">'[2]Hrs Wkd Per T'!$G$12:$AP$12</definedName>
    <definedName name="_122__FDSAUDITLINK__" hidden="1">{"fdsup://Directions/FactSet Auditing Viewer?action=AUDIT_VALUE&amp;DB=129&amp;ID1=066727&amp;VALUEID=01001&amp;SDATE=2008&amp;PERIODTYPE=ANNR_STD&amp;window=popup_no_bar&amp;width=385&amp;height=120&amp;START_MAXIMIZED=FALSE&amp;creator=factset&amp;display_string=Audit"}</definedName>
    <definedName name="_123__123Graph_XCHART_34" hidden="1">'[2]Hrs Wkd Per T'!$G$12:$AP$12</definedName>
    <definedName name="_123__FDSAUDITLINK__" hidden="1">{"fdsup://Directions/FactSet Auditing Viewer?action=AUDIT_VALUE&amp;DB=129&amp;ID1=B02QND&amp;VALUEID=01001&amp;SDATE=2008&amp;PERIODTYPE=ANNR_STD&amp;window=popup_no_bar&amp;width=385&amp;height=120&amp;START_MAXIMIZED=FALSE&amp;creator=factset&amp;display_string=Audit"}</definedName>
    <definedName name="_124__123Graph_XCHART_4" hidden="1">'[4]Inputs and Calc'!$BG$235:$BK$235</definedName>
    <definedName name="_124__FDSAUDITLINK__" hidden="1">{"fdsup://directions/FAT Viewer?action=UPDATE&amp;creator=factset&amp;DYN_ARGS=TRUE&amp;DOC_NAME=FAT:FQL_AUDITING_CLIENT_TEMPLATE.FAT&amp;display_string=Audit&amp;VAR:KEY=QRWJMPWDAT&amp;VAR:QUERY=RkZfRUJJVERBX09QRVIoQU5OX1IsNDAxNzgsLCwsLE0p&amp;WINDOW=FIRST_POPUP&amp;HEIGHT=450&amp;WIDTH=450&amp;","START_MAXIMIZED=FALSE&amp;VAR:CALENDAR=FIVEDAY&amp;VAR:SYMBOL=B02QND&amp;VAR:INDEX=0"}</definedName>
    <definedName name="_125__123Graph_XCHART_5" hidden="1">'[4]Inputs and Calc'!$F$315:$J$315</definedName>
    <definedName name="_125__FDSAUDITLINK__" hidden="1">{"fdsup://directions/FAT Viewer?action=UPDATE&amp;creator=factset&amp;DYN_ARGS=TRUE&amp;DOC_NAME=FAT:FQL_AUDITING_CLIENT_TEMPLATE.FAT&amp;display_string=Audit&amp;VAR:KEY=GPOLCRGFAV&amp;VAR:QUERY=KChGRl9ORVRfREVCVChRVFIsMClARkZfTkVUX0RFQlQoU0VNSSwwKSlARkZfTkVUX0RFQlQoQU5OLDApKQ==&amp;","WINDOW=FIRST_POPUP&amp;HEIGHT=450&amp;WIDTH=450&amp;START_MAXIMIZED=FALSE&amp;VAR:CALENDAR=FIVEDAY&amp;VAR:SYMBOL=48300770&amp;VAR:INDEX=0"}</definedName>
    <definedName name="_126__FDSAUDITLINK__" hidden="1">{"fdsup://directions/FAT Viewer?action=UPDATE&amp;creator=factset&amp;DYN_ARGS=TRUE&amp;DOC_NAME=FAT:FQL_AUDITING_CLIENT_TEMPLATE.FAT&amp;display_string=Audit&amp;VAR:KEY=QDMDSZMVWD&amp;VAR:QUERY=RkZfTUtUX1ZBTF9DVVJSKCk=&amp;WINDOW=FIRST_POPUP&amp;HEIGHT=450&amp;WIDTH=450&amp;START_MAXIMIZED=FALS","E&amp;VAR:CALENDAR=FIVEDAY&amp;VAR:SYMBOL=48300770&amp;VAR:INDEX=0"}</definedName>
    <definedName name="_127__123Graph_XCHART_7" hidden="1">'[4]Inputs and Calc'!$BG$235:$BK$235</definedName>
    <definedName name="_127__FDSAUDITLINK__" hidden="1">{"fdsup://directions/FAT Viewer?action=UPDATE&amp;creator=factset&amp;DYN_ARGS=TRUE&amp;DOC_NAME=FAT:FQL_AUDITING_CLIENT_TEMPLATE.FAT&amp;display_string=Audit&amp;VAR:KEY=NEXWLYBQRK&amp;VAR:QUERY=KChGRl9ORVRfREVCVChRVFIsMClARkZfTkVUX0RFQlQoU0VNSSwwKSlARkZfTkVUX0RFQlQoQU5OLDApKQ==&amp;","WINDOW=FIRST_POPUP&amp;HEIGHT=450&amp;WIDTH=450&amp;START_MAXIMIZED=FALSE&amp;VAR:CALENDAR=FIVEDAY&amp;VAR:SYMBOL=546361&amp;VAR:INDEX=0"}</definedName>
    <definedName name="_128__123Graph_XCHART_8" hidden="1">'[4]Inputs and Calc'!$BG$235:$BK$235</definedName>
    <definedName name="_128__FDSAUDITLINK__" hidden="1">{"fdsup://directions/FAT Viewer?action=UPDATE&amp;creator=factset&amp;DYN_ARGS=TRUE&amp;DOC_NAME=FAT:FQL_AUDITING_CLIENT_TEMPLATE.FAT&amp;display_string=Audit&amp;VAR:KEY=RCJGHMHCXG&amp;VAR:QUERY=KChGRl9ORVRfREVCVChRVFIsMClARkZfTkVUX0RFQlQoU0VNSSwwKSlARkZfTkVUX0RFQlQoQU5OLDApKQ==&amp;","WINDOW=FIRST_POPUP&amp;HEIGHT=450&amp;WIDTH=450&amp;START_MAXIMIZED=FALSE&amp;VAR:CALENDAR=FIVEDAY&amp;VAR:SYMBOL=B10RZP&amp;VAR:INDEX=0"}</definedName>
    <definedName name="_129__FDSAUDITLINK__" hidden="1">{"fdsup://directions/FAT Viewer?action=UPDATE&amp;creator=factset&amp;DYN_ARGS=TRUE&amp;DOC_NAME=FAT:FQL_AUDITING_CLIENT_TEMPLATE.FAT&amp;display_string=Audit&amp;VAR:KEY=UVAFELGNOR&amp;VAR:QUERY=RkZfTUtUX1ZBTF9DVVJSKCk=&amp;WINDOW=FIRST_POPUP&amp;HEIGHT=450&amp;WIDTH=450&amp;START_MAXIMIZED=FALS","E&amp;VAR:CALENDAR=FIVEDAY&amp;VAR:SYMBOL=B10RZP&amp;VAR:INDEX=0"}</definedName>
    <definedName name="_13__123Graph_ACHART_23" hidden="1">[2]Summary!$P$361:$AA$361</definedName>
    <definedName name="_13__FDSAUDITLINK__" hidden="1">{"fdsup://directions/FAT Viewer?action=UPDATE&amp;creator=factset&amp;DYN_ARGS=TRUE&amp;DOC_NAME=FAT:FQL_AUDITING_CLIENT_TEMPLATE.FAT&amp;display_string=Audit&amp;VAR:KEY=HQHEPAJQXA&amp;VAR:QUERY=RkZfRU5UUlBSX1ZBTF9EQUlMWSgwLCwsLCwnRElMJyk=&amp;WINDOW=FIRST_POPUP&amp;HEIGHT=450&amp;WIDTH=450&amp;","START_MAXIMIZED=FALSE&amp;VAR:CALENDAR=FIVEDAY&amp;VAR:SYMBOL=685876&amp;VAR:INDEX=0"}</definedName>
    <definedName name="_130__FDSAUDITLINK__" hidden="1">{"fdsup://directions/FAT Viewer?action=UPDATE&amp;creator=factset&amp;DYN_ARGS=TRUE&amp;DOC_NAME=FAT:FQL_AUDITING_CLIENT_TEMPLATE.FAT&amp;display_string=Audit&amp;VAR:KEY=CDOXOHOTUX&amp;VAR:QUERY=RkZfTUtUX1ZBTF9DVVJSKCk=&amp;WINDOW=FIRST_POPUP&amp;HEIGHT=450&amp;WIDTH=450&amp;START_MAXIMIZED=FALS","E&amp;VAR:CALENDAR=FIVEDAY&amp;VAR:SYMBOL=546361&amp;VAR:INDEX=0"}</definedName>
    <definedName name="_131__FDSAUDITLINK__" hidden="1">{"fdsup://directions/FAT Viewer?action=UPDATE&amp;creator=factset&amp;DYN_ARGS=TRUE&amp;DOC_NAME=FAT:FQL_AUDITING_CLIENT_TEMPLATE.FAT&amp;display_string=Audit&amp;VAR:KEY=UFUDITGDMV&amp;VAR:QUERY=RkZfVEFYX1JBVEUoQU5OLDAp&amp;WINDOW=FIRST_POPUP&amp;HEIGHT=450&amp;WIDTH=450&amp;START_MAXIMIZED=FALS","E&amp;VAR:CALENDAR=FIVEDAY&amp;VAR:SYMBOL=B3K5QQ&amp;VAR:INDEX=0"}</definedName>
    <definedName name="_132__FDSAUDITLINK__" hidden="1">{"fdsup://directions/FAT Viewer?action=UPDATE&amp;creator=factset&amp;DYN_ARGS=TRUE&amp;DOC_NAME=FAT:FQL_AUDITING_CLIENT_TEMPLATE.FAT&amp;display_string=Audit&amp;VAR:KEY=DQXYTMPOLK&amp;VAR:QUERY=KChGRl9ORVRfREVCVChRVFIsMClARkZfTkVUX0RFQlQoU0VNSSwwKSlARkZfTkVUX0RFQlQoQU5OLDApKQ==&amp;","WINDOW=FIRST_POPUP&amp;HEIGHT=450&amp;WIDTH=450&amp;START_MAXIMIZED=FALSE&amp;VAR:CALENDAR=FIVEDAY&amp;VAR:SYMBOL=B3K5QQ&amp;VAR:INDEX=0"}</definedName>
    <definedName name="_133__FDSAUDITLINK__" hidden="1">{"fdsup://directions/FAT Viewer?action=UPDATE&amp;creator=factset&amp;DYN_ARGS=TRUE&amp;DOC_NAME=FAT:FQL_AUDITING_CLIENT_TEMPLATE.FAT&amp;display_string=Audit&amp;VAR:KEY=UPENYXOBGZ&amp;VAR:QUERY=RkZfVEFYX1JBVEUoQU5OLDAp&amp;WINDOW=FIRST_POPUP&amp;HEIGHT=450&amp;WIDTH=450&amp;START_MAXIMIZED=FALS","E&amp;VAR:CALENDAR=FIVEDAY&amp;VAR:SYMBOL=B53JY5&amp;VAR:INDEX=0"}</definedName>
    <definedName name="_134__FDSAUDITLINK__" hidden="1">{"fdsup://directions/FAT Viewer?action=UPDATE&amp;creator=factset&amp;DYN_ARGS=TRUE&amp;DOC_NAME=FAT:FQL_AUDITING_CLIENT_TEMPLATE.FAT&amp;display_string=Audit&amp;VAR:KEY=YBYPYZWLOB&amp;VAR:QUERY=RkZfTUtUX1ZBTF9DVVJSKCk=&amp;WINDOW=FIRST_POPUP&amp;HEIGHT=450&amp;WIDTH=450&amp;START_MAXIMIZED=FALS","E&amp;VAR:CALENDAR=FIVEDAY&amp;VAR:SYMBOL=B3K5QQ&amp;VAR:INDEX=0"}</definedName>
    <definedName name="_135__FDSAUDITLINK__" hidden="1">{"fdsup://directions/FAT Viewer?action=UPDATE&amp;creator=factset&amp;DYN_ARGS=TRUE&amp;DOC_NAME=FAT:FQL_AUDITING_CLIENT_TEMPLATE.FAT&amp;display_string=Audit&amp;VAR:KEY=UVQLWXIJMZ&amp;VAR:QUERY=RkZfVEFYX1JBVEUoQU5OLDAp&amp;WINDOW=FIRST_POPUP&amp;HEIGHT=450&amp;WIDTH=450&amp;START_MAXIMIZED=FALS","E&amp;VAR:CALENDAR=FIVEDAY&amp;VAR:SYMBOL=546361&amp;VAR:INDEX=0"}</definedName>
    <definedName name="_136__FDSAUDITLINK__" hidden="1">{"fdsup://directions/FAT Viewer?action=UPDATE&amp;creator=factset&amp;DYN_ARGS=TRUE&amp;DOC_NAME=FAT:FQL_AUDITING_CLIENT_TEMPLATE.FAT&amp;display_string=Audit&amp;VAR:KEY=BATQZYXCZG&amp;VAR:QUERY=RkZfTUtUX1ZBTF9DVVJSKCk=&amp;WINDOW=FIRST_POPUP&amp;HEIGHT=450&amp;WIDTH=450&amp;START_MAXIMIZED=FALS","E&amp;VAR:CALENDAR=FIVEDAY&amp;VAR:INDEX=0"}</definedName>
    <definedName name="_137__FDSAUDITLINK__" hidden="1">{"fdsup://directions/FAT Viewer?action=UPDATE&amp;creator=factset&amp;DYN_ARGS=TRUE&amp;DOC_NAME=FAT:FQL_AUDITING_CLIENT_TEMPLATE.FAT&amp;display_string=Audit&amp;VAR:KEY=NWDUFMZWPI&amp;VAR:QUERY=RkZfVEFYX1JBVEUoQU5OLDAp&amp;WINDOW=FIRST_POPUP&amp;HEIGHT=450&amp;WIDTH=450&amp;START_MAXIMIZED=FALS","E&amp;VAR:CALENDAR=FIVEDAY&amp;VAR:INDEX=0"}</definedName>
    <definedName name="_138__FDSAUDITLINK__" hidden="1">{"fdsup://directions/FAT Viewer?action=UPDATE&amp;creator=factset&amp;DYN_ARGS=TRUE&amp;DOC_NAME=FAT:FQL_AUDITING_CLIENT_TEMPLATE.FAT&amp;display_string=Audit&amp;VAR:KEY=DYDCXIZKTC&amp;VAR:QUERY=KChGRl9ORVRfREVCVChRVFIsMClARkZfTkVUX0RFQlQoU0VNSSwwKSlARkZfTkVUX0RFQlQoQU5OLDApKQ==&amp;","WINDOW=FIRST_POPUP&amp;HEIGHT=450&amp;WIDTH=450&amp;START_MAXIMIZED=FALSE&amp;VAR:CALENDAR=FIVEDAY&amp;VAR:INDEX=0"}</definedName>
    <definedName name="_139__FDSAUDITLINK__" hidden="1">{"fdsup://directions/FAT Viewer?action=UPDATE&amp;creator=factset&amp;DYN_ARGS=TRUE&amp;DOC_NAME=FAT:FQL_AUDITING_CLIENT_TEMPLATE.FAT&amp;display_string=Audit&amp;VAR:KEY=QPIHCLWXGN&amp;VAR:QUERY=KChGRl9ORVRfREVCVChRVFIsMClARkZfTkVUX0RFQlQoU0VNSSwwKSlARkZfTkVUX0RFQlQoQU5OLDApKQ==&amp;","WINDOW=FIRST_POPUP&amp;HEIGHT=450&amp;WIDTH=450&amp;START_MAXIMIZED=FALSE&amp;VAR:CALENDAR=FIVEDAY&amp;VAR:SYMBOL=B10RZP&amp;VAR:INDEX=0"}</definedName>
    <definedName name="_14__123Graph_ACHART_24" hidden="1">[2]Summary!$P$362:$AA$362</definedName>
    <definedName name="_14__FDSAUDITLINK__" hidden="1">{"fdsup://directions/FAT Viewer?action=UPDATE&amp;creator=factset&amp;DYN_ARGS=TRUE&amp;DOC_NAME=FAT:FQL_AUDITING_CLIENT_TEMPLATE.FAT&amp;display_string=Audit&amp;VAR:KEY=FABGZUFSFM&amp;VAR:QUERY=RkZfRU5UUlBSX1ZBTF9TQUxFU19EQUlMWSgwLCwsLCwnRElMJyk=&amp;WINDOW=FIRST_POPUP&amp;HEIGHT=450&amp;WI","DTH=450&amp;START_MAXIMIZED=FALSE&amp;VAR:CALENDAR=FIVEDAY&amp;VAR:SYMBOL=685876&amp;VAR:INDEX=0"}</definedName>
    <definedName name="_140__FDSAUDITLINK__" hidden="1">{"fdsup://directions/FAT Viewer?action=UPDATE&amp;creator=factset&amp;DYN_ARGS=TRUE&amp;DOC_NAME=FAT:FQL_AUDITING_CLIENT_TEMPLATE.FAT&amp;display_string=Audit&amp;VAR:KEY=BATQZYXCZG&amp;VAR:QUERY=RkZfTUtUX1ZBTF9DVVJSKCk=&amp;WINDOW=FIRST_POPUP&amp;HEIGHT=450&amp;WIDTH=450&amp;START_MAXIMIZED=FALS","E&amp;VAR:CALENDAR=FIVEDAY&amp;VAR:INDEX=0"}</definedName>
    <definedName name="_141__FDSAUDITLINK__" hidden="1">{"fdsup://directions/FAT Viewer?action=UPDATE&amp;creator=factset&amp;DYN_ARGS=TRUE&amp;DOC_NAME=FAT:FQL_AUDITING_CLIENT_TEMPLATE.FAT&amp;display_string=Audit&amp;VAR:KEY=QXYNKBOXYH&amp;VAR:QUERY=RkZfVEFYX1JBVEUoQU5OLDAp&amp;WINDOW=FIRST_POPUP&amp;HEIGHT=450&amp;WIDTH=450&amp;START_MAXIMIZED=FALS","E&amp;VAR:CALENDAR=FIVEDAY&amp;VAR:SYMBOL=B1Y9TB&amp;VAR:INDEX=0"}</definedName>
    <definedName name="_142__FDSAUDITLINK__" hidden="1">{"fdsup://directions/FAT Viewer?action=UPDATE&amp;creator=factset&amp;DYN_ARGS=TRUE&amp;DOC_NAME=FAT:FQL_AUDITING_CLIENT_TEMPLATE.FAT&amp;display_string=Audit&amp;VAR:KEY=NWDUFMZWPI&amp;VAR:QUERY=RkZfVEFYX1JBVEUoQU5OLDAp&amp;WINDOW=FIRST_POPUP&amp;HEIGHT=450&amp;WIDTH=450&amp;START_MAXIMIZED=FALS","E&amp;VAR:CALENDAR=FIVEDAY&amp;VAR:INDEX=0"}</definedName>
    <definedName name="_143__FDSAUDITLINK__" hidden="1">{"fdsup://directions/FAT Viewer?action=UPDATE&amp;creator=factset&amp;DYN_ARGS=TRUE&amp;DOC_NAME=FAT:FQL_AUDITING_CLIENT_TEMPLATE.FAT&amp;display_string=Audit&amp;VAR:KEY=DYDCXIZKTC&amp;VAR:QUERY=KChGRl9ORVRfREVCVChRVFIsMClARkZfTkVUX0RFQlQoU0VNSSwwKSlARkZfTkVUX0RFQlQoQU5OLDApKQ==&amp;","WINDOW=FIRST_POPUP&amp;HEIGHT=450&amp;WIDTH=450&amp;START_MAXIMIZED=FALSE&amp;VAR:CALENDAR=FIVEDAY&amp;VAR:INDEX=0"}</definedName>
    <definedName name="_144__FDSAUDITLINK__" hidden="1">{"fdsup://directions/FAT Viewer?action=UPDATE&amp;creator=factset&amp;DYN_ARGS=TRUE&amp;DOC_NAME=FAT:FQL_AUDITING_CLIENT_TEMPLATE.FAT&amp;display_string=Audit&amp;VAR:KEY=DYDCXIZKTC&amp;VAR:QUERY=KChGRl9ORVRfREVCVChRVFIsMClARkZfTkVUX0RFQlQoU0VNSSwwKSlARkZfTkVUX0RFQlQoQU5OLDApKQ==&amp;","WINDOW=FIRST_POPUP&amp;HEIGHT=450&amp;WIDTH=450&amp;START_MAXIMIZED=FALSE&amp;VAR:CALENDAR=FIVEDAY&amp;VAR:INDEX=0"}</definedName>
    <definedName name="_145__FDSAUDITLINK__" hidden="1">{"fdsup://directions/FAT Viewer?action=UPDATE&amp;creator=factset&amp;DYN_ARGS=TRUE&amp;DOC_NAME=FAT:FQL_AUDITING_CLIENT_TEMPLATE.FAT&amp;display_string=Audit&amp;VAR:KEY=DQXKZOBOHQ&amp;VAR:QUERY=KChGRl9ORVRfREVCVChRVFIsMClARkZfTkVUX0RFQlQoU0VNSSwwKSlARkZfTkVUX0RFQlQoQU5OLDApKQ==&amp;","WINDOW=FIRST_POPUP&amp;HEIGHT=450&amp;WIDTH=450&amp;START_MAXIMIZED=FALSE&amp;VAR:CALENDAR=FIVEDAY&amp;VAR:SYMBOL=B1Y9TB&amp;VAR:INDEX=0"}</definedName>
    <definedName name="_146__FDSAUDITLINK__" hidden="1">{"fdsup://directions/FAT Viewer?action=UPDATE&amp;creator=factset&amp;DYN_ARGS=TRUE&amp;DOC_NAME=FAT:FQL_AUDITING_CLIENT_TEMPLATE.FAT&amp;display_string=Audit&amp;VAR:KEY=NWDUFMZWPI&amp;VAR:QUERY=RkZfVEFYX1JBVEUoQU5OLDAp&amp;WINDOW=FIRST_POPUP&amp;HEIGHT=450&amp;WIDTH=450&amp;START_MAXIMIZED=FALS","E&amp;VAR:CALENDAR=FIVEDAY&amp;VAR:INDEX=0"}</definedName>
    <definedName name="_147__FDSAUDITLINK__" hidden="1">{"fdsup://directions/FAT Viewer?action=UPDATE&amp;creator=factset&amp;DYN_ARGS=TRUE&amp;DOC_NAME=FAT:FQL_AUDITING_CLIENT_TEMPLATE.FAT&amp;display_string=Audit&amp;VAR:KEY=BATQZYXCZG&amp;VAR:QUERY=RkZfTUtUX1ZBTF9DVVJSKCk=&amp;WINDOW=FIRST_POPUP&amp;HEIGHT=450&amp;WIDTH=450&amp;START_MAXIMIZED=FALS","E&amp;VAR:CALENDAR=FIVEDAY&amp;VAR:INDEX=0"}</definedName>
    <definedName name="_148__FDSAUDITLINK__" hidden="1">{"fdsup://directions/FAT Viewer?action=UPDATE&amp;creator=factset&amp;DYN_ARGS=TRUE&amp;DOC_NAME=FAT:FQL_AUDITING_CLIENT_TEMPLATE.FAT&amp;display_string=Audit&amp;VAR:KEY=DYDCXIZKTC&amp;VAR:QUERY=KChGRl9ORVRfREVCVChRVFIsMClARkZfTkVUX0RFQlQoU0VNSSwwKSlARkZfTkVUX0RFQlQoQU5OLDApKQ==&amp;","WINDOW=FIRST_POPUP&amp;HEIGHT=450&amp;WIDTH=450&amp;START_MAXIMIZED=FALSE&amp;VAR:CALENDAR=FIVEDAY&amp;VAR:INDEX=0"}</definedName>
    <definedName name="_149__FDSAUDITLINK__" hidden="1">{"fdsup://directions/FAT Viewer?action=UPDATE&amp;creator=factset&amp;DYN_ARGS=TRUE&amp;DOC_NAME=FAT:FQL_AUDITING_CLIENT_TEMPLATE.FAT&amp;display_string=Audit&amp;VAR:KEY=REDWFKZMLU&amp;VAR:QUERY=RkZfTUtUX1ZBTF9DVVJSKCk=&amp;WINDOW=FIRST_POPUP&amp;HEIGHT=450&amp;WIDTH=450&amp;START_MAXIMIZED=FALS","E&amp;VAR:CALENDAR=FIVEDAY&amp;VAR:SYMBOL=B10RZP&amp;VAR:INDEX=0"}</definedName>
    <definedName name="_15__123Graph_ACHART_25" hidden="1">[2]Summary!$P$363:$AA$363</definedName>
    <definedName name="_15__FDSAUDITLINK__" hidden="1">{"fdsup://directions/FAT Viewer?action=UPDATE&amp;creator=factset&amp;DYN_ARGS=TRUE&amp;DOC_NAME=FAT:FQL_AUDITING_CLIENT_TEMPLATE.FAT&amp;display_string=Audit&amp;VAR:KEY=RSDINSPELG&amp;VAR:QUERY=RkZfRU5UUlBSX1ZBTF9FQklUREFfT1BFUl9EQUlMWSgwLCwsLCwnRElMJyk=&amp;WINDOW=FIRST_POPUP&amp;HEIGH","T=450&amp;WIDTH=450&amp;START_MAXIMIZED=FALSE&amp;VAR:CALENDAR=FIVEDAY&amp;VAR:SYMBOL=685876&amp;VAR:INDEX=0"}</definedName>
    <definedName name="_150__FDSAUDITLINK__" hidden="1">{"fdsup://directions/FAT Viewer?action=UPDATE&amp;creator=factset&amp;DYN_ARGS=TRUE&amp;DOC_NAME=FAT:FQL_AUDITING_CLIENT_TEMPLATE.FAT&amp;display_string=Audit&amp;VAR:KEY=BATQZYXCZG&amp;VAR:QUERY=RkZfTUtUX1ZBTF9DVVJSKCk=&amp;WINDOW=FIRST_POPUP&amp;HEIGHT=450&amp;WIDTH=450&amp;START_MAXIMIZED=FALS","E&amp;VAR:CALENDAR=FIVEDAY&amp;VAR:INDEX=0"}</definedName>
    <definedName name="_151__FDSAUDITLINK__" hidden="1">{"fdsup://directions/FAT Viewer?action=UPDATE&amp;creator=factset&amp;DYN_ARGS=TRUE&amp;DOC_NAME=FAT:FQL_AUDITING_CLIENT_TEMPLATE.FAT&amp;display_string=Audit&amp;VAR:KEY=GFIBGXUZUV&amp;VAR:QUERY=RkZfVEFYX1JBVEUoQU5OLDAp&amp;WINDOW=FIRST_POPUP&amp;HEIGHT=450&amp;WIDTH=450&amp;START_MAXIMIZED=FALS","E&amp;VAR:CALENDAR=FIVEDAY&amp;VAR:SYMBOL=712387&amp;VAR:INDEX=0"}</definedName>
    <definedName name="_152__FDSAUDITLINK__" hidden="1">{"fdsup://directions/FAT Viewer?action=UPDATE&amp;creator=factset&amp;DYN_ARGS=TRUE&amp;DOC_NAME=FAT:FQL_AUDITING_CLIENT_TEMPLATE.FAT&amp;display_string=Audit&amp;VAR:KEY=IRSNITELOJ&amp;VAR:QUERY=RkZfTUtUX1ZBTF9DVVJSKCk=&amp;WINDOW=FIRST_POPUP&amp;HEIGHT=450&amp;WIDTH=450&amp;START_MAXIMIZED=FALS","E&amp;VAR:CALENDAR=FIVEDAY&amp;VAR:SYMBOL=067312&amp;VAR:INDEX=0"}</definedName>
    <definedName name="_153__FDSAUDITLINK__" hidden="1">{"fdsup://directions/FAT Viewer?action=UPDATE&amp;creator=factset&amp;DYN_ARGS=TRUE&amp;DOC_NAME=FAT:FQL_AUDITING_CLIENT_TEMPLATE.FAT&amp;display_string=Audit&amp;VAR:KEY=WNAHYFCBCL&amp;VAR:QUERY=RkZfTUtUX1ZBTF9DVVJSKCk=&amp;WINDOW=FIRST_POPUP&amp;HEIGHT=450&amp;WIDTH=450&amp;START_MAXIMIZED=FALS","E&amp;VAR:CALENDAR=FIVEDAY&amp;VAR:SYMBOL=712387&amp;VAR:INDEX=0"}</definedName>
    <definedName name="_154__FDSAUDITLINK__" hidden="1">{"fdsup://directions/FAT Viewer?action=UPDATE&amp;creator=factset&amp;DYN_ARGS=TRUE&amp;DOC_NAME=FAT:FQL_AUDITING_CLIENT_TEMPLATE.FAT&amp;display_string=Audit&amp;VAR:KEY=BATQZYXCZG&amp;VAR:QUERY=RkZfTUtUX1ZBTF9DVVJSKCk=&amp;WINDOW=FIRST_POPUP&amp;HEIGHT=450&amp;WIDTH=450&amp;START_MAXIMIZED=FALS","E&amp;VAR:CALENDAR=FIVEDAY&amp;VAR:INDEX=0"}</definedName>
    <definedName name="_155__FDSAUDITLINK__" hidden="1">{"fdsup://directions/FAT Viewer?action=UPDATE&amp;creator=factset&amp;DYN_ARGS=TRUE&amp;DOC_NAME=FAT:FQL_AUDITING_CLIENT_TEMPLATE.FAT&amp;display_string=Audit&amp;VAR:KEY=DYDCXIZKTC&amp;VAR:QUERY=KChGRl9ORVRfREVCVChRVFIsMClARkZfTkVUX0RFQlQoU0VNSSwwKSlARkZfTkVUX0RFQlQoQU5OLDApKQ==&amp;","WINDOW=FIRST_POPUP&amp;HEIGHT=450&amp;WIDTH=450&amp;START_MAXIMIZED=FALSE&amp;VAR:CALENDAR=FIVEDAY&amp;VAR:INDEX=0"}</definedName>
    <definedName name="_156__FDSAUDITLINK__" hidden="1">{"fdsup://directions/FAT Viewer?action=UPDATE&amp;creator=factset&amp;DYN_ARGS=TRUE&amp;DOC_NAME=FAT:FQL_AUDITING_CLIENT_TEMPLATE.FAT&amp;display_string=Audit&amp;VAR:KEY=RAJYHKDGDG&amp;VAR:QUERY=KChGRl9ORVRfREVCVChRVFIsMClARkZfTkVUX0RFQlQoU0VNSSwwKSlARkZfTkVUX0RFQlQoQU5OLDApKQ==&amp;","WINDOW=FIRST_POPUP&amp;HEIGHT=450&amp;WIDTH=450&amp;START_MAXIMIZED=FALSE&amp;VAR:CALENDAR=FIVEDAY&amp;VAR:SYMBOL=712387&amp;VAR:INDEX=0"}</definedName>
    <definedName name="_157__FDSAUDITLINK__" hidden="1">{"fdsup://directions/FAT Viewer?action=UPDATE&amp;creator=factset&amp;DYN_ARGS=TRUE&amp;DOC_NAME=FAT:FQL_AUDITING_CLIENT_TEMPLATE.FAT&amp;display_string=Audit&amp;VAR:KEY=DYDCXIZKTC&amp;VAR:QUERY=KChGRl9ORVRfREVCVChRVFIsMClARkZfTkVUX0RFQlQoU0VNSSwwKSlARkZfTkVUX0RFQlQoQU5OLDApKQ==&amp;","WINDOW=FIRST_POPUP&amp;HEIGHT=450&amp;WIDTH=450&amp;START_MAXIMIZED=FALSE&amp;VAR:CALENDAR=FIVEDAY&amp;VAR:INDEX=0"}</definedName>
    <definedName name="_158__FDSAUDITLINK__" hidden="1">{"fdsup://directions/FAT Viewer?action=UPDATE&amp;creator=factset&amp;DYN_ARGS=TRUE&amp;DOC_NAME=FAT:FQL_AUDITING_CLIENT_TEMPLATE.FAT&amp;display_string=Audit&amp;VAR:KEY=PADSLEVIDK&amp;VAR:QUERY=RkZfVEFYX1JBVEUoQU5OLDAp&amp;WINDOW=FIRST_POPUP&amp;HEIGHT=450&amp;WIDTH=450&amp;START_MAXIMIZED=FALS","E&amp;VAR:CALENDAR=FIVEDAY&amp;VAR:SYMBOL=B7N0K0&amp;VAR:INDEX=0"}</definedName>
    <definedName name="_159__FDSAUDITLINK__" hidden="1">{"fdsup://directions/FAT Viewer?action=UPDATE&amp;creator=factset&amp;DYN_ARGS=TRUE&amp;DOC_NAME=FAT:FQL_AUDITING_CLIENT_TEMPLATE.FAT&amp;display_string=Audit&amp;VAR:KEY=CPARITSVGD&amp;VAR:QUERY=RkZfVEFYX1JBVEUoQU5OLDAp&amp;WINDOW=FIRST_POPUP&amp;HEIGHT=450&amp;WIDTH=450&amp;START_MAXIMIZED=FALS","E&amp;VAR:CALENDAR=FIVEDAY&amp;VAR:SYMBOL=526428&amp;VAR:INDEX=0"}</definedName>
    <definedName name="_16__123Graph_ACHART_26" hidden="1">[2]Summary!$P$365:$AA$365</definedName>
    <definedName name="_16__FDSAUDITLINK__" hidden="1">{"fdsup://directions/FAT Viewer?action=UPDATE&amp;creator=factset&amp;DYN_ARGS=TRUE&amp;DOC_NAME=FAT:FQL_AUDITING_CLIENT_TEMPLATE.FAT&amp;display_string=Audit&amp;VAR:KEY=NAHYXGNOBW&amp;VAR:QUERY=RkZfRU5UUlBSX1ZBTF9FQklUX09QRVJfREFJTFkoMCwsLCwsJ0RJTCcp&amp;WINDOW=FIRST_POPUP&amp;HEIGHT=45","0&amp;WIDTH=450&amp;START_MAXIMIZED=FALSE&amp;VAR:CALENDAR=FIVEDAY&amp;VAR:SYMBOL=685876&amp;VAR:INDEX=0"}</definedName>
    <definedName name="_160__FDSAUDITLINK__" hidden="1">{"fdsup://directions/FAT Viewer?action=UPDATE&amp;creator=factset&amp;DYN_ARGS=TRUE&amp;DOC_NAME=FAT:FQL_AUDITING_CLIENT_TEMPLATE.FAT&amp;display_string=Audit&amp;VAR:KEY=VCPSHOZIZQ&amp;VAR:QUERY=RkZfVEFYX1JBVEUoQU5OLDAp&amp;WINDOW=FIRST_POPUP&amp;HEIGHT=450&amp;WIDTH=450&amp;START_MAXIMIZED=FALS","E&amp;VAR:CALENDAR=FIVEDAY&amp;VAR:SYMBOL=548198&amp;VAR:INDEX=0"}</definedName>
    <definedName name="_161__FDSAUDITLINK__" hidden="1">{"fdsup://directions/FAT Viewer?action=UPDATE&amp;creator=factset&amp;DYN_ARGS=TRUE&amp;DOC_NAME=FAT:FQL_AUDITING_CLIENT_TEMPLATE.FAT&amp;display_string=Audit&amp;VAR:KEY=KHGZKHUNMN&amp;VAR:QUERY=RkZfVEFYX1JBVEUoQU5OLDAp&amp;WINDOW=FIRST_POPUP&amp;HEIGHT=450&amp;WIDTH=450&amp;START_MAXIMIZED=FALS","E&amp;VAR:CALENDAR=FIVEDAY&amp;VAR:SYMBOL=546832&amp;VAR:INDEX=0"}</definedName>
    <definedName name="_162__FDSAUDITLINK__" hidden="1">{"fdsup://directions/FAT Viewer?action=UPDATE&amp;creator=factset&amp;DYN_ARGS=TRUE&amp;DOC_NAME=FAT:FQL_AUDITING_CLIENT_TEMPLATE.FAT&amp;display_string=Audit&amp;VAR:KEY=BYZSDMBSHM&amp;VAR:QUERY=RkZfVEFYX1JBVEUoQU5OLDAp&amp;WINDOW=FIRST_POPUP&amp;HEIGHT=450&amp;WIDTH=450&amp;START_MAXIMIZED=FALS","E&amp;VAR:CALENDAR=FIVEDAY&amp;VAR:SYMBOL=B091DR&amp;VAR:INDEX=0"}</definedName>
    <definedName name="_163__FDSAUDITLINK__" hidden="1">{"fdsup://directions/FAT Viewer?action=UPDATE&amp;creator=factset&amp;DYN_ARGS=TRUE&amp;DOC_NAME=FAT:FQL_AUDITING_CLIENT_TEMPLATE.FAT&amp;display_string=Audit&amp;VAR:KEY=GLCHANMHIX&amp;VAR:QUERY=RkZfVEFYX1JBVEUoQU5OLDAp&amp;WINDOW=FIRST_POPUP&amp;HEIGHT=450&amp;WIDTH=450&amp;START_MAXIMIZED=FALS","E&amp;VAR:CALENDAR=FIVEDAY&amp;VAR:SYMBOL=067312&amp;VAR:INDEX=0"}</definedName>
    <definedName name="_164__FDSAUDITLINK__" hidden="1">{"fdsup://directions/FAT Viewer?action=UPDATE&amp;creator=factset&amp;DYN_ARGS=TRUE&amp;DOC_NAME=FAT:FQL_AUDITING_CLIENT_TEMPLATE.FAT&amp;display_string=Audit&amp;VAR:KEY=FAJSXMLGBW&amp;VAR:QUERY=RkZfVEFYX1JBVEUoQU5OLDAp&amp;WINDOW=FIRST_POPUP&amp;HEIGHT=450&amp;WIDTH=450&amp;START_MAXIMIZED=FALS","E&amp;VAR:CALENDAR=FIVEDAY&amp;VAR:SYMBOL=038641&amp;VAR:INDEX=0"}</definedName>
    <definedName name="_165__FDSAUDITLINK__" hidden="1">{"fdsup://directions/FAT Viewer?action=UPDATE&amp;creator=factset&amp;DYN_ARGS=TRUE&amp;DOC_NAME=FAT:FQL_AUDITING_CLIENT_TEMPLATE.FAT&amp;display_string=Audit&amp;VAR:KEY=RQLUPEDMRA&amp;VAR:QUERY=RkZfVEFYX1JBVEUoQU5OLDAp&amp;WINDOW=FIRST_POPUP&amp;HEIGHT=450&amp;WIDTH=450&amp;START_MAXIMIZED=FALS","E&amp;VAR:CALENDAR=FIVEDAY&amp;VAR:SYMBOL=50075N10&amp;VAR:INDEX=0"}</definedName>
    <definedName name="_166__FDSAUDITLINK__" hidden="1">{"fdsup://directions/FAT Viewer?action=UPDATE&amp;creator=factset&amp;DYN_ARGS=TRUE&amp;DOC_NAME=FAT:FQL_AUDITING_CLIENT_TEMPLATE.FAT&amp;display_string=Audit&amp;VAR:KEY=SLKHURKBMP&amp;VAR:QUERY=RkZfVEFYX1JBVEUoQU5OLDAp&amp;WINDOW=FIRST_POPUP&amp;HEIGHT=450&amp;WIDTH=450&amp;START_MAXIMIZED=FALS","E&amp;VAR:CALENDAR=FIVEDAY&amp;VAR:SYMBOL=42307410&amp;VAR:INDEX=0"}</definedName>
    <definedName name="_167__FDSAUDITLINK__" hidden="1">{"fdsup://directions/FAT Viewer?action=UPDATE&amp;creator=factset&amp;DYN_ARGS=TRUE&amp;DOC_NAME=FAT:FQL_AUDITING_CLIENT_TEMPLATE.FAT&amp;display_string=Audit&amp;VAR:KEY=VAJURETCJC&amp;VAR:QUERY=RkZfVEFYX1JBVEUoQU5OLDAp&amp;WINDOW=FIRST_POPUP&amp;HEIGHT=450&amp;WIDTH=450&amp;START_MAXIMIZED=FALS","E&amp;VAR:CALENDAR=FIVEDAY&amp;VAR:SYMBOL=71344810&amp;VAR:INDEX=0"}</definedName>
    <definedName name="_168__FDSAUDITLINK__" hidden="1">{"fdsup://directions/FAT Viewer?action=UPDATE&amp;creator=factset&amp;DYN_ARGS=TRUE&amp;DOC_NAME=FAT:FQL_AUDITING_CLIENT_TEMPLATE.FAT&amp;display_string=Audit&amp;VAR:KEY=EFAZKJIJAN&amp;VAR:QUERY=RkZfVEFYX1JBVEUoQU5OLDAp&amp;WINDOW=FIRST_POPUP&amp;HEIGHT=450&amp;WIDTH=450&amp;START_MAXIMIZED=FALS","E&amp;VAR:CALENDAR=FIVEDAY&amp;VAR:SYMBOL=13442910&amp;VAR:INDEX=0"}</definedName>
    <definedName name="_169__FDSAUDITLINK__" hidden="1">{"fdsup://directions/FAT Viewer?action=UPDATE&amp;creator=factset&amp;DYN_ARGS=TRUE&amp;DOC_NAME=FAT:FQL_AUDITING_CLIENT_TEMPLATE.FAT&amp;display_string=Audit&amp;VAR:KEY=VCTWRQDOTS&amp;VAR:QUERY=RkZfVEFYX1JBVEUoQU5OLDAp&amp;WINDOW=FIRST_POPUP&amp;HEIGHT=450&amp;WIDTH=450&amp;START_MAXIMIZED=FALS","E&amp;VAR:CALENDAR=FIVEDAY&amp;VAR:SYMBOL=37033410&amp;VAR:INDEX=0"}</definedName>
    <definedName name="_17__123Graph_ACHART_27" hidden="1">[2]Summary!$P$367:$AA$367</definedName>
    <definedName name="_17__FDSAUDITLINK__" hidden="1">{"fdsup://directions/FAT Viewer?action=UPDATE&amp;creator=factset&amp;DYN_ARGS=TRUE&amp;DOC_NAME=FAT:FQL_AUDITING_CLIENT_TEMPLATE.FAT&amp;display_string=Audit&amp;VAR:KEY=GRSTSXSRGH&amp;VAR:QUERY=RkZfTUtUX1ZBTF9DVVJSKCk=&amp;WINDOW=FIRST_POPUP&amp;HEIGHT=450&amp;WIDTH=450&amp;START_MAXIMIZED=FALS","E&amp;VAR:CALENDAR=FIVEDAY&amp;VAR:SYMBOL=685876&amp;VAR:INDEX=0"}</definedName>
    <definedName name="_170__FDSAUDITLINK__" hidden="1">{"fdsup://directions/FAT Viewer?action=UPDATE&amp;creator=factset&amp;DYN_ARGS=TRUE&amp;DOC_NAME=FAT:FQL_AUDITING_CLIENT_TEMPLATE.FAT&amp;display_string=Audit&amp;VAR:KEY=PMHCLWTETS&amp;VAR:QUERY=KChGRl9ORVRfREVCVChRVFIsMClARkZfTkVUX0RFQlQoU0VNSSwwKSlARkZfTkVUX0RFQlQoQU5OLDApKQ==&amp;","WINDOW=FIRST_POPUP&amp;HEIGHT=450&amp;WIDTH=450&amp;START_MAXIMIZED=FALSE&amp;VAR:CALENDAR=FIVEDAY&amp;VAR:SYMBOL=B7N0K0&amp;VAR:INDEX=0"}</definedName>
    <definedName name="_171__FDSAUDITLINK__" hidden="1">{"fdsup://directions/FAT Viewer?action=UPDATE&amp;creator=factset&amp;DYN_ARGS=TRUE&amp;DOC_NAME=FAT:FQL_AUDITING_CLIENT_TEMPLATE.FAT&amp;display_string=Audit&amp;VAR:KEY=YPQJWFQBSR&amp;VAR:QUERY=RkZfTUtUX1ZBTF9DVVJSKCk=&amp;WINDOW=FIRST_POPUP&amp;HEIGHT=450&amp;WIDTH=450&amp;START_MAXIMIZED=FALS","E&amp;VAR:CALENDAR=FIVEDAY&amp;VAR:SYMBOL=B7N0K0&amp;VAR:INDEX=0"}</definedName>
    <definedName name="_172__FDSAUDITLINK__" hidden="1">{"fdsup://directions/FAT Viewer?action=UPDATE&amp;creator=factset&amp;DYN_ARGS=TRUE&amp;DOC_NAME=FAT:FQL_AUDITING_CLIENT_TEMPLATE.FAT&amp;display_string=Audit&amp;VAR:KEY=KZYXGZCLET&amp;VAR:QUERY=KChGRl9ORVRfREVCVChRVFIsMClARkZfTkVUX0RFQlQoU0VNSSwwKSlARkZfTkVUX0RFQlQoQU5OLDApKQ==&amp;","WINDOW=FIRST_POPUP&amp;HEIGHT=450&amp;WIDTH=450&amp;START_MAXIMIZED=FALSE&amp;VAR:CALENDAR=FIVEDAY&amp;VAR:SYMBOL=526428&amp;VAR:INDEX=0"}</definedName>
    <definedName name="_173__FDSAUDITLINK__" hidden="1">{"fdsup://directions/FAT Viewer?action=UPDATE&amp;creator=factset&amp;DYN_ARGS=TRUE&amp;DOC_NAME=FAT:FQL_AUDITING_CLIENT_TEMPLATE.FAT&amp;display_string=Audit&amp;VAR:KEY=FYBQBIPAPK&amp;VAR:QUERY=RkZfTUtUX1ZBTF9DVVJSKCk=&amp;WINDOW=FIRST_POPUP&amp;HEIGHT=450&amp;WIDTH=450&amp;START_MAXIMIZED=FALS","E&amp;VAR:CALENDAR=FIVEDAY&amp;VAR:SYMBOL=526428&amp;VAR:INDEX=0"}</definedName>
    <definedName name="_174__FDSAUDITLINK__" hidden="1">{"fdsup://directions/FAT Viewer?action=UPDATE&amp;creator=factset&amp;DYN_ARGS=TRUE&amp;DOC_NAME=FAT:FQL_AUDITING_CLIENT_TEMPLATE.FAT&amp;display_string=Audit&amp;VAR:KEY=VWPETSDKFK&amp;VAR:QUERY=KChGRl9ORVRfREVCVChRVFIsMClARkZfTkVUX0RFQlQoU0VNSSwwKSlARkZfTkVUX0RFQlQoQU5OLDApKQ==&amp;","WINDOW=FIRST_POPUP&amp;HEIGHT=450&amp;WIDTH=450&amp;START_MAXIMIZED=FALSE&amp;VAR:CALENDAR=FIVEDAY&amp;VAR:SYMBOL=548198&amp;VAR:INDEX=0"}</definedName>
    <definedName name="_175__FDSAUDITLINK__" hidden="1">{"fdsup://directions/FAT Viewer?action=UPDATE&amp;creator=factset&amp;DYN_ARGS=TRUE&amp;DOC_NAME=FAT:FQL_AUDITING_CLIENT_TEMPLATE.FAT&amp;display_string=Audit&amp;VAR:KEY=QTUTABOHAT&amp;VAR:QUERY=RkZfTUtUX1ZBTF9DVVJSKCk=&amp;WINDOW=FIRST_POPUP&amp;HEIGHT=450&amp;WIDTH=450&amp;START_MAXIMIZED=FALS","E&amp;VAR:CALENDAR=FIVEDAY&amp;VAR:SYMBOL=548198&amp;VAR:INDEX=0"}</definedName>
    <definedName name="_176__FDSAUDITLINK__" hidden="1">{"fdsup://directions/FAT Viewer?action=UPDATE&amp;creator=factset&amp;DYN_ARGS=TRUE&amp;DOC_NAME=FAT:FQL_AUDITING_CLIENT_TEMPLATE.FAT&amp;display_string=Audit&amp;VAR:KEY=GFADMDENGF&amp;VAR:QUERY=KChGRl9ORVRfREVCVChRVFIsMClARkZfTkVUX0RFQlQoU0VNSSwwKSlARkZfTkVUX0RFQlQoQU5OLDApKQ==&amp;","WINDOW=FIRST_POPUP&amp;HEIGHT=450&amp;WIDTH=450&amp;START_MAXIMIZED=FALSE&amp;VAR:CALENDAR=FIVEDAY&amp;VAR:SYMBOL=546832&amp;VAR:INDEX=0"}</definedName>
    <definedName name="_177__FDSAUDITLINK__" hidden="1">{"fdsup://directions/FAT Viewer?action=UPDATE&amp;creator=factset&amp;DYN_ARGS=TRUE&amp;DOC_NAME=FAT:FQL_AUDITING_CLIENT_TEMPLATE.FAT&amp;display_string=Audit&amp;VAR:KEY=PIFANAJINC&amp;VAR:QUERY=RkZfTUtUX1ZBTF9DVVJSKCk=&amp;WINDOW=FIRST_POPUP&amp;HEIGHT=450&amp;WIDTH=450&amp;START_MAXIMIZED=FALS","E&amp;VAR:CALENDAR=FIVEDAY&amp;VAR:SYMBOL=546832&amp;VAR:INDEX=0"}</definedName>
    <definedName name="_178__FDSAUDITLINK__" hidden="1">{"fdsup://directions/FAT Viewer?action=UPDATE&amp;creator=factset&amp;DYN_ARGS=TRUE&amp;DOC_NAME=FAT:FQL_AUDITING_CLIENT_TEMPLATE.FAT&amp;display_string=Audit&amp;VAR:KEY=TSTQDAFGFY&amp;VAR:QUERY=KChGRl9ORVRfREVCVChRVFIsMClARkZfTkVUX0RFQlQoU0VNSSwwKSlARkZfTkVUX0RFQlQoQU5OLDApKQ==&amp;","WINDOW=FIRST_POPUP&amp;HEIGHT=450&amp;WIDTH=450&amp;START_MAXIMIZED=FALSE&amp;VAR:CALENDAR=FIVEDAY&amp;VAR:SYMBOL=B091DR&amp;VAR:INDEX=0"}</definedName>
    <definedName name="_179__FDSAUDITLINK__" hidden="1">{"fdsup://directions/FAT Viewer?action=UPDATE&amp;creator=factset&amp;DYN_ARGS=TRUE&amp;DOC_NAME=FAT:FQL_AUDITING_CLIENT_TEMPLATE.FAT&amp;display_string=Audit&amp;VAR:KEY=YTEJOFCJYP&amp;VAR:QUERY=RkZfTUtUX1ZBTF9DVVJSKCk=&amp;WINDOW=FIRST_POPUP&amp;HEIGHT=450&amp;WIDTH=450&amp;START_MAXIMIZED=FALS","E&amp;VAR:CALENDAR=FIVEDAY&amp;VAR:SYMBOL=B091DR&amp;VAR:INDEX=0"}</definedName>
    <definedName name="_18__123Graph_ACHART_28" hidden="1">[2]Summary!$D$368:$AA$368</definedName>
    <definedName name="_18__FDSAUDITLINK__" hidden="1">{"fdsup://directions/FAT Viewer?action=UPDATE&amp;creator=factset&amp;DYN_ARGS=TRUE&amp;DOC_NAME=FAT:FQL_AUDITING_CLIENT_TEMPLATE.FAT&amp;display_string=Audit&amp;VAR:KEY=XKPUVCXEJS&amp;VAR:QUERY=RkZfRUJJVChBTk4sMCk=&amp;WINDOW=FIRST_POPUP&amp;HEIGHT=450&amp;WIDTH=450&amp;START_MAXIMIZED=FALSE&amp;VA","R:CALENDAR=FIVEDAY&amp;VAR:SYMBOL=685876&amp;VAR:INDEX=0"}</definedName>
    <definedName name="_180__FDSAUDITLINK__" hidden="1">{"fdsup://directions/FAT Viewer?action=UPDATE&amp;creator=factset&amp;DYN_ARGS=TRUE&amp;DOC_NAME=FAT:FQL_AUDITING_CLIENT_TEMPLATE.FAT&amp;display_string=Audit&amp;VAR:KEY=MPSJWJUTQX&amp;VAR:QUERY=KChGRl9ORVRfREVCVChRVFIsMClARkZfTkVUX0RFQlQoU0VNSSwwKSlARkZfTkVUX0RFQlQoQU5OLDApKQ==&amp;","WINDOW=FIRST_POPUP&amp;HEIGHT=450&amp;WIDTH=450&amp;START_MAXIMIZED=FALSE&amp;VAR:CALENDAR=FIVEDAY&amp;VAR:SYMBOL=067312&amp;VAR:INDEX=0"}</definedName>
    <definedName name="_181__FDSAUDITLINK__" hidden="1">{"fdsup://directions/FAT Viewer?action=UPDATE&amp;creator=factset&amp;DYN_ARGS=TRUE&amp;DOC_NAME=FAT:FQL_AUDITING_CLIENT_TEMPLATE.FAT&amp;display_string=Audit&amp;VAR:KEY=DYPUNINCHM&amp;VAR:QUERY=RkZfTUtUX1ZBTF9DVVJSKCk=&amp;WINDOW=FIRST_POPUP&amp;HEIGHT=450&amp;WIDTH=450&amp;START_MAXIMIZED=FALS","E&amp;VAR:CALENDAR=FIVEDAY&amp;VAR:SYMBOL=067312&amp;VAR:INDEX=0"}</definedName>
    <definedName name="_182__FDSAUDITLINK__" hidden="1">{"fdsup://directions/FAT Viewer?action=UPDATE&amp;creator=factset&amp;DYN_ARGS=TRUE&amp;DOC_NAME=FAT:FQL_AUDITING_CLIENT_TEMPLATE.FAT&amp;display_string=Audit&amp;VAR:KEY=JUNAJQRIVI&amp;VAR:QUERY=KChGRl9ORVRfREVCVChRVFIsMClARkZfTkVUX0RFQlQoU0VNSSwwKSlARkZfTkVUX0RFQlQoQU5OLDApKQ==&amp;","WINDOW=FIRST_POPUP&amp;HEIGHT=450&amp;WIDTH=450&amp;START_MAXIMIZED=FALSE&amp;VAR:CALENDAR=FIVEDAY&amp;VAR:SYMBOL=038641&amp;VAR:INDEX=0"}</definedName>
    <definedName name="_183__FDSAUDITLINK__" hidden="1">{"fdsup://directions/FAT Viewer?action=UPDATE&amp;creator=factset&amp;DYN_ARGS=TRUE&amp;DOC_NAME=FAT:FQL_AUDITING_CLIENT_TEMPLATE.FAT&amp;display_string=Audit&amp;VAR:KEY=YRWNSRUBGL&amp;VAR:QUERY=RkZfTUtUX1ZBTF9DVVJSKCk=&amp;WINDOW=FIRST_POPUP&amp;HEIGHT=450&amp;WIDTH=450&amp;START_MAXIMIZED=FALS","E&amp;VAR:CALENDAR=FIVEDAY&amp;VAR:SYMBOL=038641&amp;VAR:INDEX=0"}</definedName>
    <definedName name="_184__FDSAUDITLINK__" hidden="1">{"fdsup://directions/FAT Viewer?action=UPDATE&amp;creator=factset&amp;DYN_ARGS=TRUE&amp;DOC_NAME=FAT:FQL_AUDITING_CLIENT_TEMPLATE.FAT&amp;display_string=Audit&amp;VAR:KEY=OBATIPYPOH&amp;VAR:QUERY=KChGRl9ORVRfREVCVChRVFIsMClARkZfTkVUX0RFQlQoU0VNSSwwKSlARkZfTkVUX0RFQlQoQU5OLDApKQ==&amp;","WINDOW=FIRST_POPUP&amp;HEIGHT=450&amp;WIDTH=450&amp;START_MAXIMIZED=FALSE&amp;VAR:CALENDAR=FIVEDAY&amp;VAR:SYMBOL=50075N10&amp;VAR:INDEX=0"}</definedName>
    <definedName name="_185__FDSAUDITLINK__" hidden="1">{"fdsup://directions/FAT Viewer?action=UPDATE&amp;creator=factset&amp;DYN_ARGS=TRUE&amp;DOC_NAME=FAT:FQL_AUDITING_CLIENT_TEMPLATE.FAT&amp;display_string=Audit&amp;VAR:KEY=HOJAZWXCPI&amp;VAR:QUERY=RkZfTUtUX1ZBTF9DVVJSKCk=&amp;WINDOW=FIRST_POPUP&amp;HEIGHT=450&amp;WIDTH=450&amp;START_MAXIMIZED=FALS","E&amp;VAR:CALENDAR=FIVEDAY&amp;VAR:SYMBOL=50075N10&amp;VAR:INDEX=0"}</definedName>
    <definedName name="_186__FDSAUDITLINK__" hidden="1">{"fdsup://directions/FAT Viewer?action=UPDATE&amp;creator=factset&amp;DYN_ARGS=TRUE&amp;DOC_NAME=FAT:FQL_AUDITING_CLIENT_TEMPLATE.FAT&amp;display_string=Audit&amp;VAR:KEY=TKTCXSHYBO&amp;VAR:QUERY=KChGRl9ORVRfREVCVChRVFIsMClARkZfTkVUX0RFQlQoU0VNSSwwKSlARkZfTkVUX0RFQlQoQU5OLDApKQ==&amp;","WINDOW=FIRST_POPUP&amp;HEIGHT=450&amp;WIDTH=450&amp;START_MAXIMIZED=FALSE&amp;VAR:CALENDAR=FIVEDAY&amp;VAR:SYMBOL=42307410&amp;VAR:INDEX=0"}</definedName>
    <definedName name="_187__FDSAUDITLINK__" hidden="1">{"fdsup://directions/FAT Viewer?action=UPDATE&amp;creator=factset&amp;DYN_ARGS=TRUE&amp;DOC_NAME=FAT:FQL_AUDITING_CLIENT_TEMPLATE.FAT&amp;display_string=Audit&amp;VAR:KEY=WDIVYDILUV&amp;VAR:QUERY=RkZfTUtUX1ZBTF9DVVJSKCk=&amp;WINDOW=FIRST_POPUP&amp;HEIGHT=450&amp;WIDTH=450&amp;START_MAXIMIZED=FALS","E&amp;VAR:CALENDAR=FIVEDAY&amp;VAR:SYMBOL=42307410&amp;VAR:INDEX=0"}</definedName>
    <definedName name="_188__FDSAUDITLINK__" hidden="1">{"fdsup://directions/FAT Viewer?action=UPDATE&amp;creator=factset&amp;DYN_ARGS=TRUE&amp;DOC_NAME=FAT:FQL_AUDITING_CLIENT_TEMPLATE.FAT&amp;display_string=Audit&amp;VAR:KEY=MPGTUBYRUR&amp;VAR:QUERY=KChGRl9ORVRfREVCVChRVFIsMClARkZfTkVUX0RFQlQoU0VNSSwwKSlARkZfTkVUX0RFQlQoQU5OLDApKQ==&amp;","WINDOW=FIRST_POPUP&amp;HEIGHT=450&amp;WIDTH=450&amp;START_MAXIMIZED=FALSE&amp;VAR:CALENDAR=FIVEDAY&amp;VAR:SYMBOL=71344810&amp;VAR:INDEX=0"}</definedName>
    <definedName name="_189__FDSAUDITLINK__" hidden="1">{"fdsup://directions/FAT Viewer?action=UPDATE&amp;creator=factset&amp;DYN_ARGS=TRUE&amp;DOC_NAME=FAT:FQL_AUDITING_CLIENT_TEMPLATE.FAT&amp;display_string=Audit&amp;VAR:KEY=DOLAXARSTI&amp;VAR:QUERY=RkZfTUtUX1ZBTF9DVVJSKCk=&amp;WINDOW=FIRST_POPUP&amp;HEIGHT=450&amp;WIDTH=450&amp;START_MAXIMIZED=FALS","E&amp;VAR:CALENDAR=FIVEDAY&amp;VAR:SYMBOL=71344810&amp;VAR:INDEX=0"}</definedName>
    <definedName name="_19__123Graph_ACHART_3" hidden="1">'[4]Inputs and Calc'!$BG$238:$BK$238</definedName>
    <definedName name="_19__FDSAUDITLINK__" hidden="1">{"fdsup://directions/FAT Viewer?action=UPDATE&amp;creator=factset&amp;DYN_ARGS=TRUE&amp;DOC_NAME=FAT:FQL_AUDITING_CLIENT_TEMPLATE.FAT&amp;display_string=Audit&amp;VAR:KEY=TYZEFYLMTK&amp;VAR:QUERY=RkZfRUJJVERBX09QRVIoTFRNLDAp&amp;WINDOW=FIRST_POPUP&amp;HEIGHT=450&amp;WIDTH=450&amp;START_MAXIMIZED=","FALSE&amp;VAR:CALENDAR=FIVEDAY&amp;VAR:SYMBOL=685876&amp;VAR:INDEX=0"}</definedName>
    <definedName name="_190__FDSAUDITLINK__" hidden="1">{"fdsup://directions/FAT Viewer?action=UPDATE&amp;creator=factset&amp;DYN_ARGS=TRUE&amp;DOC_NAME=FAT:FQL_AUDITING_CLIENT_TEMPLATE.FAT&amp;display_string=Audit&amp;VAR:KEY=NYBIDCRUVQ&amp;VAR:QUERY=KChGRl9ORVRfREVCVChRVFIsMClARkZfTkVUX0RFQlQoU0VNSSwwKSlARkZfTkVUX0RFQlQoQU5OLDApKQ==&amp;","WINDOW=FIRST_POPUP&amp;HEIGHT=450&amp;WIDTH=450&amp;START_MAXIMIZED=FALSE&amp;VAR:CALENDAR=FIVEDAY&amp;VAR:SYMBOL=13442910&amp;VAR:INDEX=0"}</definedName>
    <definedName name="_191__FDSAUDITLINK__" hidden="1">{"fdsup://directions/FAT Viewer?action=UPDATE&amp;creator=factset&amp;DYN_ARGS=TRUE&amp;DOC_NAME=FAT:FQL_AUDITING_CLIENT_TEMPLATE.FAT&amp;display_string=Audit&amp;VAR:KEY=UNCJITQJWJ&amp;VAR:QUERY=RkZfTUtUX1ZBTF9DVVJSKCk=&amp;WINDOW=FIRST_POPUP&amp;HEIGHT=450&amp;WIDTH=450&amp;START_MAXIMIZED=FALS","E&amp;VAR:CALENDAR=FIVEDAY&amp;VAR:SYMBOL=13442910&amp;VAR:INDEX=0"}</definedName>
    <definedName name="_192__FDSAUDITLINK__" hidden="1">{"fdsup://directions/FAT Viewer?action=UPDATE&amp;creator=factset&amp;DYN_ARGS=TRUE&amp;DOC_NAME=FAT:FQL_AUDITING_CLIENT_TEMPLATE.FAT&amp;display_string=Audit&amp;VAR:KEY=UFGRIFYREB&amp;VAR:QUERY=KChGRl9ORVRfREVCVChRVFIsMClARkZfTkVUX0RFQlQoU0VNSSwwKSlARkZfTkVUX0RFQlQoQU5OLDApKQ==&amp;","WINDOW=FIRST_POPUP&amp;HEIGHT=450&amp;WIDTH=450&amp;START_MAXIMIZED=FALSE&amp;VAR:CALENDAR=FIVEDAY&amp;VAR:SYMBOL=37033410&amp;VAR:INDEX=0"}</definedName>
    <definedName name="_193__FDSAUDITLINK__" hidden="1">{"fdsup://directions/FAT Viewer?action=UPDATE&amp;creator=factset&amp;DYN_ARGS=TRUE&amp;DOC_NAME=FAT:FQL_AUDITING_CLIENT_TEMPLATE.FAT&amp;display_string=Audit&amp;VAR:KEY=HOHCNQDUTA&amp;VAR:QUERY=RkZfTUtUX1ZBTF9DVVJSKCk=&amp;WINDOW=FIRST_POPUP&amp;HEIGHT=450&amp;WIDTH=450&amp;START_MAXIMIZED=FALS","E&amp;VAR:CALENDAR=FIVEDAY&amp;VAR:SYMBOL=37033410&amp;VAR:INDEX=0"}</definedName>
    <definedName name="_194__FDSAUDITLINK__" hidden="1">{"fdsup://directions/FAT Viewer?action=UPDATE&amp;creator=factset&amp;DYN_ARGS=TRUE&amp;DOC_NAME=FAT:FQL_AUDITING_CLIENT_TEMPLATE.FAT&amp;display_string=Audit&amp;VAR:KEY=HQZCZYRUDI&amp;VAR:QUERY=KChGRl9ORVRfREVCVChRVFIsMClARkZfTkVUX0RFQlQoU0VNSSwwKSlARkZfTkVUX0RFQlQoQU5OLDApKQ==&amp;","WINDOW=FIRST_POPUP&amp;HEIGHT=450&amp;WIDTH=450&amp;START_MAXIMIZED=FALSE&amp;VAR:CALENDAR=FIVEDAY&amp;VAR:SYMBOL=48783610&amp;VAR:INDEX=0"}</definedName>
    <definedName name="_195__FDSAUDITLINK__" hidden="1">{"fdsup://directions/FAT Viewer?action=UPDATE&amp;creator=factset&amp;DYN_ARGS=TRUE&amp;DOC_NAME=FAT:FQL_AUDITING_CLIENT_TEMPLATE.FAT&amp;display_string=Audit&amp;VAR:KEY=OVIFGHEHUL&amp;VAR:QUERY=RkZfTUtUX1ZBTF9DVVJSKCk=&amp;WINDOW=FIRST_POPUP&amp;HEIGHT=450&amp;WIDTH=450&amp;START_MAXIMIZED=FALS","E&amp;VAR:CALENDAR=FIVEDAY&amp;VAR:SYMBOL=48783610&amp;VAR:INDEX=0"}</definedName>
    <definedName name="_196__FDSAUDITLINK__" hidden="1">{"fdsup://directions/FAT Viewer?action=UPDATE&amp;creator=factset&amp;DYN_ARGS=TRUE&amp;DOC_NAME=FAT:FQL_AUDITING_CLIENT_TEMPLATE.FAT&amp;display_string=Audit&amp;VAR:KEY=MNIFUPAFGH&amp;VAR:QUERY=RkZfVEFYX1JBVEUoQU5OLDAp&amp;WINDOW=FIRST_POPUP&amp;HEIGHT=450&amp;WIDTH=450&amp;START_MAXIMIZED=FALS","E&amp;VAR:CALENDAR=FIVEDAY&amp;VAR:SYMBOL=57978020&amp;VAR:INDEX=0"}</definedName>
    <definedName name="_197__FDSAUDITLINK__" hidden="1">{"fdsup://directions/FAT Viewer?action=UPDATE&amp;creator=factset&amp;DYN_ARGS=TRUE&amp;DOC_NAME=FAT:FQL_AUDITING_CLIENT_TEMPLATE.FAT&amp;display_string=Audit&amp;VAR:KEY=BIXQFEVMBA&amp;VAR:QUERY=KChGRl9ORVRfREVCVChRVFIsMClARkZfTkVUX0RFQlQoU0VNSSwwKSlARkZfTkVUX0RFQlQoQU5OLDApKQ==&amp;","WINDOW=FIRST_POPUP&amp;HEIGHT=450&amp;WIDTH=450&amp;START_MAXIMIZED=FALSE&amp;VAR:CALENDAR=FIVEDAY&amp;VAR:SYMBOL=57978020&amp;VAR:INDEX=0"}</definedName>
    <definedName name="_198__FDSAUDITLINK__" hidden="1">{"fdsup://directions/FAT Viewer?action=UPDATE&amp;creator=factset&amp;DYN_ARGS=TRUE&amp;DOC_NAME=FAT:FQL_AUDITING_CLIENT_TEMPLATE.FAT&amp;display_string=Audit&amp;VAR:KEY=EVGLGDOVGR&amp;VAR:QUERY=RkZfTUtUX1ZBTF9DVVJSKCk=&amp;WINDOW=FIRST_POPUP&amp;HEIGHT=450&amp;WIDTH=450&amp;START_MAXIMIZED=FALS","E&amp;VAR:CALENDAR=FIVEDAY&amp;VAR:SYMBOL=57978020&amp;VAR:INDEX=0"}</definedName>
    <definedName name="_199__FDSAUDITLINK__" hidden="1">{"fdsup://directions/FAT Viewer?action=UPDATE&amp;creator=factset&amp;DYN_ARGS=TRUE&amp;DOC_NAME=FAT:FQL_AUDITING_CLIENT_TEMPLATE.FAT&amp;display_string=Audit&amp;VAR:KEY=STSDGFWBAH&amp;VAR:QUERY=RkZfVEFYX1JBVEUoQU5OLDAp&amp;WINDOW=FIRST_POPUP&amp;HEIGHT=450&amp;WIDTH=450&amp;START_MAXIMIZED=FALS","E&amp;VAR:CALENDAR=FIVEDAY&amp;VAR:SYMBOL=544663&amp;VAR:INDEX=0"}</definedName>
    <definedName name="_2__FDSAUDITLINK__" hidden="1">{"fdsup://directions/FAT Viewer?action=UPDATE&amp;creator=factset&amp;DYN_ARGS=TRUE&amp;DOC_NAME=FAT:FQL_AUDITING_CLIENT_TEMPLATE.FAT&amp;display_string=Audit&amp;VAR:KEY=HWHAPUTSHW&amp;VAR:QUERY=RkZfRU5UUlBSX1ZBTChRVFIsTk9XLE5PVyxELFJQKQ==&amp;WINDOW=FIRST_POPUP&amp;HEIGHT=450&amp;WIDTH=450&amp;","START_MAXIMIZED=FALSE&amp;VAR:CALENDAR=FIVEDAY&amp;VAR:SYMBOL=685876&amp;VAR:INDEX=0"}</definedName>
    <definedName name="_20__123Graph_ACHART_31" hidden="1">'[2]Hrs Wkd Per T'!$G$16:$AP$16</definedName>
    <definedName name="_20__FDSAUDITLINK__" hidden="1">{"fdsup://directions/FAT Viewer?action=UPDATE&amp;creator=factset&amp;DYN_ARGS=TRUE&amp;DOC_NAME=FAT:FQL_AUDITING_CLIENT_TEMPLATE.FAT&amp;display_string=Audit&amp;VAR:KEY=LOJIDENEHU&amp;VAR:QUERY=RkZfRU5UUlBSX1ZBTF9EQUlMWSgwLCwsLCwnRElMJyk=&amp;WINDOW=FIRST_POPUP&amp;HEIGHT=450&amp;WIDTH=450&amp;","START_MAXIMIZED=FALSE&amp;VAR:CALENDAR=FIVEDAY&amp;VAR:SYMBOL=48300770&amp;VAR:INDEX=0"}</definedName>
    <definedName name="_200__FDSAUDITLINK__" hidden="1">{"fdsup://directions/FAT Viewer?action=UPDATE&amp;creator=factset&amp;DYN_ARGS=TRUE&amp;DOC_NAME=FAT:FQL_AUDITING_CLIENT_TEMPLATE.FAT&amp;display_string=Audit&amp;VAR:KEY=BWVSNENOXK&amp;VAR:QUERY=KChGRl9ORVRfREVCVChRVFIsMClARkZfTkVUX0RFQlQoU0VNSSwwKSlARkZfTkVUX0RFQlQoQU5OLDApKQ==&amp;","WINDOW=FIRST_POPUP&amp;HEIGHT=450&amp;WIDTH=450&amp;START_MAXIMIZED=FALSE&amp;VAR:CALENDAR=FIVEDAY&amp;VAR:SYMBOL=544663&amp;VAR:INDEX=0"}</definedName>
    <definedName name="_201__FDSAUDITLINK__" hidden="1">{"fdsup://directions/FAT Viewer?action=UPDATE&amp;creator=factset&amp;DYN_ARGS=TRUE&amp;DOC_NAME=FAT:FQL_AUDITING_CLIENT_TEMPLATE.FAT&amp;display_string=Audit&amp;VAR:KEY=ONYXUVELIR&amp;VAR:QUERY=RkZfTUtUX1ZBTF9DVVJSKCk=&amp;WINDOW=FIRST_POPUP&amp;HEIGHT=450&amp;WIDTH=450&amp;START_MAXIMIZED=FALS","E&amp;VAR:CALENDAR=FIVEDAY&amp;VAR:SYMBOL=544663&amp;VAR:INDEX=0"}</definedName>
    <definedName name="_202__FDSAUDITLINK__" hidden="1">{"fdsup://directions/FAT Viewer?action=UPDATE&amp;creator=factset&amp;DYN_ARGS=TRUE&amp;DOC_NAME=FAT:FQL_AUDITING_CLIENT_TEMPLATE.FAT&amp;display_string=Audit&amp;VAR:KEY=DURUPYTYNU&amp;VAR:QUERY=RkZfVEFYX1JBVEUoQU5OLDAp&amp;WINDOW=FIRST_POPUP&amp;HEIGHT=450&amp;WIDTH=450&amp;START_MAXIMIZED=FALS","E&amp;VAR:CALENDAR=FIVEDAY&amp;VAR:SYMBOL=505339&amp;VAR:INDEX=0"}</definedName>
    <definedName name="_203__FDSAUDITLINK__" hidden="1">{"fdsup://directions/FAT Viewer?action=UPDATE&amp;creator=factset&amp;DYN_ARGS=TRUE&amp;DOC_NAME=FAT:FQL_AUDITING_CLIENT_TEMPLATE.FAT&amp;display_string=Audit&amp;VAR:KEY=CHUXIFMPCX&amp;VAR:QUERY=KChGRl9ORVRfREVCVChRVFIsMClARkZfTkVUX0RFQlQoU0VNSSwwKSlARkZfTkVUX0RFQlQoQU5OLDApKQ==&amp;","WINDOW=FIRST_POPUP&amp;HEIGHT=450&amp;WIDTH=450&amp;START_MAXIMIZED=FALSE&amp;VAR:CALENDAR=FIVEDAY&amp;VAR:SYMBOL=505339&amp;VAR:INDEX=0"}</definedName>
    <definedName name="_204__FDSAUDITLINK__" hidden="1">{"fdsup://directions/FAT Viewer?action=UPDATE&amp;creator=factset&amp;DYN_ARGS=TRUE&amp;DOC_NAME=FAT:FQL_AUDITING_CLIENT_TEMPLATE.FAT&amp;display_string=Audit&amp;VAR:KEY=RMHQFWDOBC&amp;VAR:QUERY=RkZfTUtUX1ZBTF9DVVJSKCk=&amp;WINDOW=FIRST_POPUP&amp;HEIGHT=450&amp;WIDTH=450&amp;START_MAXIMIZED=FALS","E&amp;VAR:CALENDAR=FIVEDAY&amp;VAR:SYMBOL=505339&amp;VAR:INDEX=0"}</definedName>
    <definedName name="_205__FDSAUDITLINK__" hidden="1">{"fdsup://directions/FAT Viewer?action=UPDATE&amp;creator=factset&amp;DYN_ARGS=TRUE&amp;DOC_NAME=FAT:FQL_AUDITING_CLIENT_TEMPLATE.FAT&amp;display_string=Audit&amp;VAR:KEY=JWFGNCNCRI&amp;VAR:QUERY=RkZfVEFYX1JBVEUoQU5OLDAp&amp;WINDOW=FIRST_POPUP&amp;HEIGHT=450&amp;WIDTH=450&amp;START_MAXIMIZED=FALS","E&amp;VAR:CALENDAR=FIVEDAY&amp;VAR:SYMBOL=B03MYX&amp;VAR:INDEX=0"}</definedName>
    <definedName name="_206__FDSAUDITLINK__" hidden="1">{"fdsup://directions/FAT Viewer?action=UPDATE&amp;creator=factset&amp;DYN_ARGS=TRUE&amp;DOC_NAME=FAT:FQL_AUDITING_CLIENT_TEMPLATE.FAT&amp;display_string=Audit&amp;VAR:KEY=EXMFCPYXUF&amp;VAR:QUERY=KChGRl9ORVRfREVCVChRVFIsMClARkZfTkVUX0RFQlQoU0VNSSwwKSlARkZfTkVUX0RFQlQoQU5OLDApKQ==&amp;","WINDOW=FIRST_POPUP&amp;HEIGHT=450&amp;WIDTH=450&amp;START_MAXIMIZED=FALSE&amp;VAR:CALENDAR=FIVEDAY&amp;VAR:SYMBOL=B03MYX&amp;VAR:INDEX=0"}</definedName>
    <definedName name="_207__FDSAUDITLINK__" hidden="1">{"fdsup://directions/FAT Viewer?action=UPDATE&amp;creator=factset&amp;DYN_ARGS=TRUE&amp;DOC_NAME=FAT:FQL_AUDITING_CLIENT_TEMPLATE.FAT&amp;display_string=Audit&amp;VAR:KEY=JMBEJYVYNI&amp;VAR:QUERY=RkZfTUtUX1ZBTF9DVVJSKCk=&amp;WINDOW=FIRST_POPUP&amp;HEIGHT=450&amp;WIDTH=450&amp;START_MAXIMIZED=FALS","E&amp;VAR:CALENDAR=FIVEDAY&amp;VAR:SYMBOL=B03MYX&amp;VAR:INDEX=0"}</definedName>
    <definedName name="_208__FDSAUDITLINK__" hidden="1">{"fdsup://directions/FAT Viewer?action=UPDATE&amp;creator=factset&amp;DYN_ARGS=TRUE&amp;DOC_NAME=FAT:FQL_AUDITING_CLIENT_TEMPLATE.FAT&amp;display_string=Audit&amp;VAR:KEY=HKLOVUZYFU&amp;VAR:QUERY=RkZfVEFYX1JBVEUoQU5OLDAp&amp;WINDOW=FIRST_POPUP&amp;HEIGHT=450&amp;WIDTH=450&amp;START_MAXIMIZED=FALS","E&amp;VAR:CALENDAR=FIVEDAY&amp;VAR:SYMBOL=B03MVC&amp;VAR:INDEX=0"}</definedName>
    <definedName name="_209__FDSAUDITLINK__" hidden="1">{"fdsup://directions/FAT Viewer?action=UPDATE&amp;creator=factset&amp;DYN_ARGS=TRUE&amp;DOC_NAME=FAT:FQL_AUDITING_CLIENT_TEMPLATE.FAT&amp;display_string=Audit&amp;VAR:KEY=KTOTCRGLEP&amp;VAR:QUERY=KChGRl9ORVRfREVCVChRVFIsMClARkZfTkVUX0RFQlQoU0VNSSwwKSlARkZfTkVUX0RFQlQoQU5OLDApKQ==&amp;","WINDOW=FIRST_POPUP&amp;HEIGHT=450&amp;WIDTH=450&amp;START_MAXIMIZED=FALSE&amp;VAR:CALENDAR=FIVEDAY&amp;VAR:SYMBOL=B03MVC&amp;VAR:INDEX=0"}</definedName>
    <definedName name="_21__123Graph_ACHART_32" hidden="1">'[2]Hrs Wkd Per T'!$G$16:$AP$16</definedName>
    <definedName name="_21__FDSAUDITLINK__" hidden="1">{"fdsup://directions/FAT Viewer?action=UPDATE&amp;creator=factset&amp;DYN_ARGS=TRUE&amp;DOC_NAME=FAT:FQL_AUDITING_CLIENT_TEMPLATE.FAT&amp;display_string=Audit&amp;VAR:KEY=GXWXGPUFMB&amp;VAR:QUERY=RkZfRU5UUlBSX1ZBTF9EQUlMWSgwLCwsLCwnRElMJyk=&amp;WINDOW=FIRST_POPUP&amp;HEIGHT=450&amp;WIDTH=450&amp;","START_MAXIMIZED=FALSE&amp;VAR:CALENDAR=FIVEDAY&amp;VAR:SYMBOL=685876&amp;VAR:INDEX=0"}</definedName>
    <definedName name="_210__FDSAUDITLINK__" hidden="1">{"fdsup://directions/FAT Viewer?action=UPDATE&amp;creator=factset&amp;DYN_ARGS=TRUE&amp;DOC_NAME=FAT:FQL_AUDITING_CLIENT_TEMPLATE.FAT&amp;display_string=Audit&amp;VAR:KEY=NOXIPEXQHK&amp;VAR:QUERY=RkZfTUtUX1ZBTF9DVVJSKCk=&amp;WINDOW=FIRST_POPUP&amp;HEIGHT=450&amp;WIDTH=450&amp;START_MAXIMIZED=FALS","E&amp;VAR:CALENDAR=FIVEDAY&amp;VAR:SYMBOL=B03MVC&amp;VAR:INDEX=0"}</definedName>
    <definedName name="_211__FDSAUDITLINK__" hidden="1">{"fdsup://directions/FAT Viewer?action=UPDATE&amp;creator=factset&amp;DYN_ARGS=TRUE&amp;DOC_NAME=FAT:FQL_AUDITING_CLIENT_TEMPLATE.FAT&amp;display_string=Audit&amp;VAR:KEY=LOPUJIRYHK&amp;VAR:QUERY=RkZfVEFYX1JBVEUoQU5OLDAp&amp;WINDOW=FIRST_POPUP&amp;HEIGHT=450&amp;WIDTH=450&amp;START_MAXIMIZED=FALS","E&amp;VAR:CALENDAR=FIVEDAY&amp;VAR:SYMBOL=B03MXX&amp;VAR:INDEX=0"}</definedName>
    <definedName name="_212__FDSAUDITLINK__" hidden="1">{"fdsup://directions/FAT Viewer?action=UPDATE&amp;creator=factset&amp;DYN_ARGS=TRUE&amp;DOC_NAME=FAT:FQL_AUDITING_CLIENT_TEMPLATE.FAT&amp;display_string=Audit&amp;VAR:KEY=YTSHYVUFKZ&amp;VAR:QUERY=KChGRl9ORVRfREVCVChRVFIsMClARkZfTkVUX0RFQlQoU0VNSSwwKSlARkZfTkVUX0RFQlQoQU5OLDApKQ==&amp;","WINDOW=FIRST_POPUP&amp;HEIGHT=450&amp;WIDTH=450&amp;START_MAXIMIZED=FALSE&amp;VAR:CALENDAR=FIVEDAY&amp;VAR:SYMBOL=B03MXX&amp;VAR:INDEX=0"}</definedName>
    <definedName name="_213__FDSAUDITLINK__" hidden="1">{"fdsup://directions/FAT Viewer?action=UPDATE&amp;creator=factset&amp;DYN_ARGS=TRUE&amp;DOC_NAME=FAT:FQL_AUDITING_CLIENT_TEMPLATE.FAT&amp;display_string=Audit&amp;VAR:KEY=ZSHUNWXGXU&amp;VAR:QUERY=RkZfTUtUX1ZBTF9DVVJSKCk=&amp;WINDOW=FIRST_POPUP&amp;HEIGHT=450&amp;WIDTH=450&amp;START_MAXIMIZED=FALS","E&amp;VAR:CALENDAR=FIVEDAY&amp;VAR:SYMBOL=B03MXX&amp;VAR:INDEX=0"}</definedName>
    <definedName name="_214__FDSAUDITLINK__" hidden="1">{"fdsup://Directions/FactSet Auditing Viewer?action=AUDIT_VALUE&amp;DB=129&amp;ID1=B03MM4&amp;VALUEID=01001&amp;SDATE=2009&amp;PERIODTYPE=ANNR_STD&amp;window=popup_no_bar&amp;width=385&amp;height=120&amp;START_MAXIMIZED=FALSE&amp;creator=factset&amp;display_string=Audit"}</definedName>
    <definedName name="_215__FDSAUDITLINK__" hidden="1">{"fdsup://directions/FAT Viewer?action=UPDATE&amp;creator=factset&amp;DYN_ARGS=TRUE&amp;DOC_NAME=FAT:FQL_AUDITING_CLIENT_TEMPLATE.FAT&amp;display_string=Audit&amp;VAR:KEY=CDQDUHMJGL&amp;VAR:QUERY=RkZfSU5UX0VYUF9ORVQoTFRNUywwKQ==&amp;WINDOW=FIRST_POPUP&amp;HEIGHT=450&amp;WIDTH=450&amp;START_MAXIMI","ZED=FALSE&amp;VAR:CALENDAR=US&amp;VAR:SYMBOL=B03MM4&amp;VAR:INDEX=0"}</definedName>
    <definedName name="_216__FDSAUDITLINK__" hidden="1">{"fdsup://directions/FAT Viewer?action=UPDATE&amp;creator=factset&amp;DYN_ARGS=TRUE&amp;DOC_NAME=FAT:FQL_AUDITING_CLIENT_TEMPLATE.FAT&amp;display_string=Audit&amp;VAR:KEY=SRSDENGHMZ&amp;VAR:QUERY=RkZfRUJJVF9PUEVSKExUTVMsMCk=&amp;WINDOW=FIRST_POPUP&amp;HEIGHT=450&amp;WIDTH=450&amp;START_MAXIMIZED=","FALSE&amp;VAR:CALENDAR=US&amp;VAR:SYMBOL=B03MM4&amp;VAR:INDEX=0"}</definedName>
    <definedName name="_217__FDSAUDITLINK__" hidden="1">{"fdsup://directions/FAT Viewer?action=UPDATE&amp;creator=factset&amp;DYN_ARGS=TRUE&amp;DOC_NAME=FAT:FQL_AUDITING_CLIENT_TEMPLATE.FAT&amp;display_string=Audit&amp;VAR:KEY=WPSBSJYNSN&amp;VAR:QUERY=RkZfRUJJVERBX09QRVIoTFRNUywwKQ==&amp;WINDOW=FIRST_POPUP&amp;HEIGHT=450&amp;WIDTH=450&amp;START_MAXIMI","ZED=FALSE&amp;VAR:CALENDAR=US&amp;VAR:SYMBOL=B03MM4&amp;VAR:INDEX=0"}</definedName>
    <definedName name="_22__123Graph_ACHART_33" hidden="1">'[2]Hrs Wkd Per T'!$G$26:$AP$26</definedName>
    <definedName name="_22__FDSAUDITLINK__" hidden="1">{"fdsup://directions/FAT Viewer?action=UPDATE&amp;creator=factset&amp;DYN_ARGS=TRUE&amp;DOC_NAME=FAT:FQL_AUDITING_CLIENT_TEMPLATE.FAT&amp;display_string=Audit&amp;VAR:KEY=KVKNKDMBYF&amp;VAR:QUERY=RkZfRU5UUlBSX1ZBTF9FQklUREFfT1BFUihBTk4sTk9XLE5PVyk=&amp;WINDOW=FIRST_POPUP&amp;HEIGHT=450&amp;WI","DTH=450&amp;START_MAXIMIZED=FALSE&amp;VAR:CALENDAR=FIVEDAY&amp;VAR:SYMBOL=685876&amp;VAR:INDEX=0"}</definedName>
    <definedName name="_223__FDSAUDITLINK__" hidden="1">{"fdsup://Directions/FactSet Auditing Viewer?action=AUDIT_VALUE&amp;DB=129&amp;ID1=B03MM4&amp;VALUEID=01001&amp;SDATE=2010&amp;PERIODTYPE=ANNR_STD&amp;window=popup_no_bar&amp;width=385&amp;height=120&amp;START_MAXIMIZED=FALSE&amp;creator=factset&amp;display_string=Audit"}</definedName>
    <definedName name="_224__FDSAUDITLINK__" hidden="1">{"fdsup://directions/FAT Viewer?action=UPDATE&amp;creator=factset&amp;DYN_ARGS=TRUE&amp;DOC_NAME=FAT:FQL_AUDITING_CLIENT_TEMPLATE.FAT&amp;display_string=Audit&amp;VAR:KEY=LWNEPKPEBA&amp;VAR:QUERY=RkZfRUJJVERBX09QRVIoQU5OX1IsNDA1NDMsLCwsLE0p&amp;WINDOW=FIRST_POPUP&amp;HEIGHT=450&amp;WIDTH=450&amp;","START_MAXIMIZED=FALSE&amp;VAR:CALENDAR=US&amp;VAR:SYMBOL=B03MM4&amp;VAR:INDEX=0"}</definedName>
    <definedName name="_225__FDSAUDITLINK__" hidden="1">{"fdsup://Directions/FactSet Auditing Viewer?action=AUDIT_VALUE&amp;DB=129&amp;ID1=B03MM4&amp;VALUEID=01151&amp;SDATE=2010&amp;PERIODTYPE=ANNR_STD&amp;window=popup_no_bar&amp;width=385&amp;height=120&amp;START_MAXIMIZED=FALSE&amp;creator=factset&amp;display_string=Audit"}</definedName>
    <definedName name="_226__FDSAUDITLINK__" hidden="1">{"fdsup://Directions/FactSet Auditing Viewer?action=AUDIT_VALUE&amp;DB=129&amp;ID1=B03MM4&amp;VALUEID=01250&amp;SDATE=2010&amp;PERIODTYPE=ANNR_STD&amp;window=popup_no_bar&amp;width=385&amp;height=120&amp;START_MAXIMIZED=FALSE&amp;creator=factset&amp;display_string=Audit"}</definedName>
    <definedName name="_227__FDSAUDITLINK__" hidden="1">{"fdsup://Directions/FactSet Auditing Viewer?action=AUDIT_VALUE&amp;DB=129&amp;ID1=B03MM4&amp;VALUEID=01250&amp;SDATE=2010&amp;PERIODTYPE=ANNR_STD&amp;window=popup_no_bar&amp;width=385&amp;height=120&amp;START_MAXIMIZED=FALSE&amp;creator=factset&amp;display_string=Audit"}</definedName>
    <definedName name="_228__FDSAUDITLINK__" hidden="1">{"fdsup://directions/FAT Viewer?action=UPDATE&amp;creator=factset&amp;DYN_ARGS=TRUE&amp;DOC_NAME=FAT:FQL_AUDITING_CLIENT_TEMPLATE.FAT&amp;display_string=Audit&amp;VAR:KEY=HKPODUPWHY&amp;VAR:QUERY=RkZfRVBTX0RJTF9CRUZfVU5VU1VBTChBTk5fUiw0MDU0Myk=&amp;WINDOW=FIRST_POPUP&amp;HEIGHT=450&amp;WIDTH=","450&amp;START_MAXIMIZED=FALSE&amp;VAR:CALENDAR=US&amp;VAR:SYMBOL=B03MM4&amp;VAR:INDEX=0"}</definedName>
    <definedName name="_229__FDSAUDITLINK__" hidden="1">{"fdsup://directions/FAT Viewer?action=UPDATE&amp;creator=factset&amp;DYN_ARGS=TRUE&amp;DOC_NAME=FAT:FQL_AUDITING_CLIENT_TEMPLATE.FAT&amp;display_string=Audit&amp;VAR:KEY=RUNOBIVMNG&amp;VAR:QUERY=RkZfQ0FQRVgoQU5OX1IsNDA1NDMsLCwsLE0p&amp;WINDOW=FIRST_POPUP&amp;HEIGHT=450&amp;WIDTH=450&amp;START_MA","XIMIZED=FALSE&amp;VAR:CALENDAR=US&amp;VAR:SYMBOL=B03MM4&amp;VAR:INDEX=0"}</definedName>
    <definedName name="_23__123Graph_ACHART_34" hidden="1">'[2]Hrs Wkd Per T'!$G$40:$AP$40</definedName>
    <definedName name="_23__FDSAUDITLINK__" hidden="1">{"fdsup://directions/FAT Viewer?action=UPDATE&amp;creator=factset&amp;DYN_ARGS=TRUE&amp;DOC_NAME=FAT:FQL_AUDITING_CLIENT_TEMPLATE.FAT&amp;display_string=Audit&amp;VAR:KEY=RKXYDWFWRM&amp;VAR:QUERY=RkZfRUJJVERBX09QRVIoTFRNLDAp&amp;WINDOW=FIRST_POPUP&amp;HEIGHT=450&amp;WIDTH=450&amp;START_MAXIMIZED=","FALSE&amp;VAR:CALENDAR=FIVEDAY&amp;VAR:SYMBOL=22836810&amp;VAR:INDEX=0"}</definedName>
    <definedName name="_230__FDSAUDITLINK__" hidden="1">{"fdsup://Directions/FactSet Auditing Viewer?action=AUDIT_VALUE&amp;DB=129&amp;ID1=B16GWD&amp;VALUEID=18821&amp;SDATE=2009&amp;PERIODTYPE=ANN_STD&amp;window=popup_no_bar&amp;width=385&amp;height=120&amp;START_MAXIMIZED=FALSE&amp;creator=factset&amp;display_string=Audit"}</definedName>
    <definedName name="_231__FDSAUDITLINK__" hidden="1">{"fdsup://Directions/FactSet Auditing Viewer?action=AUDIT_VALUE&amp;DB=129&amp;ID1=B16GWD&amp;VALUEID=03426&amp;SDATE=201001&amp;PERIODTYPE=SEMI_STD&amp;window=popup_no_bar&amp;width=385&amp;height=120&amp;START_MAXIMIZED=FALSE&amp;creator=factset&amp;display_string=Audit"}</definedName>
    <definedName name="_232__FDSAUDITLINK__" hidden="1">{"fdsup://directions/FAT Viewer?action=UPDATE&amp;creator=factset&amp;DYN_ARGS=TRUE&amp;DOC_NAME=FAT:FQL_AUDITING_CLIENT_TEMPLATE.FAT&amp;display_string=Audit&amp;VAR:KEY=ULIDSVQFSH&amp;VAR:QUERY=RkZfQ0FQRVgoQU5OLDIwMDgsLCwsSUNfQ1VSUkVOQ1lfSVNPKCksTSk=&amp;WINDOW=FIRST_POPUP&amp;HEIGHT=45","0&amp;WIDTH=450&amp;START_MAXIMIZED=FALSE&amp;VAR:CALENDAR=US&amp;VAR:SYMBOL=B16GWD&amp;VAR:INDEX=0"}</definedName>
    <definedName name="_233__FDSAUDITLINK__" hidden="1">{"fdsup://directions/FAT Viewer?action=UPDATE&amp;creator=factset&amp;DYN_ARGS=TRUE&amp;DOC_NAME=FAT:FQL_AUDITING_CLIENT_TEMPLATE.FAT&amp;display_string=Audit&amp;VAR:KEY=EXKRCRMXYR&amp;VAR:QUERY=RkZfRUJJVERBX09QRVIoQU5OLDIwMTAsLCwsSUNfQ1VSUkVOQ1lfSVNPKCksTSk=&amp;WINDOW=FIRST_POPUP&amp;H","EIGHT=450&amp;WIDTH=450&amp;START_MAXIMIZED=FALSE&amp;VAR:CALENDAR=US&amp;VAR:SYMBOL=B03MM4&amp;VAR:INDEX=0"}</definedName>
    <definedName name="_234__FDSAUDITLINK__" hidden="1">{"fdsup://directions/FAT Viewer?action=UPDATE&amp;creator=factset&amp;DYN_ARGS=TRUE&amp;DOC_NAME=FAT:FQL_AUDITING_CLIENT_TEMPLATE.FAT&amp;display_string=Audit&amp;VAR:KEY=QVIXENKRIB&amp;VAR:QUERY=RkZfRUJJVF9PUEVSKEFOTiwyMDA4LCwsLElDX0NVUlJFTkNZX0lTTygpLE0p&amp;WINDOW=FIRST_POPUP&amp;HEIGH","T=450&amp;WIDTH=450&amp;START_MAXIMIZED=FALSE&amp;VAR:CALENDAR=US&amp;VAR:SYMBOL=B16GWD&amp;VAR:INDEX=0"}</definedName>
    <definedName name="_235__FDSAUDITLINK__" hidden="1">{"fdsup://Directions/FactSet Auditing Viewer?action=AUDIT_VALUE&amp;DB=129&amp;ID1=B03MM4&amp;VALUEID=01250&amp;SDATE=2010&amp;PERIODTYPE=ANN_STD&amp;window=popup_no_bar&amp;width=385&amp;height=120&amp;START_MAXIMIZED=FALSE&amp;creator=factset&amp;display_string=Audit"}</definedName>
    <definedName name="_236__FDSAUDITLINK__" hidden="1">{"fdsup://Directions/FactSet Auditing Viewer?action=AUDIT_VALUE&amp;DB=129&amp;ID1=B03MM4&amp;VALUEID=01250&amp;SDATE=2010&amp;PERIODTYPE=ANN_STD&amp;window=popup_no_bar&amp;width=385&amp;height=120&amp;START_MAXIMIZED=FALSE&amp;creator=factset&amp;display_string=Audit"}</definedName>
    <definedName name="_237__FDSAUDITLINK__" hidden="1">{"fdsup://directions/FAT Viewer?action=UPDATE&amp;creator=factset&amp;DYN_ARGS=TRUE&amp;DOC_NAME=FAT:FQL_AUDITING_CLIENT_TEMPLATE.FAT&amp;display_string=Audit&amp;VAR:KEY=KPKTQBWZQN&amp;VAR:QUERY=RkZfRVBTX0RJTChBTk4sNDAyOTgsLCwsSUNfQ1VSUkVOQ1lfSVNPKCkp&amp;WINDOW=FIRST_POPUP&amp;HEIGHT=45","0&amp;WIDTH=450&amp;START_MAXIMIZED=FALSE&amp;VAR:CALENDAR=US&amp;VAR:SYMBOL=B3KHXB&amp;VAR:INDEX=0"}</definedName>
    <definedName name="_238__FDSAUDITLINK__" hidden="1">{"fdsup://Directions/FactSet Auditing Viewer?action=AUDIT_VALUE&amp;DB=129&amp;ID1=B16GWD&amp;VALUEID=02001&amp;SDATE=201001&amp;PERIODTYPE=SEMI_STD&amp;window=popup_no_bar&amp;width=385&amp;height=120&amp;START_MAXIMIZED=FALSE&amp;creator=factset&amp;display_string=Audit"}</definedName>
    <definedName name="_239__FDSAUDITLINK__" hidden="1">{"fdsup://directions/FAT Viewer?action=UPDATE&amp;creator=factset&amp;DYN_ARGS=TRUE&amp;DOC_NAME=FAT:FQL_AUDITING_CLIENT_TEMPLATE.FAT&amp;display_string=Audit&amp;VAR:KEY=QROJCVUFGT&amp;VAR:QUERY=RkZfQ0FQRVgoQU5OLDIwMTAsLCwsSUNfQ1VSUkVOQ1lfSVNPKCksTSk=&amp;WINDOW=FIRST_POPUP&amp;HEIGHT=45","0&amp;WIDTH=450&amp;START_MAXIMIZED=FALSE&amp;VAR:CALENDAR=US&amp;VAR:SYMBOL=B16GWD&amp;VAR:INDEX=0"}</definedName>
    <definedName name="_24__123Graph_ACHART_4" hidden="1">'[4]Inputs and Calc'!$BG$239:$BK$239</definedName>
    <definedName name="_24__FDSAUDITLINK__" hidden="1">{"fdsup://directions/FAT Viewer?action=UPDATE&amp;creator=factset&amp;DYN_ARGS=TRUE&amp;DOC_NAME=FAT:FQL_AUDITING_CLIENT_TEMPLATE.FAT&amp;display_string=Audit&amp;VAR:KEY=FAHYHGFERO&amp;VAR:QUERY=RkZfRUJJVERBX09QRVIoTFRNLDAp&amp;WINDOW=FIRST_POPUP&amp;HEIGHT=450&amp;WIDTH=450&amp;START_MAXIMIZED=","FALSE&amp;VAR:CALENDAR=FIVEDAY&amp;VAR:SYMBOL=B0GWF4&amp;VAR:INDEX=0"}</definedName>
    <definedName name="_240__FDSAUDITLINK__" hidden="1">{"fdsup://Directions/FactSet Auditing Viewer?action=AUDIT_VALUE&amp;DB=129&amp;ID1=B16GWD&amp;VALUEID=01151&amp;SDATE=2008&amp;PERIODTYPE=ANN_STD&amp;window=popup_no_bar&amp;width=385&amp;height=120&amp;START_MAXIMIZED=FALSE&amp;creator=factset&amp;display_string=Audit"}</definedName>
    <definedName name="_241__FDSAUDITLINK__" hidden="1">{"fdsup://directions/FAT Viewer?action=UPDATE&amp;creator=factset&amp;DYN_ARGS=TRUE&amp;DOC_NAME=FAT:FQL_AUDITING_CLIENT_TEMPLATE.FAT&amp;display_string=Audit&amp;VAR:KEY=CLCNANYFKD&amp;VAR:QUERY=RkZfRUJJVF9PUEVSKEFOTiwyMDA4LCwsLElDX0NVUlJFTkNZX0lTTygpLE0p&amp;WINDOW=FIRST_POPUP&amp;HEIGH","T=450&amp;WIDTH=450&amp;START_MAXIMIZED=FALSE&amp;VAR:CALENDAR=US&amp;VAR:SYMBOL=B03MM4&amp;VAR:INDEX=0"}</definedName>
    <definedName name="_242__FDSAUDITLINK__" hidden="1">{"fdsup://Directions/FactSet Auditing Viewer?action=AUDIT_VALUE&amp;DB=129&amp;ID1=B03MM4&amp;VALUEID=01250&amp;SDATE=2008&amp;PERIODTYPE=ANN_STD&amp;window=popup_no_bar&amp;width=385&amp;height=120&amp;START_MAXIMIZED=FALSE&amp;creator=factset&amp;display_string=Audit"}</definedName>
    <definedName name="_243__FDSAUDITLINK__" hidden="1">{"fdsup://Directions/FactSet Auditing Viewer?action=AUDIT_VALUE&amp;DB=129&amp;ID1=B16GWD&amp;VALUEID=05194&amp;SDATE=2008&amp;PERIODTYPE=ANNR_STD&amp;window=popup_no_bar&amp;width=385&amp;height=120&amp;START_MAXIMIZED=FALSE&amp;creator=factset&amp;display_string=Audit"}</definedName>
    <definedName name="_244__FDSAUDITLINK__" hidden="1">{"fdsup://directions/FAT Viewer?action=UPDATE&amp;creator=factset&amp;DYN_ARGS=TRUE&amp;DOC_NAME=FAT:FQL_AUDITING_CLIENT_TEMPLATE.FAT&amp;display_string=Audit&amp;VAR:KEY=YTMHSDSBWH&amp;VAR:QUERY=RkZfRUJJVERBX09QRVIoQU5OLDIwMDgsLCwsSUNfQ1VSUkVOQ1lfSVNPKCksTSk=&amp;WINDOW=FIRST_POPUP&amp;H","EIGHT=450&amp;WIDTH=450&amp;START_MAXIMIZED=FALSE&amp;VAR:CALENDAR=US&amp;VAR:SYMBOL=B16GWD&amp;VAR:INDEX=0"}</definedName>
    <definedName name="_245__FDSAUDITLINK__" hidden="1">{"fdsup://directions/FAT Viewer?action=UPDATE&amp;creator=factset&amp;DYN_ARGS=TRUE&amp;DOC_NAME=FAT:FQL_AUDITING_CLIENT_TEMPLATE.FAT&amp;display_string=Audit&amp;VAR:KEY=SHSDGVGNQP&amp;VAR:QUERY=RkZfRUJJVERBX09QRVIoQU5OLDIwMTAsLCwsSUNfQ1VSUkVOQ1lfSVNPKCksTSk=&amp;WINDOW=FIRST_POPUP&amp;H","EIGHT=450&amp;WIDTH=450&amp;START_MAXIMIZED=FALSE&amp;VAR:CALENDAR=US&amp;VAR:SYMBOL=B16GWD&amp;VAR:INDEX=0"}</definedName>
    <definedName name="_246__FDSAUDITLINK__" hidden="1">{"fdsup://Directions/FactSet Auditing Viewer?action=AUDIT_VALUE&amp;DB=129&amp;ID1=B16GWD&amp;VALUEID=03051&amp;SDATE=201001&amp;PERIODTYPE=SEMI_STD&amp;window=popup_no_bar&amp;width=385&amp;height=120&amp;START_MAXIMIZED=FALSE&amp;creator=factset&amp;display_string=Audit"}</definedName>
    <definedName name="_247__FDSAUDITLINK__" hidden="1">{"fdsup://Directions/FactSet Auditing Viewer?action=AUDIT_VALUE&amp;DB=129&amp;ID1=B16GWD&amp;VALUEID=04831&amp;SDATE=2008&amp;PERIODTYPE=ANN_STD&amp;window=popup_no_bar&amp;width=385&amp;height=120&amp;START_MAXIMIZED=FALSE&amp;creator=factset&amp;display_string=Audit"}</definedName>
    <definedName name="_248__FDSAUDITLINK__" hidden="1">{"fdsup://directions/FAT Viewer?action=UPDATE&amp;creator=factset&amp;DYN_ARGS=TRUE&amp;DOC_NAME=FAT:FQL_AUDITING_CLIENT_TEMPLATE.FAT&amp;display_string=Audit&amp;VAR:KEY=WJMPMFYRQB&amp;VAR:QUERY=KChGRl9ERUJUX0xUKFFUUiw0MDU4MywsLCxJQ19DVVJSRU5DWV9JU08oKSlARkZfREVCVF9MVChTRU1JLDQwN","TgzLCwsLElDX0NVUlJFTkNZX0lTTygpKSlARkZfREVCVF9MVChBTk4sNDA1ODMsLCwsSUNfQ1VSUkVOQ1lfSVNPKCkpKQ==&amp;WINDOW=FIRST_POPUP&amp;HEIGHT=450&amp;WIDTH=450&amp;START_MAXIMIZED=FALSE&amp;VAR:CALENDAR=US&amp;VAR:SYMBOL=B16GWD&amp;VAR:INDEX=0"}</definedName>
    <definedName name="_249__FDSAUDITLINK__" hidden="1">{"fdsup://Directions/FactSet Auditing Viewer?action=AUDIT_VALUE&amp;DB=129&amp;ID1=B16GWD&amp;VALUEID=01201&amp;SDATE=2008&amp;PERIODTYPE=ANN_STD&amp;window=popup_no_bar&amp;width=385&amp;height=120&amp;START_MAXIMIZED=FALSE&amp;creator=factset&amp;display_string=Audit"}</definedName>
    <definedName name="_25__123Graph_ACHART_5" hidden="1">'[4]Inputs and Calc'!$F$316:$I$316</definedName>
    <definedName name="_25__FDSAUDITLINK__" hidden="1">{"fdsup://directions/FAT Viewer?action=UPDATE&amp;creator=factset&amp;DYN_ARGS=TRUE&amp;DOC_NAME=FAT:FQL_AUDITING_CLIENT_TEMPLATE.FAT&amp;display_string=Audit&amp;VAR:KEY=BEJUNUJUHG&amp;VAR:QUERY=RkZfRUJJVERBX09QRVIoTFRNLDAp&amp;WINDOW=FIRST_POPUP&amp;HEIGHT=450&amp;WIDTH=450&amp;START_MAXIMIZED=","FALSE&amp;VAR:CALENDAR=FIVEDAY&amp;VAR:SYMBOL=74761910&amp;VAR:INDEX=0"}</definedName>
    <definedName name="_250__FDSAUDITLINK__" hidden="1">{"fdsup://directions/FAT Viewer?action=UPDATE&amp;creator=factset&amp;DYN_ARGS=TRUE&amp;DOC_NAME=FAT:FQL_AUDITING_CLIENT_TEMPLATE.FAT&amp;display_string=Audit&amp;VAR:KEY=CRODWJWRSL&amp;VAR:QUERY=RkZfRVBTX0RJTChBTk4sMjAwOSwsLCxJQ19DVVJSRU5DWV9JU08oKSk=&amp;WINDOW=FIRST_POPUP&amp;HEIGHT=45","0&amp;WIDTH=450&amp;START_MAXIMIZED=FALSE&amp;VAR:CALENDAR=US&amp;VAR:SYMBOL=B16GWD&amp;VAR:INDEX=0"}</definedName>
    <definedName name="_251__FDSAUDITLINK__" hidden="1">{"fdsup://Directions/FactSet Auditing Viewer?action=AUDIT_VALUE&amp;DB=129&amp;ID1=B16GWD&amp;VALUEID=05194&amp;SDATE=2007&amp;PERIODTYPE=ANNR_STD&amp;window=popup_no_bar&amp;width=385&amp;height=120&amp;START_MAXIMIZED=FALSE&amp;creator=factset&amp;display_string=Audit"}</definedName>
    <definedName name="_252__FDSAUDITLINK__" hidden="1">{"fdsup://Directions/FactSet Auditing Viewer?action=AUDIT_VALUE&amp;DB=129&amp;ID1=B16GWD&amp;VALUEID=05194&amp;SDATE=2009&amp;PERIODTYPE=ANNR_STD&amp;window=popup_no_bar&amp;width=385&amp;height=120&amp;START_MAXIMIZED=FALSE&amp;creator=factset&amp;display_string=Audit"}</definedName>
    <definedName name="_253__FDSAUDITLINK__" hidden="1">{"fdsup://directions/FAT Viewer?action=UPDATE&amp;creator=factset&amp;DYN_ARGS=TRUE&amp;DOC_NAME=FAT:FQL_AUDITING_CLIENT_TEMPLATE.FAT&amp;display_string=Audit&amp;VAR:KEY=CNCHKZCBCL&amp;VAR:QUERY=RkZfTkVUX0lOQyhMVE1TX1NFTUksMCwsLCxJQ19DVVJSRU5DWV9JU08oKSk=&amp;WINDOW=FIRST_POPUP&amp;HEIGH","T=450&amp;WIDTH=450&amp;START_MAXIMIZED=FALSE&amp;VAR:CALENDAR=US&amp;VAR:SYMBOL=B16GWD&amp;VAR:INDEX=0"}</definedName>
    <definedName name="_254__FDSAUDITLINK__" hidden="1">{"fdsup://Directions/FactSet Auditing Viewer?action=AUDIT_VALUE&amp;DB=129&amp;ID1=B16GWD&amp;VALUEID=01250&amp;SDATE=2008&amp;PERIODTYPE=ANN_STD&amp;window=popup_no_bar&amp;width=385&amp;height=120&amp;START_MAXIMIZED=FALSE&amp;creator=factset&amp;display_string=Audit"}</definedName>
    <definedName name="_255__FDSAUDITLINK__" hidden="1">{"fdsup://directions/FAT Viewer?action=UPDATE&amp;creator=factset&amp;DYN_ARGS=TRUE&amp;DOC_NAME=FAT:FQL_AUDITING_CLIENT_TEMPLATE.FAT&amp;display_string=Audit&amp;VAR:KEY=ENQNINQLYP&amp;VAR:QUERY=KEZGX0RFQlRfTFQoUVRSLDBELCwsLElDX0NVUlJFTkNZX0lTTygpKUBGRl9ERUJUX0xUKFNFTUksMEQsLCwsS","UNfQ1VSUkVOQ1lfSVNPKCkpKQ==&amp;WINDOW=FIRST_POPUP&amp;HEIGHT=450&amp;WIDTH=450&amp;START_MAXIMIZED=FALSE&amp;VAR:CALENDAR=US&amp;VAR:SYMBOL=B03MM4&amp;VAR:INDEX=0"}</definedName>
    <definedName name="_256__FDSAUDITLINK__" hidden="1">{"fdsup://Directions/FactSet Auditing Viewer?action=AUDIT_VALUE&amp;DB=129&amp;ID1=B03MM4&amp;VALUEID=03051&amp;SDATE=201004&amp;PERIODTYPE=QTR_STD&amp;window=popup_no_bar&amp;width=385&amp;height=120&amp;START_MAXIMIZED=FALSE&amp;creator=factset&amp;display_string=Audit"}</definedName>
    <definedName name="_257__FDSAUDITLINK__" hidden="1">{"fdsup://Directions/FactSet Auditing Viewer?action=AUDIT_VALUE&amp;DB=129&amp;ID1=B03MM4&amp;VALUEID=02001&amp;SDATE=201004&amp;PERIODTYPE=QTR_STD&amp;window=popup_no_bar&amp;width=385&amp;height=120&amp;START_MAXIMIZED=FALSE&amp;creator=factset&amp;display_string=Audit"}</definedName>
    <definedName name="_258__FDSAUDITLINK__" hidden="1">{"fdsup://Directions/FactSet Auditing Viewer?action=AUDIT_VALUE&amp;DB=129&amp;ID1=B03MM4&amp;VALUEID=02001&amp;SDATE=201004&amp;PERIODTYPE=QTR_STD&amp;window=popup_no_bar&amp;width=385&amp;height=120&amp;START_MAXIMIZED=FALSE&amp;creator=factset&amp;display_string=Audit"}</definedName>
    <definedName name="_259__FDSAUDITLINK__" hidden="1">{"fdsup://Directions/FactSet Auditing Viewer?action=AUDIT_VALUE&amp;DB=129&amp;ID1=B03MM4&amp;VALUEID=03051&amp;SDATE=201004&amp;PERIODTYPE=QTR_STD&amp;window=popup_no_bar&amp;width=385&amp;height=120&amp;START_MAXIMIZED=FALSE&amp;creator=factset&amp;display_string=Audit"}</definedName>
    <definedName name="_26__FDSAUDITLINK__" hidden="1">{"fdsup://directions/FAT Viewer?action=UPDATE&amp;creator=factset&amp;DYN_ARGS=TRUE&amp;DOC_NAME=FAT:FQL_AUDITING_CLIENT_TEMPLATE.FAT&amp;display_string=Audit&amp;VAR:KEY=JUHYJKJGNI&amp;VAR:QUERY=RkZfRUJJVERBX09QRVIoTFRNLDAp&amp;WINDOW=FIRST_POPUP&amp;HEIGHT=450&amp;WIDTH=450&amp;START_MAXIMIZED=","FALSE&amp;VAR:CALENDAR=FIVEDAY&amp;VAR:SYMBOL=65542W10&amp;VAR:INDEX=0"}</definedName>
    <definedName name="_260__FDSAUDITLINK__" hidden="1">{"fdsup://directions/FAT Viewer?action=UPDATE&amp;creator=factset&amp;DYN_ARGS=TRUE&amp;DOC_NAME=FAT:FQL_AUDITING_CLIENT_TEMPLATE.FAT&amp;display_string=Audit&amp;VAR:KEY=GZUBOZIHSF&amp;VAR:QUERY=KEZGX0RFQlRfTFQoUVRSLDQwNTgzLCwsLElDX0NVUlJFTkNZX0lTTygpKUBGRl9ERUJUX0xUKFNFTUksNDA1O","DMsLCwsSUNfQ1VSUkVOQ1lfSVNPKCkpKQ==&amp;WINDOW=FIRST_POPUP&amp;HEIGHT=450&amp;WIDTH=450&amp;START_MAXIMIZED=FALSE&amp;VAR:CALENDAR=US&amp;VAR:SYMBOL=B03MM4&amp;VAR:INDEX=0"}</definedName>
    <definedName name="_261__FDSAUDITLINK__" hidden="1">{"fdsup://Directions/FactSet Auditing Viewer?action=AUDIT_VALUE&amp;DB=129&amp;ID1=B03MM4&amp;VALUEID=03426&amp;SDATE=201004&amp;PERIODTYPE=QTR_STD&amp;window=popup_no_bar&amp;width=385&amp;height=120&amp;START_MAXIMIZED=FALSE&amp;creator=factset&amp;display_string=Audit"}</definedName>
    <definedName name="_262__FDSAUDITLINK__" hidden="1">{"fdsup://directions/FAT Viewer?action=UPDATE&amp;creator=factset&amp;DYN_ARGS=TRUE&amp;DOC_NAME=FAT:FQL_AUDITING_CLIENT_TEMPLATE.FAT&amp;display_string=Audit&amp;VAR:KEY=OZETMVWXOV&amp;VAR:QUERY=RkZfSU5UX0VYUF9ORVQoTFRNU19TRU1JLDAsLCwsSUNfQ1VSUkVOQ1lfSVNPKCkp&amp;WINDOW=FIRST_POPUP&amp;H","EIGHT=450&amp;WIDTH=450&amp;START_MAXIMIZED=FALSE&amp;VAR:CALENDAR=US&amp;VAR:SYMBOL=B16GWD&amp;VAR:INDEX=0"}</definedName>
    <definedName name="_263__FDSAUDITLINK__" hidden="1">{"fdsup://Directions/FactSet Auditing Viewer?action=AUDIT_VALUE&amp;DB=129&amp;ID1=B16GWD&amp;VALUEID=01201&amp;SDATE=2009&amp;PERIODTYPE=ANN_STD&amp;window=popup_no_bar&amp;width=385&amp;height=120&amp;START_MAXIMIZED=FALSE&amp;creator=factset&amp;display_string=Audit"}</definedName>
    <definedName name="_264__FDSAUDITLINK__" hidden="1">{"fdsup://directions/FAT Viewer?action=UPDATE&amp;creator=factset&amp;DYN_ARGS=TRUE&amp;DOC_NAME=FAT:FQL_AUDITING_CLIENT_TEMPLATE.FAT&amp;display_string=Audit&amp;VAR:KEY=EBKBCRIRMD&amp;VAR:QUERY=KEZGX0RFQlRfTFQoUVRSLDQwNTgzLCwsLElDX0NVUlJFTkNZX0lTTygpKUBGRl9ERUJUX0xUKFNFTUksNDA1O","DMsLCwsSUNfQ1VSUkVOQ1lfSVNPKCkpKQ==&amp;WINDOW=FIRST_POPUP&amp;HEIGHT=450&amp;WIDTH=450&amp;START_MAXIMIZED=FALSE&amp;VAR:CALENDAR=US&amp;VAR:SYMBOL=B16GWD&amp;VAR:INDEX=0"}</definedName>
    <definedName name="_265__FDSAUDITLINK__" hidden="1">{"fdsup://directions/FAT Viewer?action=UPDATE&amp;creator=factset&amp;DYN_ARGS=TRUE&amp;DOC_NAME=FAT:FQL_AUDITING_CLIENT_TEMPLATE.FAT&amp;display_string=Audit&amp;VAR:KEY=MZYRSFMNKH&amp;VAR:QUERY=RkZfQ0FQRVgoQU5OLDIwMDksLCwsSUNfQ1VSUkVOQ1lfSVNPKCksTSk=&amp;WINDOW=FIRST_POPUP&amp;HEIGHT=45","0&amp;WIDTH=450&amp;START_MAXIMIZED=FALSE&amp;VAR:CALENDAR=US&amp;VAR:SYMBOL=B16GWD&amp;VAR:INDEX=0"}</definedName>
    <definedName name="_266__FDSAUDITLINK__" hidden="1">{"fdsup://directions/FAT Viewer?action=UPDATE&amp;creator=factset&amp;DYN_ARGS=TRUE&amp;DOC_NAME=FAT:FQL_AUDITING_CLIENT_TEMPLATE.FAT&amp;display_string=Audit&amp;VAR:KEY=GLMPCHEBCD&amp;VAR:QUERY=RkZfRUJJVERBX09QRVIoTFRNU19TRU1JLDAsLCwsSUNfQ1VSUkVOQ1lfSVNPKCkp&amp;WINDOW=FIRST_POPUP&amp;H","EIGHT=450&amp;WIDTH=450&amp;START_MAXIMIZED=FALSE&amp;VAR:CALENDAR=US&amp;VAR:SYMBOL=B16GWD&amp;VAR:INDEX=0"}</definedName>
    <definedName name="_267__FDSAUDITLINK__" hidden="1">{"fdsup://Directions/FactSet Auditing Viewer?action=AUDIT_VALUE&amp;DB=129&amp;ID1=B16GWD&amp;VALUEID=01250&amp;SDATE=2009&amp;PERIODTYPE=ANN_STD&amp;window=popup_no_bar&amp;width=385&amp;height=120&amp;START_MAXIMIZED=FALSE&amp;creator=factset&amp;display_string=Audit"}</definedName>
    <definedName name="_268__FDSAUDITLINK__" hidden="1">{"fdsup://Directions/FactSet Auditing Viewer?action=AUDIT_VALUE&amp;DB=129&amp;ID1=B03MM4&amp;VALUEID=02001&amp;SDATE=201004&amp;PERIODTYPE=QTR_STD&amp;window=popup_no_bar&amp;width=385&amp;height=120&amp;START_MAXIMIZED=FALSE&amp;creator=factset&amp;display_string=Audit"}</definedName>
    <definedName name="_269__FDSAUDITLINK__" hidden="1">{"fdsup://Directions/FactSet Auditing Viewer?action=AUDIT_VALUE&amp;DB=129&amp;ID1=B03MM4&amp;VALUEID=03051&amp;SDATE=201004&amp;PERIODTYPE=QTR_STD&amp;window=popup_no_bar&amp;width=385&amp;height=120&amp;START_MAXIMIZED=FALSE&amp;creator=factset&amp;display_string=Audit"}</definedName>
    <definedName name="_27__123Graph_ACHART_7" hidden="1">'[4]Inputs and Calc'!$BG$237:$BK$237</definedName>
    <definedName name="_27__FDSAUDITLINK__" hidden="1">{"fdsup://directions/FAT Viewer?action=UPDATE&amp;creator=factset&amp;DYN_ARGS=TRUE&amp;DOC_NAME=FAT:FQL_AUDITING_CLIENT_TEMPLATE.FAT&amp;display_string=Audit&amp;VAR:KEY=VAVOJKTQZI&amp;VAR:QUERY=RkZfRUJJVERBX09QRVIoTFRNLDAp&amp;WINDOW=FIRST_POPUP&amp;HEIGHT=450&amp;WIDTH=450&amp;START_MAXIMIZED=","FALSE&amp;VAR:CALENDAR=FIVEDAY&amp;VAR:SYMBOL=B5BCW8&amp;VAR:INDEX=0"}</definedName>
    <definedName name="_270__FDSAUDITLINK__" hidden="1">{"fdsup://directions/FAT Viewer?action=UPDATE&amp;creator=factset&amp;DYN_ARGS=TRUE&amp;DOC_NAME=FAT:FQL_AUDITING_CLIENT_TEMPLATE.FAT&amp;display_string=Audit&amp;VAR:KEY=TUDOVYXULC&amp;VAR:QUERY=KChGRl9ERUJUX0xUKFFUUiw0MDU4MywsLCxJQ19DVVJSRU5DWV9JU08oKSlARkZfREVCVF9MVChTRU1JLDQwN","TgzLCwsLElDX0NVUlJFTkNZX0lTTygpKSlARkZfREVCVF9MVChBTk4sNDA1ODMsLCwsSUNfQ1VSUkVOQ1lfSVNPKCkpKQ==&amp;WINDOW=FIRST_POPUP&amp;HEIGHT=450&amp;WIDTH=450&amp;START_MAXIMIZED=FALSE&amp;VAR:CALENDAR=US&amp;VAR:SYMBOL=B03MM4&amp;VAR:INDEX=0"}</definedName>
    <definedName name="_271__FDSAUDITLINK__" hidden="1">{"fdsup://Directions/FactSet Auditing Viewer?action=AUDIT_VALUE&amp;DB=129&amp;ID1=B03MM4&amp;VALUEID=03426&amp;SDATE=201004&amp;PERIODTYPE=QTR_STD&amp;window=popup_no_bar&amp;width=385&amp;height=120&amp;START_MAXIMIZED=FALSE&amp;creator=factset&amp;display_string=Audit"}</definedName>
    <definedName name="_272__FDSAUDITLINK__" hidden="1">{"fdsup://directions/FAT Viewer?action=UPDATE&amp;creator=factset&amp;DYN_ARGS=TRUE&amp;DOC_NAME=FAT:FQL_AUDITING_CLIENT_TEMPLATE.FAT&amp;display_string=Audit&amp;VAR:KEY=ETERGHADOR&amp;VAR:QUERY=RkZfTkVUX0lOQyhMVE1TLDAsLCwsSUNfQ1VSUkVOQ1lfSVNPKCkp&amp;WINDOW=FIRST_POPUP&amp;HEIGHT=450&amp;WI","DTH=450&amp;START_MAXIMIZED=FALSE&amp;VAR:CALENDAR=US&amp;VAR:SYMBOL=B03MM4&amp;VAR:INDEX=0"}</definedName>
    <definedName name="_273__FDSAUDITLINK__" hidden="1">{"fdsup://directions/FAT Viewer?action=UPDATE&amp;creator=factset&amp;DYN_ARGS=TRUE&amp;DOC_NAME=FAT:FQL_AUDITING_CLIENT_TEMPLATE.FAT&amp;display_string=Audit&amp;VAR:KEY=CRGDMNIRMR&amp;VAR:QUERY=RkZfQ0FQRVgoQU5OLDIwMDksLCwsSUNfQ1VSUkVOQ1lfSVNPKCksTSk=&amp;WINDOW=FIRST_POPUP&amp;HEIGHT=45","0&amp;WIDTH=450&amp;START_MAXIMIZED=FALSE&amp;VAR:CALENDAR=US&amp;VAR:SYMBOL=09057220&amp;VAR:INDEX=0"}</definedName>
    <definedName name="_274__FDSAUDITLINK__" hidden="1">{"fdsup://Directions/FactSet Auditing Viewer?action=AUDIT_VALUE&amp;DB=129&amp;ID1=09057220&amp;VALUEID=01001&amp;SDATE=2009&amp;PERIODTYPE=ANN_STD&amp;window=popup_no_bar&amp;width=385&amp;height=120&amp;START_MAXIMIZED=FALSE&amp;creator=factset&amp;display_string=Audit"}</definedName>
    <definedName name="_275__FDSAUDITLINK__" hidden="1">{"fdsup://Directions/FactSet Auditing Viewer?action=AUDIT_VALUE&amp;DB=129&amp;ID1=09057220&amp;VALUEID=01250&amp;SDATE=2009&amp;PERIODTYPE=ANN_STD&amp;window=popup_no_bar&amp;width=385&amp;height=120&amp;START_MAXIMIZED=FALSE&amp;creator=factset&amp;display_string=Audit"}</definedName>
    <definedName name="_276__FDSAUDITLINK__" hidden="1">{"fdsup://Directions/FactSet Auditing Viewer?action=AUDIT_VALUE&amp;DB=129&amp;ID1=09057220&amp;VALUEID=04831&amp;SDATE=2009&amp;PERIODTYPE=ANN_STD&amp;window=popup_no_bar&amp;width=385&amp;height=120&amp;START_MAXIMIZED=FALSE&amp;creator=factset&amp;display_string=Audit"}</definedName>
    <definedName name="_277__FDSAUDITLINK__" hidden="1">{"fdsup://Directions/FactSet Auditing Viewer?action=AUDIT_VALUE&amp;DB=129&amp;ID1=B03MM4&amp;VALUEID=01250&amp;SDATE=2010&amp;PERIODTYPE=ANN_STD&amp;window=popup_no_bar&amp;width=385&amp;height=120&amp;START_MAXIMIZED=FALSE&amp;creator=factset&amp;display_string=Audit"}</definedName>
    <definedName name="_278__FDSAUDITLINK__" hidden="1">{"fdsup://directions/FAT Viewer?action=UPDATE&amp;creator=factset&amp;DYN_ARGS=TRUE&amp;DOC_NAME=FAT:FQL_AUDITING_CLIENT_TEMPLATE.FAT&amp;display_string=Audit&amp;VAR:KEY=BSJGXWVOPM&amp;VAR:QUERY=RkZfRVBTX0RJTChBTk4sMjAxMCwsLCxJQ19DVVJSRU5DWV9JU08oKSk=&amp;WINDOW=FIRST_POPUP&amp;HEIGHT=45","0&amp;WIDTH=450&amp;START_MAXIMIZED=FALSE&amp;VAR:CALENDAR=US&amp;VAR:SYMBOL=B03MM4&amp;VAR:INDEX=0"}</definedName>
    <definedName name="_279__FDSAUDITLINK__" hidden="1">{"fdsup://directions/FAT Viewer?action=UPDATE&amp;creator=factset&amp;DYN_ARGS=TRUE&amp;DOC_NAME=FAT:FQL_AUDITING_CLIENT_TEMPLATE.FAT&amp;display_string=Audit&amp;VAR:KEY=ZCXEFMVWTG&amp;VAR:QUERY=RkZfQ0FQRVgoQU5OLDIwMTAsLCwsSUNfQ1VSUkVOQ1lfSVNPKCksTSk=&amp;WINDOW=FIRST_POPUP&amp;HEIGHT=45","0&amp;WIDTH=450&amp;START_MAXIMIZED=FALSE&amp;VAR:CALENDAR=US&amp;VAR:SYMBOL=B03MM4&amp;VAR:INDEX=0"}</definedName>
    <definedName name="_28__123Graph_ACHART_8" hidden="1">'[4]Inputs and Calc'!$BG$240:$BK$240</definedName>
    <definedName name="_28__FDSAUDITLINK__" hidden="1">{"fdsup://directions/FAT Viewer?action=UPDATE&amp;creator=factset&amp;DYN_ARGS=TRUE&amp;DOC_NAME=FAT:FQL_AUDITING_CLIENT_TEMPLATE.FAT&amp;display_string=Audit&amp;VAR:KEY=HWLQVUDKBK&amp;VAR:QUERY=RkZfRUJJVERBKEFOTiwtMkFZKQ==&amp;WINDOW=FIRST_POPUP&amp;HEIGHT=450&amp;WIDTH=450&amp;START_MAXIMIZED=","FALSE&amp;VAR:CALENDAR=FIVEDAY&amp;VAR:SYMBOL=685876&amp;VAR:INDEX=0"}</definedName>
    <definedName name="_280__FDSAUDITLINK__" hidden="1">{"fdsup://Directions/FactSet Auditing Viewer?action=AUDIT_VALUE&amp;DB=129&amp;ID1=B03MM4&amp;VALUEID=01001&amp;SDATE=2008&amp;PERIODTYPE=ANN_STD&amp;window=popup_no_bar&amp;width=385&amp;height=120&amp;START_MAXIMIZED=FALSE&amp;creator=factset&amp;display_string=Audit"}</definedName>
    <definedName name="_281__FDSAUDITLINK__" hidden="1">{"fdsup://directions/FAT Viewer?action=UPDATE&amp;creator=factset&amp;DYN_ARGS=TRUE&amp;DOC_NAME=FAT:FQL_AUDITING_CLIENT_TEMPLATE.FAT&amp;display_string=Audit&amp;VAR:KEY=NQJQBCNOTS&amp;VAR:QUERY=RkZfRUJJVERBX09QRVIoQU5OLDIwMDgsLCwsSUNfQ1VSUkVOQ1lfSVNPKCksTSk=&amp;WINDOW=FIRST_POPUP&amp;H","EIGHT=450&amp;WIDTH=450&amp;START_MAXIMIZED=FALSE&amp;VAR:CALENDAR=US&amp;VAR:SYMBOL=B03MM4&amp;VAR:INDEX=0"}</definedName>
    <definedName name="_282__FDSAUDITLINK__" hidden="1">{"fdsup://Directions/FactSet Auditing Viewer?action=AUDIT_VALUE&amp;DB=129&amp;ID1=B03MM4&amp;VALUEID=01151&amp;SDATE=2008&amp;PERIODTYPE=ANN_STD&amp;window=popup_no_bar&amp;width=385&amp;height=120&amp;START_MAXIMIZED=FALSE&amp;creator=factset&amp;display_string=Audit"}</definedName>
    <definedName name="_283__FDSAUDITLINK__" hidden="1">{"fdsup://Directions/FactSet Auditing Viewer?action=AUDIT_VALUE&amp;DB=129&amp;ID1=B12T3J&amp;VALUEID=02001&amp;SDATE=201004&amp;PERIODTYPE=QTR_STD&amp;window=popup_no_bar&amp;width=385&amp;height=120&amp;START_MAXIMIZED=FALSE&amp;creator=factset&amp;display_string=Audit"}</definedName>
    <definedName name="_284__FDSAUDITLINK__" hidden="1">{"fdsup://Directions/FactSet Auditing Viewer?action=AUDIT_VALUE&amp;DB=129&amp;ID1=B12T3J&amp;VALUEID=03051&amp;SDATE=201004&amp;PERIODTYPE=QTR_STD&amp;window=popup_no_bar&amp;width=385&amp;height=120&amp;START_MAXIMIZED=FALSE&amp;creator=factset&amp;display_string=Audit"}</definedName>
    <definedName name="_2845__FDSAUDITLINK__" hidden="1">{"fdsup://directions/FAT Viewer?action=UPDATE&amp;creator=factset&amp;DYN_ARGS=TRUE&amp;DOC_NAME=FAT:FQL_AUDITING_CLIENT_TEMPLATE.FAT&amp;display_string=Audit&amp;VAR:KEY=JOXQDMTSLQ&amp;VAR:QUERY=RkZfRUJJVERBX09QRVIoQU5OLC0xQVksLCwsREtLKQ==&amp;WINDOW=FIRST_POPUP&amp;HEIGHT=450&amp;WIDTH=450&amp;","START_MAXIMIZED=FALSE&amp;VAR:CALENDAR=FIVEDAY&amp;VAR:INDEX=0"}</definedName>
    <definedName name="_2849__FDSAUDITLINK__" hidden="1">{"fdsup://directions/FAT Viewer?action=UPDATE&amp;creator=factset&amp;DYN_ARGS=TRUE&amp;DOC_NAME=FAT:FQL_AUDITING_CLIENT_TEMPLATE.FAT&amp;display_string=Audit&amp;VAR:KEY=LMVGFEXIDE&amp;VAR:QUERY=RkZfTkVUX0lOQyhBTk4sLTFBWSwsLCxES0sp&amp;WINDOW=FIRST_POPUP&amp;HEIGHT=450&amp;WIDTH=450&amp;START_MA","XIMIZED=FALSE&amp;VAR:CALENDAR=FIVEDAY&amp;VAR:INDEX=0"}</definedName>
    <definedName name="_285__FDSAUDITLINK__" hidden="1">{"fdsup://directions/FAT Viewer?action=UPDATE&amp;creator=factset&amp;DYN_ARGS=TRUE&amp;DOC_NAME=FAT:FQL_AUDITING_CLIENT_TEMPLATE.FAT&amp;display_string=Audit&amp;VAR:KEY=NKRQLMVADQ&amp;VAR:QUERY=KChGRl9ERUJUX0xUKFFUUiw0MDU4MywsLCxJQ19DVVJSRU5DWV9JU08oKSlARkZfREVCVF9MVChTRU1JLDQwN","TgzLCwsLElDX0NVUlJFTkNZX0lTTygpKSlARkZfREVCVF9MVChBTk4sNDA1ODMsLCwsSUNfQ1VSUkVOQ1lfSVNPKCkpKQ==&amp;WINDOW=FIRST_POPUP&amp;HEIGHT=450&amp;WIDTH=450&amp;START_MAXIMIZED=FALSE&amp;VAR:CALENDAR=US&amp;VAR:SYMBOL=B12T3J&amp;VAR:INDEX=0"}</definedName>
    <definedName name="_2851__FDSAUDITLINK__" hidden="1">{"fdsup://directions/FAT Viewer?action=UPDATE&amp;creator=factset&amp;DYN_ARGS=TRUE&amp;DOC_NAME=FAT:FQL_AUDITING_CLIENT_TEMPLATE.FAT&amp;display_string=Audit&amp;VAR:KEY=PWHUHQFOLQ&amp;VAR:QUERY=RkZfRUJJVERBX09QRVIoQU5OLC0yQVksLCwsREtLKQ==&amp;WINDOW=FIRST_POPUP&amp;HEIGHT=450&amp;WIDTH=450&amp;","START_MAXIMIZED=FALSE&amp;VAR:CALENDAR=FIVEDAY&amp;VAR:INDEX=0"}</definedName>
    <definedName name="_2852__FDSAUDITLINK__" hidden="1">{"fdsup://directions/FAT Viewer?action=UPDATE&amp;creator=factset&amp;DYN_ARGS=TRUE&amp;DOC_NAME=FAT:FQL_AUDITING_CLIENT_TEMPLATE.FAT&amp;display_string=Audit&amp;VAR:KEY=JALUTQJMDO&amp;VAR:QUERY=RkZfRUJJVERBX09QRVIoQU5OLCwsLCxES0sp&amp;WINDOW=FIRST_POPUP&amp;HEIGHT=450&amp;WIDTH=450&amp;START_MA","XIMIZED=FALSE&amp;VAR:CALENDAR=FIVEDAY&amp;VAR:INDEX=0"}</definedName>
    <definedName name="_2853__FDSAUDITLINK__" hidden="1">{"fdsup://directions/FAT Viewer?action=UPDATE&amp;creator=factset&amp;DYN_ARGS=TRUE&amp;DOC_NAME=FAT:FQL_AUDITING_CLIENT_TEMPLATE.FAT&amp;display_string=Audit&amp;VAR:KEY=PWDETKJSHM&amp;VAR:QUERY=RkZfTkVUX0lOQyhBTk4sLCwsLERLSyk=&amp;WINDOW=FIRST_POPUP&amp;HEIGHT=450&amp;WIDTH=450&amp;START_MAXIMI","ZED=FALSE&amp;VAR:CALENDAR=FIVEDAY&amp;VAR:INDEX=0"}</definedName>
    <definedName name="_2854__FDSAUDITLINK__" hidden="1">{"fdsup://directions/FAT Viewer?action=UPDATE&amp;creator=factset&amp;DYN_ARGS=TRUE&amp;DOC_NAME=FAT:FQL_AUDITING_CLIENT_TEMPLATE.FAT&amp;display_string=Audit&amp;VAR:KEY=JOXQDMTSLQ&amp;VAR:QUERY=RkZfRUJJVERBX09QRVIoQU5OLC0xQVksLCwsREtLKQ==&amp;WINDOW=FIRST_POPUP&amp;HEIGHT=450&amp;WIDTH=450&amp;","START_MAXIMIZED=FALSE&amp;VAR:CALENDAR=FIVEDAY&amp;VAR:INDEX=0"}</definedName>
    <definedName name="_2855__FDSAUDITLINK__" hidden="1">{"fdsup://directions/FAT Viewer?action=UPDATE&amp;creator=factset&amp;DYN_ARGS=TRUE&amp;DOC_NAME=FAT:FQL_AUDITING_CLIENT_TEMPLATE.FAT&amp;display_string=Audit&amp;VAR:KEY=FSFKLKVYJG&amp;VAR:QUERY=RkZfTkVUX0lOQyhBTk4sLTJBWSwsLCxES0sp&amp;WINDOW=FIRST_POPUP&amp;HEIGHT=450&amp;WIDTH=450&amp;START_MA","XIMIZED=FALSE&amp;VAR:CALENDAR=FIVEDAY&amp;VAR:INDEX=0"}</definedName>
    <definedName name="_2859__FDSAUDITLINK__" hidden="1">{"fdsup://directions/FAT Viewer?action=UPDATE&amp;creator=factset&amp;DYN_ARGS=TRUE&amp;DOC_NAME=FAT:FQL_AUDITING_CLIENT_TEMPLATE.FAT&amp;display_string=Audit&amp;VAR:KEY=JOXQDMTSLQ&amp;VAR:QUERY=RkZfRUJJVERBX09QRVIoQU5OLC0xQVksLCwsREtLKQ==&amp;WINDOW=FIRST_POPUP&amp;HEIGHT=450&amp;WIDTH=450&amp;","START_MAXIMIZED=FALSE&amp;VAR:CALENDAR=FIVEDAY&amp;VAR:INDEX=0"}</definedName>
    <definedName name="_286__FDSAUDITLINK__" hidden="1">{"fdsup://Directions/FactSet Auditing Viewer?action=AUDIT_VALUE&amp;DB=129&amp;ID1=B12T3J&amp;VALUEID=03426&amp;SDATE=201004&amp;PERIODTYPE=QTR_STD&amp;window=popup_no_bar&amp;width=385&amp;height=120&amp;START_MAXIMIZED=FALSE&amp;creator=factset&amp;display_string=Audit"}</definedName>
    <definedName name="_287__FDSAUDITLINK__" hidden="1">{"fdsup://Directions/FactSet Auditing Viewer?action=AUDIT_VALUE&amp;DB=129&amp;ID1=B12T3J&amp;VALUEID=01001&amp;SDATE=2010&amp;PERIODTYPE=ANN_STD&amp;window=popup_no_bar&amp;width=385&amp;height=120&amp;START_MAXIMIZED=FALSE&amp;creator=factset&amp;display_string=Audit"}</definedName>
    <definedName name="_288__FDSAUDITLINK__" hidden="1">{"fdsup://directions/FAT Viewer?action=UPDATE&amp;creator=factset&amp;DYN_ARGS=TRUE&amp;DOC_NAME=FAT:FQL_AUDITING_CLIENT_TEMPLATE.FAT&amp;display_string=Audit&amp;VAR:KEY=RMJKXGXEHU&amp;VAR:QUERY=RkZfRUJJVERBX09QRVIoQU5OLDIwMTAsLCwsSUNfQ1VSUkVOQ1lfSVNPKCksTSk=&amp;WINDOW=FIRST_POPUP&amp;H","EIGHT=450&amp;WIDTH=450&amp;START_MAXIMIZED=FALSE&amp;VAR:CALENDAR=US&amp;VAR:SYMBOL=B12T3J&amp;VAR:INDEX=0"}</definedName>
    <definedName name="_289__FDSAUDITLINK__" hidden="1">{"fdsup://directions/FAT Viewer?action=UPDATE&amp;creator=factset&amp;DYN_ARGS=TRUE&amp;DOC_NAME=FAT:FQL_AUDITING_CLIENT_TEMPLATE.FAT&amp;display_string=Audit&amp;VAR:KEY=XYLUREHOPA&amp;VAR:QUERY=RkZfQ0FQRVgoQU5OLDIwMDgsLCwsSUNfQ1VSUkVOQ1lfSVNPKCksTSk=&amp;WINDOW=FIRST_POPUP&amp;HEIGHT=45","0&amp;WIDTH=450&amp;START_MAXIMIZED=FALSE&amp;VAR:CALENDAR=US&amp;VAR:SYMBOL=B12T3J&amp;VAR:INDEX=0"}</definedName>
    <definedName name="_29__FDSAUDITLINK__" hidden="1">{"fdsup://directions/FAT Viewer?action=UPDATE&amp;creator=factset&amp;DYN_ARGS=TRUE&amp;DOC_NAME=FAT:FQL_AUDITING_CLIENT_TEMPLATE.FAT&amp;display_string=Audit&amp;VAR:KEY=PWHITUJSZC&amp;VAR:QUERY=RkZfRUJJVERBKEFOTiwtM0FZKQ==&amp;WINDOW=FIRST_POPUP&amp;HEIGHT=450&amp;WIDTH=450&amp;START_MAXIMIZED=","FALSE&amp;VAR:CALENDAR=FIVEDAY&amp;VAR:SYMBOL=685876&amp;VAR:INDEX=0"}</definedName>
    <definedName name="_290__FDSAUDITLINK__" hidden="1">{"fdsup://Directions/FactSet Auditing Viewer?action=AUDIT_VALUE&amp;DB=129&amp;ID1=B12T3J&amp;VALUEID=01151&amp;SDATE=2010&amp;PERIODTYPE=ANN_STD&amp;window=popup_no_bar&amp;width=385&amp;height=120&amp;START_MAXIMIZED=FALSE&amp;creator=factset&amp;display_string=Audit"}</definedName>
    <definedName name="_291__FDSAUDITLINK__" hidden="1">{"fdsup://Directions/FactSet Auditing Viewer?action=AUDIT_VALUE&amp;DB=129&amp;ID1=B12T3J&amp;VALUEID=01250&amp;SDATE=2010&amp;PERIODTYPE=ANN_STD&amp;window=popup_no_bar&amp;width=385&amp;height=120&amp;START_MAXIMIZED=FALSE&amp;creator=factset&amp;display_string=Audit"}</definedName>
    <definedName name="_292__FDSAUDITLINK__" hidden="1">{"fdsup://Directions/FactSet Auditing Viewer?action=AUDIT_VALUE&amp;DB=129&amp;ID1=B12T3J&amp;VALUEID=01250&amp;SDATE=2010&amp;PERIODTYPE=ANN_STD&amp;window=popup_no_bar&amp;width=385&amp;height=120&amp;START_MAXIMIZED=FALSE&amp;creator=factset&amp;display_string=Audit"}</definedName>
    <definedName name="_293__FDSAUDITLINK__" hidden="1">{"fdsup://directions/FAT Viewer?action=UPDATE&amp;creator=factset&amp;DYN_ARGS=TRUE&amp;DOC_NAME=FAT:FQL_AUDITING_CLIENT_TEMPLATE.FAT&amp;display_string=Audit&amp;VAR:KEY=JAZQTCZEVQ&amp;VAR:QUERY=RkZfRVBTX0RJTChBTk4sMjAxMCwsLCxJQ19DVVJSRU5DWV9JU08oKSk=&amp;WINDOW=FIRST_POPUP&amp;HEIGHT=45","0&amp;WIDTH=450&amp;START_MAXIMIZED=FALSE&amp;VAR:CALENDAR=US&amp;VAR:SYMBOL=B12T3J&amp;VAR:INDEX=0"}</definedName>
    <definedName name="_294__FDSAUDITLINK__" hidden="1">{"fdsup://Directions/FactSet Auditing Viewer?action=AUDIT_VALUE&amp;DB=129&amp;ID1=B12T3J&amp;VALUEID=05194&amp;SDATE=2010&amp;PERIODTYPE=ANNR_STD&amp;window=popup_no_bar&amp;width=385&amp;height=120&amp;START_MAXIMIZED=FALSE&amp;creator=factset&amp;display_string=Audit"}</definedName>
    <definedName name="_295__FDSAUDITLINK__" hidden="1">{"fdsup://directions/FAT Viewer?action=UPDATE&amp;creator=factset&amp;DYN_ARGS=TRUE&amp;DOC_NAME=FAT:FQL_AUDITING_CLIENT_TEMPLATE.FAT&amp;display_string=Audit&amp;VAR:KEY=NCFKPCFCPE&amp;VAR:QUERY=RkZfSU5UX0VYUF9ORVQoTFRNUywwLCwsLElDX0NVUlJFTkNZX0lTTygpKQ==&amp;WINDOW=FIRST_POPUP&amp;HEIGH","T=450&amp;WIDTH=450&amp;START_MAXIMIZED=FALSE&amp;VAR:CALENDAR=US&amp;VAR:SYMBOL=B03MM4&amp;VAR:INDEX=0"}</definedName>
    <definedName name="_296__FDSAUDITLINK__" hidden="1">{"fdsup://directions/FAT Viewer?action=UPDATE&amp;creator=factset&amp;DYN_ARGS=TRUE&amp;DOC_NAME=FAT:FQL_AUDITING_CLIENT_TEMPLATE.FAT&amp;display_string=Audit&amp;VAR:KEY=HAJGRWTCPS&amp;VAR:QUERY=RkZfTkVUX0lOQyhMVE1TLDAsLCwsSUNfQ1VSUkVOQ1lfSVNPKCkp&amp;WINDOW=FIRST_POPUP&amp;HEIGHT=450&amp;WI","DTH=450&amp;START_MAXIMIZED=FALSE&amp;VAR:CALENDAR=US&amp;VAR:SYMBOL=B03MM4&amp;VAR:INDEX=0"}</definedName>
    <definedName name="_297__FDSAUDITLINK__" hidden="1">{"fdsup://directions/FAT Viewer?action=UPDATE&amp;creator=factset&amp;DYN_ARGS=TRUE&amp;DOC_NAME=FAT:FQL_AUDITING_CLIENT_TEMPLATE.FAT&amp;display_string=Audit&amp;VAR:KEY=FGTMPODEBS&amp;VAR:QUERY=RkZfRUJJVF9PUEVSKExUTVMsMCwsLCxJQ19DVVJSRU5DWV9JU08oKSk=&amp;WINDOW=FIRST_POPUP&amp;HEIGHT=45","0&amp;WIDTH=450&amp;START_MAXIMIZED=FALSE&amp;VAR:CALENDAR=US&amp;VAR:SYMBOL=B03MM4&amp;VAR:INDEX=0"}</definedName>
    <definedName name="_298__FDSAUDITLINK__" hidden="1">{"fdsup://directions/FAT Viewer?action=UPDATE&amp;creator=factset&amp;DYN_ARGS=TRUE&amp;DOC_NAME=FAT:FQL_AUDITING_CLIENT_TEMPLATE.FAT&amp;display_string=Audit&amp;VAR:KEY=TMBCNWZKXK&amp;VAR:QUERY=RkZfRUJJVERBX09QRVIoTFRNUywwLCwsLElDX0NVUlJFTkNZX0lTTygpKQ==&amp;WINDOW=FIRST_POPUP&amp;HEIGH","T=450&amp;WIDTH=450&amp;START_MAXIMIZED=FALSE&amp;VAR:CALENDAR=US&amp;VAR:SYMBOL=B03MM4&amp;VAR:INDEX=0"}</definedName>
    <definedName name="_299__FDSAUDITLINK__" hidden="1">{"fdsup://directions/FAT Viewer?action=UPDATE&amp;creator=factset&amp;DYN_ARGS=TRUE&amp;DOC_NAME=FAT:FQL_AUDITING_CLIENT_TEMPLATE.FAT&amp;display_string=Audit&amp;VAR:KEY=ZQRQBMXYJS&amp;VAR:QUERY=RkZfQ0FQRVgoQU5OLDIwMTAsLCwsSUNfQ1VSUkVOQ1lfSVNPKCksTSk=&amp;WINDOW=FIRST_POPUP&amp;HEIGHT=45","0&amp;WIDTH=450&amp;START_MAXIMIZED=FALSE&amp;VAR:CALENDAR=US&amp;VAR:SYMBOL=B12T3J&amp;VAR:INDEX=0"}</definedName>
    <definedName name="_3__FDSAUDITLINK__" hidden="1">{"fdsup://directions/FAT Viewer?action=UPDATE&amp;creator=factset&amp;DYN_ARGS=TRUE&amp;DOC_NAME=FAT:FQL_AUDITING_CLIENT_TEMPLATE.FAT&amp;display_string=Audit&amp;VAR:KEY=CZYDANINMP&amp;VAR:QUERY=RkZfRU5UUlBSX1ZBTChBTk4sTk9XLE5PVyk=&amp;WINDOW=FIRST_POPUP&amp;HEIGHT=450&amp;WIDTH=450&amp;START_MA","XIMIZED=FALSE&amp;VAR:CALENDAR=FIVEDAY&amp;VAR:SYMBOL=685876&amp;VAR:INDEX=0"}</definedName>
    <definedName name="_30__123Graph_BCHART_10" hidden="1">'[4]Inputs and Calc'!$BG$247:$BK$247</definedName>
    <definedName name="_30__FDSAUDITLINK__" hidden="1">{"fdsup://directions/FAT Viewer?action=UPDATE&amp;creator=factset&amp;DYN_ARGS=TRUE&amp;DOC_NAME=FAT:FQL_AUDITING_CLIENT_TEMPLATE.FAT&amp;display_string=Audit&amp;VAR:KEY=XQLUHERSHG&amp;VAR:QUERY=RkZfRUJJVERBKEFOTiwtNUFZKQ==&amp;WINDOW=FIRST_POPUP&amp;HEIGHT=450&amp;WIDTH=450&amp;START_MAXIMIZED=","FALSE&amp;VAR:CALENDAR=FIVEDAY&amp;VAR:SYMBOL=685876&amp;VAR:INDEX=0"}</definedName>
    <definedName name="_300__FDSAUDITLINK__" hidden="1">{"fdsup://directions/FAT Viewer?action=UPDATE&amp;creator=factset&amp;DYN_ARGS=TRUE&amp;DOC_NAME=FAT:FQL_AUDITING_CLIENT_TEMPLATE.FAT&amp;display_string=Audit&amp;VAR:KEY=VUHQNKDQBI&amp;VAR:QUERY=RkZfRUJJVERBX09QRVIoQU5OLDIwMDgsLCwsSUNfQ1VSUkVOQ1lfSVNPKCksTSk=&amp;WINDOW=FIRST_POPUP&amp;H","EIGHT=450&amp;WIDTH=450&amp;START_MAXIMIZED=FALSE&amp;VAR:CALENDAR=US&amp;VAR:SYMBOL=B12T3J&amp;VAR:INDEX=0"}</definedName>
    <definedName name="_301__FDSAUDITLINK__" hidden="1">{"fdsup://directions/FAT Viewer?action=UPDATE&amp;creator=factset&amp;DYN_ARGS=TRUE&amp;DOC_NAME=FAT:FQL_AUDITING_CLIENT_TEMPLATE.FAT&amp;display_string=Audit&amp;VAR:KEY=VERGFKJWHQ&amp;VAR:QUERY=RkZfRUJJVF9PUEVSKEFOTiwyMDA4LCwsLElDX0NVUlJFTkNZX0lTTygpLE0p&amp;WINDOW=FIRST_POPUP&amp;HEIGH","T=450&amp;WIDTH=450&amp;START_MAXIMIZED=FALSE&amp;VAR:CALENDAR=US&amp;VAR:SYMBOL=B12T3J&amp;VAR:INDEX=0"}</definedName>
    <definedName name="_302__FDSAUDITLINK__" hidden="1">{"fdsup://directions/FAT Viewer?action=UPDATE&amp;creator=factset&amp;DYN_ARGS=TRUE&amp;DOC_NAME=FAT:FQL_AUDITING_CLIENT_TEMPLATE.FAT&amp;display_string=Audit&amp;VAR:KEY=HUBQHGDEDE&amp;VAR:QUERY=RkZfRVBTX0RJTChBTk4sMjAwOCwsLCxJQ19DVVJSRU5DWV9JU08oKSk=&amp;WINDOW=FIRST_POPUP&amp;HEIGHT=45","0&amp;WIDTH=450&amp;START_MAXIMIZED=FALSE&amp;VAR:CALENDAR=US&amp;VAR:SYMBOL=B12T3J&amp;VAR:INDEX=0"}</definedName>
    <definedName name="_303__FDSAUDITLINK__" hidden="1">{"fdsup://Directions/FactSet Auditing Viewer?action=AUDIT_VALUE&amp;DB=129&amp;ID1=B12T3J&amp;VALUEID=04831&amp;SDATE=2009&amp;PERIODTYPE=ANN_STD&amp;window=popup_no_bar&amp;width=385&amp;height=120&amp;START_MAXIMIZED=FALSE&amp;creator=factset&amp;display_string=Audit"}</definedName>
    <definedName name="_304__FDSAUDITLINK__" hidden="1">{"fdsup://Directions/FactSet Auditing Viewer?action=AUDIT_VALUE&amp;DB=129&amp;ID1=B03MM4&amp;VALUEID=03051&amp;SDATE=201004&amp;PERIODTYPE=QTR_STD&amp;window=popup_no_bar&amp;width=385&amp;height=120&amp;START_MAXIMIZED=FALSE&amp;creator=factset&amp;display_string=Audit"}</definedName>
    <definedName name="_305__FDSAUDITLINK__" hidden="1">{"fdsup://Directions/FactSet Auditing Viewer?action=AUDIT_VALUE&amp;DB=129&amp;ID1=B03MM4&amp;VALUEID=02001&amp;SDATE=201004&amp;PERIODTYPE=QTR_STD&amp;window=popup_no_bar&amp;width=385&amp;height=120&amp;START_MAXIMIZED=FALSE&amp;creator=factset&amp;display_string=Audit"}</definedName>
    <definedName name="_306__FDSAUDITLINK__" hidden="1">{"fdsup://Directions/FactSet Auditing Viewer?action=AUDIT_VALUE&amp;DB=129&amp;ID1=B12T3J&amp;VALUEID=01201&amp;SDATE=2009&amp;PERIODTYPE=ANN_STD&amp;window=popup_no_bar&amp;width=385&amp;height=120&amp;START_MAXIMIZED=FALSE&amp;creator=factset&amp;display_string=Audit"}</definedName>
    <definedName name="_307__FDSAUDITLINK__" hidden="1">{"fdsup://directions/FAT Viewer?action=UPDATE&amp;creator=factset&amp;DYN_ARGS=TRUE&amp;DOC_NAME=FAT:FQL_AUDITING_CLIENT_TEMPLATE.FAT&amp;display_string=Audit&amp;VAR:KEY=XGFYVKFIBW&amp;VAR:QUERY=RkZfQ0FQRVgoQU5OLDIwMDksLCwsSUNfQ1VSUkVOQ1lfSVNPKCksTSk=&amp;WINDOW=FIRST_POPUP&amp;HEIGHT=45","0&amp;WIDTH=450&amp;START_MAXIMIZED=FALSE&amp;VAR:CALENDAR=US&amp;VAR:SYMBOL=B12T3J&amp;VAR:INDEX=0"}</definedName>
    <definedName name="_308__FDSAUDITLINK__" hidden="1">{"fdsup://Directions/FactSet Auditing Viewer?action=AUDIT_VALUE&amp;DB=129&amp;ID1=38259P50&amp;VALUEID=02001&amp;SDATE=201004&amp;PERIODTYPE=QTR_STD&amp;window=popup_no_bar&amp;width=385&amp;height=120&amp;START_MAXIMIZED=FALSE&amp;creator=factset&amp;display_string=Audit"}</definedName>
    <definedName name="_309__FDSAUDITLINK__" hidden="1">{"fdsup://Directions/FactSet Auditing Viewer?action=AUDIT_VALUE&amp;DB=129&amp;ID1=38259P50&amp;VALUEID=03051&amp;SDATE=201004&amp;PERIODTYPE=QTR_STD&amp;window=popup_no_bar&amp;width=385&amp;height=120&amp;START_MAXIMIZED=FALSE&amp;creator=factset&amp;display_string=Audit"}</definedName>
    <definedName name="_31__FDSAUDITLINK__" hidden="1">{"fdsup://directions/FAT Viewer?action=UPDATE&amp;creator=factset&amp;DYN_ARGS=TRUE&amp;DOC_NAME=FAT:FQL_AUDITING_CLIENT_TEMPLATE.FAT&amp;display_string=Audit&amp;VAR:KEY=TYVSBYLQNC&amp;VAR:QUERY=RkZfR1JPU1NfSU5DKEFOTiwwKQ==&amp;WINDOW=FIRST_POPUP&amp;HEIGHT=450&amp;WIDTH=450&amp;START_MAXIMIZED=","FALSE&amp;VAR:CALENDAR=FIVEDAY&amp;VAR:SYMBOL=685876&amp;VAR:INDEX=0"}</definedName>
    <definedName name="_310__FDSAUDITLINK__" hidden="1">{"fdsup://directions/FAT Viewer?action=UPDATE&amp;creator=factset&amp;DYN_ARGS=TRUE&amp;DOC_NAME=FAT:FQL_AUDITING_CLIENT_TEMPLATE.FAT&amp;display_string=Audit&amp;VAR:KEY=TSFIXGXIDI&amp;VAR:QUERY=KChGRl9ERUJUX0xUKFFUUiw0MDU4MywsLCxJQ19DVVJSRU5DWV9JU08oKSlARkZfREVCVF9MVChTRU1JLDQwN","TgzLCwsLElDX0NVUlJFTkNZX0lTTygpKSlARkZfREVCVF9MVChBTk4sNDA1ODMsLCwsSUNfQ1VSUkVOQ1lfSVNPKCkpKQ==&amp;WINDOW=FIRST_POPUP&amp;HEIGHT=450&amp;WIDTH=450&amp;START_MAXIMIZED=FALSE&amp;VAR:CALENDAR=US&amp;VAR:SYMBOL=38259P50&amp;VAR:INDEX=0"}</definedName>
    <definedName name="_311__FDSAUDITLINK__" hidden="1">{"fdsup://Directions/FactSet Auditing Viewer?action=AUDIT_VALUE&amp;DB=129&amp;ID1=38259P50&amp;VALUEID=01001&amp;SDATE=2010&amp;PERIODTYPE=ANN_STD&amp;window=popup_no_bar&amp;width=385&amp;height=120&amp;START_MAXIMIZED=FALSE&amp;creator=factset&amp;display_string=Audit"}</definedName>
    <definedName name="_312__FDSAUDITLINK__" hidden="1">{"fdsup://directions/FAT Viewer?action=UPDATE&amp;creator=factset&amp;DYN_ARGS=TRUE&amp;DOC_NAME=FAT:FQL_AUDITING_CLIENT_TEMPLATE.FAT&amp;display_string=Audit&amp;VAR:KEY=TSRSNGVERY&amp;VAR:QUERY=RkZfRUJJVERBX09QRVIoQU5OLDIwMTAsLCwsSUNfQ1VSUkVOQ1lfSVNPKCksTSk=&amp;WINDOW=FIRST_POPUP&amp;H","EIGHT=450&amp;WIDTH=450&amp;START_MAXIMIZED=FALSE&amp;VAR:CALENDAR=US&amp;VAR:SYMBOL=38259P50&amp;VAR:INDEX=0"}</definedName>
    <definedName name="_313__FDSAUDITLINK__" hidden="1">{"fdsup://directions/FAT Viewer?action=UPDATE&amp;creator=factset&amp;DYN_ARGS=TRUE&amp;DOC_NAME=FAT:FQL_AUDITING_CLIENT_TEMPLATE.FAT&amp;display_string=Audit&amp;VAR:KEY=HCTKZAFQRS&amp;VAR:QUERY=RkZfQ0FQRVgoQU5OLDIwMTAsLCwsSUNfQ1VSUkVOQ1lfSVNPKCksTSk=&amp;WINDOW=FIRST_POPUP&amp;HEIGHT=45","0&amp;WIDTH=450&amp;START_MAXIMIZED=FALSE&amp;VAR:CALENDAR=US&amp;VAR:SYMBOL=38259P50&amp;VAR:INDEX=0"}</definedName>
    <definedName name="_314__FDSAUDITLINK__" hidden="1">{"fdsup://Directions/FactSet Auditing Viewer?action=AUDIT_VALUE&amp;DB=129&amp;ID1=38259P50&amp;VALUEID=01151&amp;SDATE=2010&amp;PERIODTYPE=ANN_STD&amp;window=popup_no_bar&amp;width=385&amp;height=120&amp;START_MAXIMIZED=FALSE&amp;creator=factset&amp;display_string=Audit"}</definedName>
    <definedName name="_315__FDSAUDITLINK__" hidden="1">{"fdsup://Directions/FactSet Auditing Viewer?action=AUDIT_VALUE&amp;DB=129&amp;ID1=38259P50&amp;VALUEID=01250&amp;SDATE=2010&amp;PERIODTYPE=ANN_STD&amp;window=popup_no_bar&amp;width=385&amp;height=120&amp;START_MAXIMIZED=FALSE&amp;creator=factset&amp;display_string=Audit"}</definedName>
    <definedName name="_316__FDSAUDITLINK__" hidden="1">{"fdsup://Directions/FactSet Auditing Viewer?action=AUDIT_VALUE&amp;DB=129&amp;ID1=38259P50&amp;VALUEID=01250&amp;SDATE=2010&amp;PERIODTYPE=ANN_STD&amp;window=popup_no_bar&amp;width=385&amp;height=120&amp;START_MAXIMIZED=FALSE&amp;creator=factset&amp;display_string=Audit"}</definedName>
    <definedName name="_317__FDSAUDITLINK__" hidden="1">{"fdsup://directions/FAT Viewer?action=UPDATE&amp;creator=factset&amp;DYN_ARGS=TRUE&amp;DOC_NAME=FAT:FQL_AUDITING_CLIENT_TEMPLATE.FAT&amp;display_string=Audit&amp;VAR:KEY=XILCRQXYNG&amp;VAR:QUERY=RkZfRVBTX0RJTChBTk4sMjAxMCwsLCxJQ19DVVJSRU5DWV9JU08oKSk=&amp;WINDOW=FIRST_POPUP&amp;HEIGHT=45","0&amp;WIDTH=450&amp;START_MAXIMIZED=FALSE&amp;VAR:CALENDAR=US&amp;VAR:SYMBOL=38259P50&amp;VAR:INDEX=0"}</definedName>
    <definedName name="_318__FDSAUDITLINK__" hidden="1">{"fdsup://Directions/FactSet Auditing Viewer?action=AUDIT_VALUE&amp;DB=129&amp;ID1=38259P50&amp;VALUEID=01001&amp;SDATE=2008&amp;PERIODTYPE=ANN_STD&amp;window=popup_no_bar&amp;width=385&amp;height=120&amp;START_MAXIMIZED=FALSE&amp;creator=factset&amp;display_string=Audit"}</definedName>
    <definedName name="_319__FDSAUDITLINK__" hidden="1">{"fdsup://directions/FAT Viewer?action=UPDATE&amp;creator=factset&amp;DYN_ARGS=TRUE&amp;DOC_NAME=FAT:FQL_AUDITING_CLIENT_TEMPLATE.FAT&amp;display_string=Audit&amp;VAR:KEY=TGTWJEFCVA&amp;VAR:QUERY=RkZfRUJJVERBX09QRVIoQU5OLDIwMDgsLCwsSUNfQ1VSUkVOQ1lfSVNPKCksTSk=&amp;WINDOW=FIRST_POPUP&amp;H","EIGHT=450&amp;WIDTH=450&amp;START_MAXIMIZED=FALSE&amp;VAR:CALENDAR=US&amp;VAR:SYMBOL=38259P50&amp;VAR:INDEX=0"}</definedName>
    <definedName name="_32__FDSAUDITLINK__" hidden="1">{"fdsup://directions/FAT Viewer?action=UPDATE&amp;creator=factset&amp;DYN_ARGS=TRUE&amp;DOC_NAME=FAT:FQL_AUDITING_CLIENT_TEMPLATE.FAT&amp;display_string=Audit&amp;VAR:KEY=XCJANGHARE&amp;VAR:QUERY=RkZfR1JPU1NfSU5DKEFOTiwtMUFZKQ==&amp;WINDOW=FIRST_POPUP&amp;HEIGHT=450&amp;WIDTH=450&amp;START_MAXIMI","ZED=FALSE&amp;VAR:CALENDAR=FIVEDAY&amp;VAR:SYMBOL=685876&amp;VAR:INDEX=0"}</definedName>
    <definedName name="_320__FDSAUDITLINK__" hidden="1">{"fdsup://Directions/FactSet Auditing Viewer?action=AUDIT_VALUE&amp;DB=129&amp;ID1=38259P50&amp;VALUEID=01151&amp;SDATE=2008&amp;PERIODTYPE=ANN_STD&amp;window=popup_no_bar&amp;width=385&amp;height=120&amp;START_MAXIMIZED=FALSE&amp;creator=factset&amp;display_string=Audit"}</definedName>
    <definedName name="_321__FDSAUDITLINK__" hidden="1">{"fdsup://directions/FAT Viewer?action=UPDATE&amp;creator=factset&amp;DYN_ARGS=TRUE&amp;DOC_NAME=FAT:FQL_AUDITING_CLIENT_TEMPLATE.FAT&amp;display_string=Audit&amp;VAR:KEY=TETMNKZSNC&amp;VAR:QUERY=RkZfRUJJVF9PUEVSKEFOTiwyMDA4LCwsLElDX0NVUlJFTkNZX0lTTygpLE0p&amp;WINDOW=FIRST_POPUP&amp;HEIGH","T=450&amp;WIDTH=450&amp;START_MAXIMIZED=FALSE&amp;VAR:CALENDAR=US&amp;VAR:SYMBOL=38259P50&amp;VAR:INDEX=0"}</definedName>
    <definedName name="_322__FDSAUDITLINK__" hidden="1">{"fdsup://Directions/FactSet Auditing Viewer?action=AUDIT_VALUE&amp;DB=129&amp;ID1=38259P50&amp;VALUEID=01250&amp;SDATE=2008&amp;PERIODTYPE=ANN_STD&amp;window=popup_no_bar&amp;width=385&amp;height=120&amp;START_MAXIMIZED=FALSE&amp;creator=factset&amp;display_string=Audit"}</definedName>
    <definedName name="_323__FDSAUDITLINK__" hidden="1">{"fdsup://directions/FAT Viewer?action=UPDATE&amp;creator=factset&amp;DYN_ARGS=TRUE&amp;DOC_NAME=FAT:FQL_AUDITING_CLIENT_TEMPLATE.FAT&amp;display_string=Audit&amp;VAR:KEY=VGPSNETOVC&amp;VAR:QUERY=RkZfRVBTX0RJTChBTk4sMjAwOCwsLCxJQ19DVVJSRU5DWV9JU08oKSk=&amp;WINDOW=FIRST_POPUP&amp;HEIGHT=45","0&amp;WIDTH=450&amp;START_MAXIMIZED=FALSE&amp;VAR:CALENDAR=US&amp;VAR:SYMBOL=38259P50&amp;VAR:INDEX=0"}</definedName>
    <definedName name="_324__FDSAUDITLINK__" hidden="1">{"fdsup://directions/FAT Viewer?action=UPDATE&amp;creator=factset&amp;DYN_ARGS=TRUE&amp;DOC_NAME=FAT:FQL_AUDITING_CLIENT_TEMPLATE.FAT&amp;display_string=Audit&amp;VAR:KEY=BODUJUJEHE&amp;VAR:QUERY=RkZfQ0FQRVgoQU5OLDIwMDgsLCwsSUNfQ1VSUkVOQ1lfSVNPKCksTSk=&amp;WINDOW=FIRST_POPUP&amp;HEIGHT=45","0&amp;WIDTH=450&amp;START_MAXIMIZED=FALSE&amp;VAR:CALENDAR=US&amp;VAR:SYMBOL=38259P50&amp;VAR:INDEX=0"}</definedName>
    <definedName name="_325__FDSAUDITLINK__" hidden="1">{"fdsup://Directions/FactSet Auditing Viewer?action=AUDIT_VALUE&amp;DB=129&amp;ID1=38259P50&amp;VALUEID=01201&amp;SDATE=2008&amp;PERIODTYPE=ANN_STD&amp;window=popup_no_bar&amp;width=385&amp;height=120&amp;START_MAXIMIZED=FALSE&amp;creator=factset&amp;display_string=Audit"}</definedName>
    <definedName name="_326__FDSAUDITLINK__" hidden="1">{"fdsup://Directions/FactSet Auditing Viewer?action=AUDIT_VALUE&amp;DB=129&amp;ID1=38259P50&amp;VALUEID=04831&amp;SDATE=2008&amp;PERIODTYPE=ANN_STD&amp;window=popup_no_bar&amp;width=385&amp;height=120&amp;START_MAXIMIZED=FALSE&amp;creator=factset&amp;display_string=Audit"}</definedName>
    <definedName name="_327__FDSAUDITLINK__" hidden="1">{"fdsup://Directions/FactSet Auditing Viewer?action=AUDIT_VALUE&amp;DB=129&amp;ID1=38259P50&amp;VALUEID=05194&amp;SDATE=2008&amp;PERIODTYPE=ANNR_STD&amp;window=popup_no_bar&amp;width=385&amp;height=120&amp;START_MAXIMIZED=FALSE&amp;creator=factset&amp;display_string=Audit"}</definedName>
    <definedName name="_328__FDSAUDITLINK__" hidden="1">{"fdsup://Directions/FactSet Auditing Viewer?action=AUDIT_VALUE&amp;DB=129&amp;ID1=38259P50&amp;VALUEID=04831&amp;SDATE=2009&amp;PERIODTYPE=ANN_STD&amp;window=popup_no_bar&amp;width=385&amp;height=120&amp;START_MAXIMIZED=FALSE&amp;creator=factset&amp;display_string=Audit"}</definedName>
    <definedName name="_329__FDSAUDITLINK__" hidden="1">{"fdsup://Directions/FactSet Auditing Viewer?action=AUDIT_VALUE&amp;DB=129&amp;ID1=38259P50&amp;VALUEID=01201&amp;SDATE=2009&amp;PERIODTYPE=ANN_STD&amp;window=popup_no_bar&amp;width=385&amp;height=120&amp;START_MAXIMIZED=FALSE&amp;creator=factset&amp;display_string=Audit"}</definedName>
    <definedName name="_33__FDSAUDITLINK__" hidden="1">{"fdsup://directions/FAT Viewer?action=UPDATE&amp;creator=factset&amp;DYN_ARGS=TRUE&amp;DOC_NAME=FAT:FQL_AUDITING_CLIENT_TEMPLATE.FAT&amp;display_string=Audit&amp;VAR:KEY=HYLOFSFUZS&amp;VAR:QUERY=RkZfR1JPU1NfSU5DKEFOTiwtMkFZKQ==&amp;WINDOW=FIRST_POPUP&amp;HEIGHT=450&amp;WIDTH=450&amp;START_MAXIMI","ZED=FALSE&amp;VAR:CALENDAR=FIVEDAY&amp;VAR:SYMBOL=685876&amp;VAR:INDEX=0"}</definedName>
    <definedName name="_330__FDSAUDITLINK__" hidden="1">{"fdsup://directions/FAT Viewer?action=UPDATE&amp;creator=factset&amp;DYN_ARGS=TRUE&amp;DOC_NAME=FAT:FQL_AUDITING_CLIENT_TEMPLATE.FAT&amp;display_string=Audit&amp;VAR:KEY=PQJWDETWDK&amp;VAR:QUERY=RkZfQ0FQRVgoQU5OLDIwMDksLCwsSUNfQ1VSUkVOQ1lfSVNPKCksTSk=&amp;WINDOW=FIRST_POPUP&amp;HEIGHT=45","0&amp;WIDTH=450&amp;START_MAXIMIZED=FALSE&amp;VAR:CALENDAR=US&amp;VAR:SYMBOL=38259P50&amp;VAR:INDEX=0"}</definedName>
    <definedName name="_331__FDSAUDITLINK__" hidden="1">{"fdsup://Directions/FactSet Auditing Viewer?action=AUDIT_VALUE&amp;DB=129&amp;ID1=38259P50&amp;VALUEID=05194&amp;SDATE=2009&amp;PERIODTYPE=ANNR_STD&amp;window=popup_no_bar&amp;width=385&amp;height=120&amp;START_MAXIMIZED=FALSE&amp;creator=factset&amp;display_string=Audit"}</definedName>
    <definedName name="_332__FDSAUDITLINK__" hidden="1">{"fdsup://directions/FAT Viewer?action=UPDATE&amp;creator=factset&amp;DYN_ARGS=TRUE&amp;DOC_NAME=FAT:FQL_AUDITING_CLIENT_TEMPLATE.FAT&amp;display_string=Audit&amp;VAR:KEY=JWJSZQJKHA&amp;VAR:QUERY=RkZfRVBTX0RJTChBTk4sMjAwOSwsLCxJQ19DVVJSRU5DWV9JU08oKSk=&amp;WINDOW=FIRST_POPUP&amp;HEIGHT=45","0&amp;WIDTH=450&amp;START_MAXIMIZED=FALSE&amp;VAR:CALENDAR=US&amp;VAR:SYMBOL=38259P50&amp;VAR:INDEX=0"}</definedName>
    <definedName name="_333__FDSAUDITLINK__" hidden="1">{"fdsup://directions/FAT Viewer?action=UPDATE&amp;creator=factset&amp;DYN_ARGS=TRUE&amp;DOC_NAME=FAT:FQL_AUDITING_CLIENT_TEMPLATE.FAT&amp;display_string=Audit&amp;VAR:KEY=XSXEXKBYLM&amp;VAR:QUERY=RkZfSU5UX0VYUF9ORVQoTFRNUywwLCwsLElDX0NVUlJFTkNZX0lTTygpKQ==&amp;WINDOW=FIRST_POPUP&amp;HEIGH","T=450&amp;WIDTH=450&amp;START_MAXIMIZED=FALSE&amp;VAR:CALENDAR=US&amp;VAR:SYMBOL=38259P50&amp;VAR:INDEX=0"}</definedName>
    <definedName name="_334__FDSAUDITLINK__" hidden="1">{"fdsup://directions/FAT Viewer?action=UPDATE&amp;creator=factset&amp;DYN_ARGS=TRUE&amp;DOC_NAME=FAT:FQL_AUDITING_CLIENT_TEMPLATE.FAT&amp;display_string=Audit&amp;VAR:KEY=DCJUHYPODE&amp;VAR:QUERY=RkZfTkVUX0lOQyhMVE1TLDAsLCwsSUNfQ1VSUkVOQ1lfSVNPKCkp&amp;WINDOW=FIRST_POPUP&amp;HEIGHT=450&amp;WI","DTH=450&amp;START_MAXIMIZED=FALSE&amp;VAR:CALENDAR=US&amp;VAR:SYMBOL=38259P50&amp;VAR:INDEX=0"}</definedName>
    <definedName name="_335__FDSAUDITLINK__" hidden="1">{"fdsup://directions/FAT Viewer?action=UPDATE&amp;creator=factset&amp;DYN_ARGS=TRUE&amp;DOC_NAME=FAT:FQL_AUDITING_CLIENT_TEMPLATE.FAT&amp;display_string=Audit&amp;VAR:KEY=JCFQZGVGTG&amp;VAR:QUERY=RkZfRUJJVF9PUEVSKExUTVMsMCwsLCxJQ19DVVJSRU5DWV9JU08oKSk=&amp;WINDOW=FIRST_POPUP&amp;HEIGHT=45","0&amp;WIDTH=450&amp;START_MAXIMIZED=FALSE&amp;VAR:CALENDAR=US&amp;VAR:SYMBOL=38259P50&amp;VAR:INDEX=0"}</definedName>
    <definedName name="_336__FDSAUDITLINK__" hidden="1">{"fdsup://directions/FAT Viewer?action=UPDATE&amp;creator=factset&amp;DYN_ARGS=TRUE&amp;DOC_NAME=FAT:FQL_AUDITING_CLIENT_TEMPLATE.FAT&amp;display_string=Audit&amp;VAR:KEY=DUBAJOBUXG&amp;VAR:QUERY=RkZfRUJJVERBX09QRVIoTFRNUywwLCwsLElDX0NVUlJFTkNZX0lTTygpKQ==&amp;WINDOW=FIRST_POPUP&amp;HEIGH","T=450&amp;WIDTH=450&amp;START_MAXIMIZED=FALSE&amp;VAR:CALENDAR=US&amp;VAR:SYMBOL=38259P50&amp;VAR:INDEX=0"}</definedName>
    <definedName name="_337__FDSAUDITLINK__" hidden="1">{"fdsup://Directions/FactSet Auditing Viewer?action=AUDIT_VALUE&amp;DB=129&amp;ID1=38259P50&amp;VALUEID=01250&amp;SDATE=2009&amp;PERIODTYPE=ANN_STD&amp;window=popup_no_bar&amp;width=385&amp;height=120&amp;START_MAXIMIZED=FALSE&amp;creator=factset&amp;display_string=Audit"}</definedName>
    <definedName name="_338__FDSAUDITLINK__" hidden="1">{"fdsup://directions/FAT Viewer?action=UPDATE&amp;creator=factset&amp;DYN_ARGS=TRUE&amp;DOC_NAME=FAT:FQL_AUDITING_CLIENT_TEMPLATE.FAT&amp;display_string=Audit&amp;VAR:KEY=FSZUNEFKVC&amp;VAR:QUERY=RkZfRUJJVF9PUEVSKEFOTiwyMDA5LCwsLElDX0NVUlJFTkNZX0lTTygpLE0p&amp;WINDOW=FIRST_POPUP&amp;HEIGH","T=450&amp;WIDTH=450&amp;START_MAXIMIZED=FALSE&amp;VAR:CALENDAR=US&amp;VAR:SYMBOL=38259P50&amp;VAR:INDEX=0"}</definedName>
    <definedName name="_339__FDSAUDITLINK__" hidden="1">{"fdsup://Directions/FactSet Auditing Viewer?action=AUDIT_VALUE&amp;DB=129&amp;ID1=38259P50&amp;VALUEID=01151&amp;SDATE=2009&amp;PERIODTYPE=ANN_STD&amp;window=popup_no_bar&amp;width=385&amp;height=120&amp;START_MAXIMIZED=FALSE&amp;creator=factset&amp;display_string=Audit"}</definedName>
    <definedName name="_34__FDSAUDITLINK__" hidden="1">{"fdsup://directions/FAT Viewer?action=UPDATE&amp;creator=factset&amp;DYN_ARGS=TRUE&amp;DOC_NAME=FAT:FQL_AUDITING_CLIENT_TEMPLATE.FAT&amp;display_string=Audit&amp;VAR:KEY=PGVEZODWLO&amp;VAR:QUERY=RkZfR1JPU1NfSU5DKEFOTiwtM0FZKQ==&amp;WINDOW=FIRST_POPUP&amp;HEIGHT=450&amp;WIDTH=450&amp;START_MAXIMI","ZED=FALSE&amp;VAR:CALENDAR=FIVEDAY&amp;VAR:SYMBOL=685876&amp;VAR:INDEX=0"}</definedName>
    <definedName name="_340__FDSAUDITLINK__" hidden="1">{"fdsup://directions/FAT Viewer?action=UPDATE&amp;creator=factset&amp;DYN_ARGS=TRUE&amp;DOC_NAME=FAT:FQL_AUDITING_CLIENT_TEMPLATE.FAT&amp;display_string=Audit&amp;VAR:KEY=XGLMTWTIZG&amp;VAR:QUERY=RkZfRUJJVERBX09QRVIoQU5OLDIwMDksLCwsSUNfQ1VSUkVOQ1lfSVNPKCksTSk=&amp;WINDOW=FIRST_POPUP&amp;H","EIGHT=450&amp;WIDTH=450&amp;START_MAXIMIZED=FALSE&amp;VAR:CALENDAR=US&amp;VAR:SYMBOL=38259P50&amp;VAR:INDEX=0"}</definedName>
    <definedName name="_341__FDSAUDITLINK__" hidden="1">{"fdsup://Directions/FactSet Auditing Viewer?action=AUDIT_VALUE&amp;DB=129&amp;ID1=38259P50&amp;VALUEID=01001&amp;SDATE=2009&amp;PERIODTYPE=ANN_STD&amp;window=popup_no_bar&amp;width=385&amp;height=120&amp;START_MAXIMIZED=FALSE&amp;creator=factset&amp;display_string=Audit"}</definedName>
    <definedName name="_342__FDSAUDITLINK__" hidden="1">{"fdsup://Directions/FactSet Auditing Viewer?action=AUDIT_VALUE&amp;DB=129&amp;ID1=95980210&amp;VALUEID=02001&amp;SDATE=201004&amp;PERIODTYPE=QTR_STD&amp;window=popup_no_bar&amp;width=385&amp;height=120&amp;START_MAXIMIZED=FALSE&amp;creator=factset&amp;display_string=Audit"}</definedName>
    <definedName name="_343__FDSAUDITLINK__" hidden="1">{"fdsup://directions/FAT Viewer?action=UPDATE&amp;creator=factset&amp;DYN_ARGS=TRUE&amp;DOC_NAME=FAT:FQL_AUDITING_CLIENT_TEMPLATE.FAT&amp;display_string=Audit&amp;VAR:KEY=BORMBINWBA&amp;VAR:QUERY=KChGRl9ERUJUX0xUKFFUUiw0MDU4MywsLCxJQ19DVVJSRU5DWV9JU08oKSlARkZfREVCVF9MVChTRU1JLDQwN","TgzLCwsLElDX0NVUlJFTkNZX0lTTygpKSlARkZfREVCVF9MVChBTk4sNDA1ODMsLCwsSUNfQ1VSUkVOQ1lfSVNPKCkpKQ==&amp;WINDOW=FIRST_POPUP&amp;HEIGHT=450&amp;WIDTH=450&amp;START_MAXIMIZED=FALSE&amp;VAR:CALENDAR=US&amp;VAR:SYMBOL=95980210&amp;VAR:INDEX=0"}</definedName>
    <definedName name="_344__FDSAUDITLINK__" hidden="1">{"fdsup://Directions/FactSet Auditing Viewer?action=AUDIT_VALUE&amp;DB=129&amp;ID1=95980210&amp;VALUEID=01001&amp;SDATE=2010&amp;PERIODTYPE=ANN_STD&amp;window=popup_no_bar&amp;width=385&amp;height=120&amp;START_MAXIMIZED=FALSE&amp;creator=factset&amp;display_string=Audit"}</definedName>
    <definedName name="_345__FDSAUDITLINK__" hidden="1">{"fdsup://directions/FAT Viewer?action=UPDATE&amp;creator=factset&amp;DYN_ARGS=TRUE&amp;DOC_NAME=FAT:FQL_AUDITING_CLIENT_TEMPLATE.FAT&amp;display_string=Audit&amp;VAR:KEY=JKLURQTYTI&amp;VAR:QUERY=RkZfRUJJVERBX09QRVIoQU5OLDIwMTAsLCwsSUNfQ1VSUkVOQ1lfSVNPKCksTSk=&amp;WINDOW=FIRST_POPUP&amp;H","EIGHT=450&amp;WIDTH=450&amp;START_MAXIMIZED=FALSE&amp;VAR:CALENDAR=US&amp;VAR:SYMBOL=95980210&amp;VAR:INDEX=0"}</definedName>
    <definedName name="_346__FDSAUDITLINK__" hidden="1">{"fdsup://Directions/FactSet Auditing Viewer?action=AUDIT_VALUE&amp;DB=129&amp;ID1=95980210&amp;VALUEID=01151&amp;SDATE=2010&amp;PERIODTYPE=ANN_STD&amp;window=popup_no_bar&amp;width=385&amp;height=120&amp;START_MAXIMIZED=FALSE&amp;creator=factset&amp;display_string=Audit"}</definedName>
    <definedName name="_347__FDSAUDITLINK__" hidden="1">{"fdsup://Directions/FactSet Auditing Viewer?action=AUDIT_VALUE&amp;DB=129&amp;ID1=95980210&amp;VALUEID=01250&amp;SDATE=2010&amp;PERIODTYPE=ANN_STD&amp;window=popup_no_bar&amp;width=385&amp;height=120&amp;START_MAXIMIZED=FALSE&amp;creator=factset&amp;display_string=Audit"}</definedName>
    <definedName name="_348__FDSAUDITLINK__" hidden="1">{"fdsup://Directions/FactSet Auditing Viewer?action=AUDIT_VALUE&amp;DB=129&amp;ID1=95980210&amp;VALUEID=01250&amp;SDATE=2010&amp;PERIODTYPE=ANN_STD&amp;window=popup_no_bar&amp;width=385&amp;height=120&amp;START_MAXIMIZED=FALSE&amp;creator=factset&amp;display_string=Audit"}</definedName>
    <definedName name="_349__FDSAUDITLINK__" hidden="1">{"fdsup://directions/FAT Viewer?action=UPDATE&amp;creator=factset&amp;DYN_ARGS=TRUE&amp;DOC_NAME=FAT:FQL_AUDITING_CLIENT_TEMPLATE.FAT&amp;display_string=Audit&amp;VAR:KEY=TKPOHARCPO&amp;VAR:QUERY=RkZfRVBTX0RJTChBTk4sMjAxMCwsLCxJQ19DVVJSRU5DWV9JU08oKSk=&amp;WINDOW=FIRST_POPUP&amp;HEIGHT=45","0&amp;WIDTH=450&amp;START_MAXIMIZED=FALSE&amp;VAR:CALENDAR=US&amp;VAR:SYMBOL=95980210&amp;VAR:INDEX=0"}</definedName>
    <definedName name="_35__123Graph_BCHART_15" hidden="1">[2]Summary!$D$404:$BC$404</definedName>
    <definedName name="_35__FDSAUDITLINK__" hidden="1">{"fdsup://directions/FAT Viewer?action=UPDATE&amp;creator=factset&amp;DYN_ARGS=TRUE&amp;DOC_NAME=FAT:FQL_AUDITING_CLIENT_TEMPLATE.FAT&amp;display_string=Audit&amp;VAR:KEY=XAHKVEPUFE&amp;VAR:QUERY=RkZfR1JPU1NfSU5DKEFOTiwtNUFZKQ==&amp;WINDOW=FIRST_POPUP&amp;HEIGHT=450&amp;WIDTH=450&amp;START_MAXIMI","ZED=FALSE&amp;VAR:CALENDAR=FIVEDAY&amp;VAR:SYMBOL=685876&amp;VAR:INDEX=0"}</definedName>
    <definedName name="_350__FDSAUDITLINK__" hidden="1">{"fdsup://directions/FAT Viewer?action=UPDATE&amp;creator=factset&amp;DYN_ARGS=TRUE&amp;DOC_NAME=FAT:FQL_AUDITING_CLIENT_TEMPLATE.FAT&amp;display_string=Audit&amp;VAR:KEY=BENCBANMJI&amp;VAR:QUERY=RkZfQ0FQRVgoQU5OLDIwMTAsLCwsSUNfQ1VSUkVOQ1lfSVNPKCksTSk=&amp;WINDOW=FIRST_POPUP&amp;HEIGHT=45","0&amp;WIDTH=450&amp;START_MAXIMIZED=FALSE&amp;VAR:CALENDAR=US&amp;VAR:SYMBOL=95980210&amp;VAR:INDEX=0"}</definedName>
    <definedName name="_351__FDSAUDITLINK__" hidden="1">{"fdsup://Directions/FactSet Auditing Viewer?action=AUDIT_VALUE&amp;DB=129&amp;ID1=95980210&amp;VALUEID=01001&amp;SDATE=2008&amp;PERIODTYPE=ANN_STD&amp;window=popup_no_bar&amp;width=385&amp;height=120&amp;START_MAXIMIZED=FALSE&amp;creator=factset&amp;display_string=Audit"}</definedName>
    <definedName name="_352__FDSAUDITLINK__" hidden="1">{"fdsup://directions/FAT Viewer?action=UPDATE&amp;creator=factset&amp;DYN_ARGS=TRUE&amp;DOC_NAME=FAT:FQL_AUDITING_CLIENT_TEMPLATE.FAT&amp;display_string=Audit&amp;VAR:KEY=PEZALOJILK&amp;VAR:QUERY=RkZfRUJJVERBX09QRVIoQU5OLDIwMDgsLCwsSUNfQ1VSUkVOQ1lfSVNPKCksTSk=&amp;WINDOW=FIRST_POPUP&amp;H","EIGHT=450&amp;WIDTH=450&amp;START_MAXIMIZED=FALSE&amp;VAR:CALENDAR=US&amp;VAR:SYMBOL=95980210&amp;VAR:INDEX=0"}</definedName>
    <definedName name="_353__FDSAUDITLINK__" hidden="1">{"fdsup://Directions/FactSet Auditing Viewer?action=AUDIT_VALUE&amp;DB=129&amp;ID1=95980210&amp;VALUEID=01151&amp;SDATE=2008&amp;PERIODTYPE=ANN_STD&amp;window=popup_no_bar&amp;width=385&amp;height=120&amp;START_MAXIMIZED=FALSE&amp;creator=factset&amp;display_string=Audit"}</definedName>
    <definedName name="_354__FDSAUDITLINK__" hidden="1">{"fdsup://directions/FAT Viewer?action=UPDATE&amp;creator=factset&amp;DYN_ARGS=TRUE&amp;DOC_NAME=FAT:FQL_AUDITING_CLIENT_TEMPLATE.FAT&amp;display_string=Audit&amp;VAR:KEY=TSVIBINEHI&amp;VAR:QUERY=RkZfRUJJVF9PUEVSKEFOTiwyMDA4LCwsLElDX0NVUlJFTkNZX0lTTygpLE0p&amp;WINDOW=FIRST_POPUP&amp;HEIGH","T=450&amp;WIDTH=450&amp;START_MAXIMIZED=FALSE&amp;VAR:CALENDAR=US&amp;VAR:SYMBOL=95980210&amp;VAR:INDEX=0"}</definedName>
    <definedName name="_355__FDSAUDITLINK__" hidden="1">{"fdsup://Directions/FactSet Auditing Viewer?action=AUDIT_VALUE&amp;DB=129&amp;ID1=95980210&amp;VALUEID=01250&amp;SDATE=2008&amp;PERIODTYPE=ANN_STD&amp;window=popup_no_bar&amp;width=385&amp;height=120&amp;START_MAXIMIZED=FALSE&amp;creator=factset&amp;display_string=Audit"}</definedName>
    <definedName name="_356__FDSAUDITLINK__" hidden="1">{"fdsup://directions/FAT Viewer?action=UPDATE&amp;creator=factset&amp;DYN_ARGS=TRUE&amp;DOC_NAME=FAT:FQL_AUDITING_CLIENT_TEMPLATE.FAT&amp;display_string=Audit&amp;VAR:KEY=XONEBSHMLK&amp;VAR:QUERY=RkZfRVBTX0RJTChBTk4sMjAwOCwsLCxJQ19DVVJSRU5DWV9JU08oKSk=&amp;WINDOW=FIRST_POPUP&amp;HEIGHT=45","0&amp;WIDTH=450&amp;START_MAXIMIZED=FALSE&amp;VAR:CALENDAR=US&amp;VAR:SYMBOL=95980210&amp;VAR:INDEX=0"}</definedName>
    <definedName name="_357__FDSAUDITLINK__" hidden="1">{"fdsup://directions/FAT Viewer?action=UPDATE&amp;creator=factset&amp;DYN_ARGS=TRUE&amp;DOC_NAME=FAT:FQL_AUDITING_CLIENT_TEMPLATE.FAT&amp;display_string=Audit&amp;VAR:KEY=JIRGJOLQPA&amp;VAR:QUERY=RkZfQ0FQRVgoQU5OLDIwMDgsLCwsSUNfQ1VSUkVOQ1lfSVNPKCksTSk=&amp;WINDOW=FIRST_POPUP&amp;HEIGHT=45","0&amp;WIDTH=450&amp;START_MAXIMIZED=FALSE&amp;VAR:CALENDAR=US&amp;VAR:SYMBOL=95980210&amp;VAR:INDEX=0"}</definedName>
    <definedName name="_358__FDSAUDITLINK__" hidden="1">{"fdsup://Directions/FactSet Auditing Viewer?action=AUDIT_VALUE&amp;DB=129&amp;ID1=95980210&amp;VALUEID=04831&amp;SDATE=2008&amp;PERIODTYPE=ANN_STD&amp;window=popup_no_bar&amp;width=385&amp;height=120&amp;START_MAXIMIZED=FALSE&amp;creator=factset&amp;display_string=Audit"}</definedName>
    <definedName name="_359__FDSAUDITLINK__" hidden="1">{"fdsup://Directions/FactSet Auditing Viewer?action=AUDIT_VALUE&amp;DB=129&amp;ID1=95980210&amp;VALUEID=05194&amp;SDATE=2008&amp;PERIODTYPE=ANNR_STD&amp;window=popup_no_bar&amp;width=385&amp;height=120&amp;START_MAXIMIZED=FALSE&amp;creator=factset&amp;display_string=Audit"}</definedName>
    <definedName name="_36__123Graph_BCHART_16" hidden="1">[2]Summary!$D$405:$BC$405</definedName>
    <definedName name="_36__FDSAUDITLINK__" hidden="1">{"fdsup://Directions/FactSet Auditing Viewer?action=AUDIT_VALUE&amp;DB=129&amp;ID1=B0N9WZ&amp;VALUEID=01001&amp;SDATE=2009&amp;PERIODTYPE=ANN_STD&amp;SCFT=3&amp;window=popup_no_bar&amp;width=385&amp;height=120&amp;START_MAXIMIZED=FALSE&amp;creator=factset&amp;display_string=Audit"}</definedName>
    <definedName name="_360__FDSAUDITLINK__" hidden="1">{"fdsup://Directions/FactSet Auditing Viewer?action=AUDIT_VALUE&amp;DB=129&amp;ID1=95980210&amp;VALUEID=04831&amp;SDATE=2009&amp;PERIODTYPE=ANN_STD&amp;window=popup_no_bar&amp;width=385&amp;height=120&amp;START_MAXIMIZED=FALSE&amp;creator=factset&amp;display_string=Audit"}</definedName>
    <definedName name="_361__FDSAUDITLINK__" hidden="1">{"fdsup://directions/FAT Viewer?action=UPDATE&amp;creator=factset&amp;DYN_ARGS=TRUE&amp;DOC_NAME=FAT:FQL_AUDITING_CLIENT_TEMPLATE.FAT&amp;display_string=Audit&amp;VAR:KEY=VYXAZYNQRY&amp;VAR:QUERY=RkZfQ0FQRVgoQU5OLDIwMDksLCwsSUNfQ1VSUkVOQ1lfSVNPKCksTSk=&amp;WINDOW=FIRST_POPUP&amp;HEIGHT=45","0&amp;WIDTH=450&amp;START_MAXIMIZED=FALSE&amp;VAR:CALENDAR=US&amp;VAR:SYMBOL=95980210&amp;VAR:INDEX=0"}</definedName>
    <definedName name="_362__FDSAUDITLINK__" hidden="1">{"fdsup://Directions/FactSet Auditing Viewer?action=AUDIT_VALUE&amp;DB=129&amp;ID1=95980210&amp;VALUEID=05194&amp;SDATE=2009&amp;PERIODTYPE=ANNR_STD&amp;window=popup_no_bar&amp;width=385&amp;height=120&amp;START_MAXIMIZED=FALSE&amp;creator=factset&amp;display_string=Audit"}</definedName>
    <definedName name="_363__FDSAUDITLINK__" hidden="1">{"fdsup://directions/FAT Viewer?action=UPDATE&amp;creator=factset&amp;DYN_ARGS=TRUE&amp;DOC_NAME=FAT:FQL_AUDITING_CLIENT_TEMPLATE.FAT&amp;display_string=Audit&amp;VAR:KEY=TWZIFSNOXM&amp;VAR:QUERY=RkZfRVBTX0RJTChBTk4sMjAwOSwsLCxJQ19DVVJSRU5DWV9JU08oKSk=&amp;WINDOW=FIRST_POPUP&amp;HEIGHT=45","0&amp;WIDTH=450&amp;START_MAXIMIZED=FALSE&amp;VAR:CALENDAR=US&amp;VAR:SYMBOL=95980210&amp;VAR:INDEX=0"}</definedName>
    <definedName name="_364__FDSAUDITLINK__" hidden="1">{"fdsup://directions/FAT Viewer?action=UPDATE&amp;creator=factset&amp;DYN_ARGS=TRUE&amp;DOC_NAME=FAT:FQL_AUDITING_CLIENT_TEMPLATE.FAT&amp;display_string=Audit&amp;VAR:KEY=RQZAPCDCFA&amp;VAR:QUERY=RkZfSU5UX0VYUF9ORVQoTFRNUywwLCwsLElDX0NVUlJFTkNZX0lTTygpKQ==&amp;WINDOW=FIRST_POPUP&amp;HEIGH","T=450&amp;WIDTH=450&amp;START_MAXIMIZED=FALSE&amp;VAR:CALENDAR=US&amp;VAR:SYMBOL=95980210&amp;VAR:INDEX=0"}</definedName>
    <definedName name="_365__FDSAUDITLINK__" hidden="1">{"fdsup://directions/FAT Viewer?action=UPDATE&amp;creator=factset&amp;DYN_ARGS=TRUE&amp;DOC_NAME=FAT:FQL_AUDITING_CLIENT_TEMPLATE.FAT&amp;display_string=Audit&amp;VAR:KEY=DUHERQPGLW&amp;VAR:QUERY=RkZfTkVUX0lOQyhMVE1TLDAsLCwsSUNfQ1VSUkVOQ1lfSVNPKCkp&amp;WINDOW=FIRST_POPUP&amp;HEIGHT=450&amp;WI","DTH=450&amp;START_MAXIMIZED=FALSE&amp;VAR:CALENDAR=US&amp;VAR:SYMBOL=95980210&amp;VAR:INDEX=0"}</definedName>
    <definedName name="_366__FDSAUDITLINK__" hidden="1">{"fdsup://directions/FAT Viewer?action=UPDATE&amp;creator=factset&amp;DYN_ARGS=TRUE&amp;DOC_NAME=FAT:FQL_AUDITING_CLIENT_TEMPLATE.FAT&amp;display_string=Audit&amp;VAR:KEY=HWFSPOJEBA&amp;VAR:QUERY=RkZfRUJJVF9PUEVSKExUTVMsMCwsLCxJQ19DVVJSRU5DWV9JU08oKSk=&amp;WINDOW=FIRST_POPUP&amp;HEIGHT=45","0&amp;WIDTH=450&amp;START_MAXIMIZED=FALSE&amp;VAR:CALENDAR=US&amp;VAR:SYMBOL=95980210&amp;VAR:INDEX=0"}</definedName>
    <definedName name="_367__FDSAUDITLINK__" hidden="1">{"fdsup://directions/FAT Viewer?action=UPDATE&amp;creator=factset&amp;DYN_ARGS=TRUE&amp;DOC_NAME=FAT:FQL_AUDITING_CLIENT_TEMPLATE.FAT&amp;display_string=Audit&amp;VAR:KEY=FGVONITKZO&amp;VAR:QUERY=RkZfRUJJVERBX09QRVIoTFRNUywwLCwsLElDX0NVUlJFTkNZX0lTTygpKQ==&amp;WINDOW=FIRST_POPUP&amp;HEIGH","T=450&amp;WIDTH=450&amp;START_MAXIMIZED=FALSE&amp;VAR:CALENDAR=US&amp;VAR:SYMBOL=95980210&amp;VAR:INDEX=0"}</definedName>
    <definedName name="_368__FDSAUDITLINK__" hidden="1">{"fdsup://Directions/FactSet Auditing Viewer?action=AUDIT_VALUE&amp;DB=129&amp;ID1=95980210&amp;VALUEID=01250&amp;SDATE=2009&amp;PERIODTYPE=ANN_STD&amp;window=popup_no_bar&amp;width=385&amp;height=120&amp;START_MAXIMIZED=FALSE&amp;creator=factset&amp;display_string=Audit"}</definedName>
    <definedName name="_369__FDSAUDITLINK__" hidden="1">{"fdsup://directions/FAT Viewer?action=UPDATE&amp;creator=factset&amp;DYN_ARGS=TRUE&amp;DOC_NAME=FAT:FQL_AUDITING_CLIENT_TEMPLATE.FAT&amp;display_string=Audit&amp;VAR:KEY=LCVUZGRYJY&amp;VAR:QUERY=RkZfRUJJVF9PUEVSKEFOTiwyMDA5LCwsLElDX0NVUlJFTkNZX0lTTygpLE0p&amp;WINDOW=FIRST_POPUP&amp;HEIGH","T=450&amp;WIDTH=450&amp;START_MAXIMIZED=FALSE&amp;VAR:CALENDAR=US&amp;VAR:SYMBOL=95980210&amp;VAR:INDEX=0"}</definedName>
    <definedName name="_37__123Graph_BCHART_17" hidden="1">[2]Summary!$D$406:$BC$406</definedName>
    <definedName name="_37__FDSAUDITLINK__" hidden="1">{"fdsup://directions/FAT Viewer?action=UPDATE&amp;creator=factset&amp;DYN_ARGS=TRUE&amp;DOC_NAME=FAT:FQL_AUDITING_CLIENT_TEMPLATE.FAT&amp;display_string=Audit&amp;VAR:KEY=PQTOZATMZM&amp;VAR:QUERY=RkZfTkVUX0lOQ19CQVNJQ19CRUZUX1hPUkQoTFRNLDAp&amp;WINDOW=FIRST_POPUP&amp;HEIGHT=450&amp;WIDTH=450&amp;","START_MAXIMIZED=FALSE&amp;VAR:CALENDAR=FIVEDAY&amp;VAR:SYMBOL=B0N9WZ&amp;VAR:INDEX=0"}</definedName>
    <definedName name="_370__FDSAUDITLINK__" hidden="1">{"fdsup://Directions/FactSet Auditing Viewer?action=AUDIT_VALUE&amp;DB=129&amp;ID1=95980210&amp;VALUEID=01151&amp;SDATE=2009&amp;PERIODTYPE=ANN_STD&amp;window=popup_no_bar&amp;width=385&amp;height=120&amp;START_MAXIMIZED=FALSE&amp;creator=factset&amp;display_string=Audit"}</definedName>
    <definedName name="_371__FDSAUDITLINK__" hidden="1">{"fdsup://directions/FAT Viewer?action=UPDATE&amp;creator=factset&amp;DYN_ARGS=TRUE&amp;DOC_NAME=FAT:FQL_AUDITING_CLIENT_TEMPLATE.FAT&amp;display_string=Audit&amp;VAR:KEY=HMXYNODWDY&amp;VAR:QUERY=RkZfRUJJVERBX09QRVIoQU5OLDIwMDksLCwsSUNfQ1VSUkVOQ1lfSVNPKCksTSk=&amp;WINDOW=FIRST_POPUP&amp;H","EIGHT=450&amp;WIDTH=450&amp;START_MAXIMIZED=FALSE&amp;VAR:CALENDAR=US&amp;VAR:SYMBOL=95980210&amp;VAR:INDEX=0"}</definedName>
    <definedName name="_372__FDSAUDITLINK__" hidden="1">{"fdsup://Directions/FactSet Auditing Viewer?action=AUDIT_VALUE&amp;DB=129&amp;ID1=95980210&amp;VALUEID=01001&amp;SDATE=2009&amp;PERIODTYPE=ANN_STD&amp;window=popup_no_bar&amp;width=385&amp;height=120&amp;START_MAXIMIZED=FALSE&amp;creator=factset&amp;display_string=Audit"}</definedName>
    <definedName name="_373__FDSAUDITLINK__" hidden="1">{"fdsup://Directions/FactSet Auditing Viewer?action=AUDIT_VALUE&amp;DB=129&amp;ID1=572797&amp;VALUEID=02001&amp;SDATE=201101&amp;PERIODTYPE=QTR_STD&amp;window=popup_no_bar&amp;width=385&amp;height=120&amp;START_MAXIMIZED=FALSE&amp;creator=factset&amp;display_string=Audit"}</definedName>
    <definedName name="_374__FDSAUDITLINK__" hidden="1">{"fdsup://Directions/FactSet Auditing Viewer?action=AUDIT_VALUE&amp;DB=129&amp;ID1=572797&amp;VALUEID=03051&amp;SDATE=201101&amp;PERIODTYPE=QTR_STD&amp;window=popup_no_bar&amp;width=385&amp;height=120&amp;START_MAXIMIZED=FALSE&amp;creator=factset&amp;display_string=Audit"}</definedName>
    <definedName name="_375__FDSAUDITLINK__" hidden="1">{"fdsup://directions/FAT Viewer?action=UPDATE&amp;creator=factset&amp;DYN_ARGS=TRUE&amp;DOC_NAME=FAT:FQL_AUDITING_CLIENT_TEMPLATE.FAT&amp;display_string=Audit&amp;VAR:KEY=DMHMPQLGLS&amp;VAR:QUERY=KChGRl9ERUJUX0xUKFFUUiw0MDU4MywsLCxJQ19DVVJSRU5DWV9JU08oKSlARkZfREVCVF9MVChTRU1JLDQwN","TgzLCwsLElDX0NVUlJFTkNZX0lTTygpKSlARkZfREVCVF9MVChBTk4sNDA1ODMsLCwsSUNfQ1VSUkVOQ1lfSVNPKCkpKQ==&amp;WINDOW=FIRST_POPUP&amp;HEIGHT=450&amp;WIDTH=450&amp;START_MAXIMIZED=FALSE&amp;VAR:CALENDAR=US&amp;VAR:SYMBOL=572797&amp;VAR:INDEX=0"}</definedName>
    <definedName name="_376__FDSAUDITLINK__" hidden="1">{"fdsup://Directions/FactSet Auditing Viewer?action=AUDIT_VALUE&amp;DB=129&amp;ID1=572797&amp;VALUEID=18821&amp;SDATE=2010&amp;PERIODTYPE=ANN_STD&amp;window=popup_no_bar&amp;width=385&amp;height=120&amp;START_MAXIMIZED=FALSE&amp;creator=factset&amp;display_string=Audit"}</definedName>
    <definedName name="_377__FDSAUDITLINK__" hidden="1">{"fdsup://Directions/FactSet Auditing Viewer?action=AUDIT_VALUE&amp;DB=129&amp;ID1=572797&amp;VALUEID=03426&amp;SDATE=201101&amp;PERIODTYPE=QTR_STD&amp;window=popup_no_bar&amp;width=385&amp;height=120&amp;START_MAXIMIZED=FALSE&amp;creator=factset&amp;display_string=Audit"}</definedName>
    <definedName name="_378__FDSAUDITLINK__" hidden="1">{"fdsup://Directions/FactSet Auditing Viewer?action=AUDIT_VALUE&amp;DB=129&amp;ID1=572797&amp;VALUEID=01001&amp;SDATE=2010&amp;PERIODTYPE=ANN_STD&amp;window=popup_no_bar&amp;width=385&amp;height=120&amp;START_MAXIMIZED=FALSE&amp;creator=factset&amp;display_string=Audit"}</definedName>
    <definedName name="_379__FDSAUDITLINK__" hidden="1">{"fdsup://directions/FAT Viewer?action=UPDATE&amp;creator=factset&amp;DYN_ARGS=TRUE&amp;DOC_NAME=FAT:FQL_AUDITING_CLIENT_TEMPLATE.FAT&amp;display_string=Audit&amp;VAR:KEY=TAVWZCBKPQ&amp;VAR:QUERY=RkZfRUJJVERBX09QRVIoQU5OLDIwMTAsLCwsSUNfQ1VSUkVOQ1lfSVNPKCksTSk=&amp;WINDOW=FIRST_POPUP&amp;H","EIGHT=450&amp;WIDTH=450&amp;START_MAXIMIZED=FALSE&amp;VAR:CALENDAR=US&amp;VAR:SYMBOL=572797&amp;VAR:INDEX=0"}</definedName>
    <definedName name="_38__123Graph_BCHART_18" hidden="1">[2]Summary!$D$411:$BC$411</definedName>
    <definedName name="_38__FDSAUDITLINK__" hidden="1">{"fdsup://directions/FAT Viewer?action=UPDATE&amp;creator=factset&amp;DYN_ARGS=TRUE&amp;DOC_NAME=FAT:FQL_AUDITING_CLIENT_TEMPLATE.FAT&amp;display_string=Audit&amp;VAR:KEY=XQVOPARELE&amp;VAR:QUERY=RkZfRUJJVERBKEFOTiwwKQ==&amp;WINDOW=FIRST_POPUP&amp;HEIGHT=450&amp;WIDTH=450&amp;START_MAXIMIZED=FALS","E&amp;VAR:CALENDAR=FIVEDAY&amp;VAR:SYMBOL=685876&amp;VAR:INDEX=0"}</definedName>
    <definedName name="_380__FDSAUDITLINK__" hidden="1">{"fdsup://Directions/FactSet Auditing Viewer?action=AUDIT_VALUE&amp;DB=129&amp;ID1=572797&amp;VALUEID=01151&amp;SDATE=2010&amp;PERIODTYPE=ANN_STD&amp;window=popup_no_bar&amp;width=385&amp;height=120&amp;START_MAXIMIZED=FALSE&amp;creator=factset&amp;display_string=Audit"}</definedName>
    <definedName name="_381__FDSAUDITLINK__" hidden="1">{"fdsup://directions/FAT Viewer?action=UPDATE&amp;creator=factset&amp;DYN_ARGS=TRUE&amp;DOC_NAME=FAT:FQL_AUDITING_CLIENT_TEMPLATE.FAT&amp;display_string=Audit&amp;VAR:KEY=JEBKJIZSJY&amp;VAR:QUERY=RkZfRUJJVF9PUEVSKEFOTiwyMDEwLCwsLElDX0NVUlJFTkNZX0lTTygpLE0p&amp;WINDOW=FIRST_POPUP&amp;HEIGH","T=450&amp;WIDTH=450&amp;START_MAXIMIZED=FALSE&amp;VAR:CALENDAR=US&amp;VAR:SYMBOL=572797&amp;VAR:INDEX=0"}</definedName>
    <definedName name="_382__FDSAUDITLINK__" hidden="1">{"fdsup://Directions/FactSet Auditing Viewer?action=AUDIT_VALUE&amp;DB=129&amp;ID1=572797&amp;VALUEID=01250&amp;SDATE=2010&amp;PERIODTYPE=ANN_STD&amp;window=popup_no_bar&amp;width=385&amp;height=120&amp;START_MAXIMIZED=FALSE&amp;creator=factset&amp;display_string=Audit"}</definedName>
    <definedName name="_383__FDSAUDITLINK__" hidden="1">{"fdsup://directions/FAT Viewer?action=UPDATE&amp;creator=factset&amp;DYN_ARGS=TRUE&amp;DOC_NAME=FAT:FQL_AUDITING_CLIENT_TEMPLATE.FAT&amp;display_string=Audit&amp;VAR:KEY=PIFCPQTURA&amp;VAR:QUERY=RkZfRVBTX0RJTChBTk4sMjAxMCwsLCxJQ19DVVJSRU5DWV9JU08oKSk=&amp;WINDOW=FIRST_POPUP&amp;HEIGHT=45","0&amp;WIDTH=450&amp;START_MAXIMIZED=FALSE&amp;VAR:CALENDAR=US&amp;VAR:SYMBOL=572797&amp;VAR:INDEX=0"}</definedName>
    <definedName name="_384__FDSAUDITLINK__" hidden="1">{"fdsup://directions/FAT Viewer?action=UPDATE&amp;creator=factset&amp;DYN_ARGS=TRUE&amp;DOC_NAME=FAT:FQL_AUDITING_CLIENT_TEMPLATE.FAT&amp;display_string=Audit&amp;VAR:KEY=ROPSTOXIZW&amp;VAR:QUERY=RkZfQ0FQRVgoQU5OLDIwMTAsLCwsSUNfQ1VSUkVOQ1lfSVNPKCksTSk=&amp;WINDOW=FIRST_POPUP&amp;HEIGHT=45","0&amp;WIDTH=450&amp;START_MAXIMIZED=FALSE&amp;VAR:CALENDAR=US&amp;VAR:SYMBOL=572797&amp;VAR:INDEX=0"}</definedName>
    <definedName name="_385__FDSAUDITLINK__" hidden="1">{"fdsup://Directions/FactSet Auditing Viewer?action=AUDIT_VALUE&amp;DB=129&amp;ID1=572797&amp;VALUEID=01201&amp;SDATE=2010&amp;PERIODTYPE=ANN_STD&amp;window=popup_no_bar&amp;width=385&amp;height=120&amp;START_MAXIMIZED=FALSE&amp;creator=factset&amp;display_string=Audit"}</definedName>
    <definedName name="_386__FDSAUDITLINK__" hidden="1">{"fdsup://Directions/FactSet Auditing Viewer?action=AUDIT_VALUE&amp;DB=129&amp;ID1=572797&amp;VALUEID=04831&amp;SDATE=2010&amp;PERIODTYPE=ANN_STD&amp;window=popup_no_bar&amp;width=385&amp;height=120&amp;START_MAXIMIZED=FALSE&amp;creator=factset&amp;display_string=Audit"}</definedName>
    <definedName name="_387__FDSAUDITLINK__" hidden="1">{"fdsup://Directions/FactSet Auditing Viewer?action=AUDIT_VALUE&amp;DB=129&amp;ID1=572797&amp;VALUEID=01001&amp;SDATE=2008&amp;PERIODTYPE=ANN_STD&amp;window=popup_no_bar&amp;width=385&amp;height=120&amp;START_MAXIMIZED=FALSE&amp;creator=factset&amp;display_string=Audit"}</definedName>
    <definedName name="_388__FDSAUDITLINK__" hidden="1">{"fdsup://directions/FAT Viewer?action=UPDATE&amp;creator=factset&amp;DYN_ARGS=TRUE&amp;DOC_NAME=FAT:FQL_AUDITING_CLIENT_TEMPLATE.FAT&amp;display_string=Audit&amp;VAR:KEY=VCZCPGTWJW&amp;VAR:QUERY=RkZfRUJJVERBX09QRVIoQU5OLDIwMDgsLCwsSUNfQ1VSUkVOQ1lfSVNPKCksTSk=&amp;WINDOW=FIRST_POPUP&amp;H","EIGHT=450&amp;WIDTH=450&amp;START_MAXIMIZED=FALSE&amp;VAR:CALENDAR=US&amp;VAR:SYMBOL=572797&amp;VAR:INDEX=0"}</definedName>
    <definedName name="_389__FDSAUDITLINK__" hidden="1">{"fdsup://Directions/FactSet Auditing Viewer?action=AUDIT_VALUE&amp;DB=129&amp;ID1=572797&amp;VALUEID=01151&amp;SDATE=2008&amp;PERIODTYPE=ANN_STD&amp;window=popup_no_bar&amp;width=385&amp;height=120&amp;START_MAXIMIZED=FALSE&amp;creator=factset&amp;display_string=Audit"}</definedName>
    <definedName name="_39__123Graph_BCHART_21" hidden="1">[2]Summary!$P$359:$AA$359</definedName>
    <definedName name="_39__FDSAUDITLINK__" hidden="1">{"fdsup://directions/FAT Viewer?action=UPDATE&amp;creator=factset&amp;DYN_ARGS=TRUE&amp;DOC_NAME=FAT:FQL_AUDITING_CLIENT_TEMPLATE.FAT&amp;display_string=Audit&amp;VAR:KEY=VCLQFQTGXE&amp;VAR:QUERY=RkZfRUJJVERBKEFOTiwtMUFZKQ==&amp;WINDOW=FIRST_POPUP&amp;HEIGHT=450&amp;WIDTH=450&amp;START_MAXIMIZED=","FALSE&amp;VAR:CALENDAR=FIVEDAY&amp;VAR:SYMBOL=685876&amp;VAR:INDEX=0"}</definedName>
    <definedName name="_390__FDSAUDITLINK__" hidden="1">{"fdsup://directions/FAT Viewer?action=UPDATE&amp;creator=factset&amp;DYN_ARGS=TRUE&amp;DOC_NAME=FAT:FQL_AUDITING_CLIENT_TEMPLATE.FAT&amp;display_string=Audit&amp;VAR:KEY=JGVWVIRERK&amp;VAR:QUERY=RkZfRUJJVF9PUEVSKEFOTiwyMDA4LCwsLElDX0NVUlJFTkNZX0lTTygpLE0p&amp;WINDOW=FIRST_POPUP&amp;HEIGH","T=450&amp;WIDTH=450&amp;START_MAXIMIZED=FALSE&amp;VAR:CALENDAR=US&amp;VAR:SYMBOL=572797&amp;VAR:INDEX=0"}</definedName>
    <definedName name="_391__FDSAUDITLINK__" hidden="1">{"fdsup://Directions/FactSet Auditing Viewer?action=AUDIT_VALUE&amp;DB=129&amp;ID1=572797&amp;VALUEID=01250&amp;SDATE=2008&amp;PERIODTYPE=ANN_STD&amp;window=popup_no_bar&amp;width=385&amp;height=120&amp;START_MAXIMIZED=FALSE&amp;creator=factset&amp;display_string=Audit"}</definedName>
    <definedName name="_392__FDSAUDITLINK__" hidden="1">{"fdsup://directions/FAT Viewer?action=UPDATE&amp;creator=factset&amp;DYN_ARGS=TRUE&amp;DOC_NAME=FAT:FQL_AUDITING_CLIENT_TEMPLATE.FAT&amp;display_string=Audit&amp;VAR:KEY=ZOHSTKJQZA&amp;VAR:QUERY=RkZfRVBTX0RJTChBTk4sMjAwOCwsLCxJQ19DVVJSRU5DWV9JU08oKSk=&amp;WINDOW=FIRST_POPUP&amp;HEIGHT=45","0&amp;WIDTH=450&amp;START_MAXIMIZED=FALSE&amp;VAR:CALENDAR=US&amp;VAR:SYMBOL=572797&amp;VAR:INDEX=0"}</definedName>
    <definedName name="_393__FDSAUDITLINK__" hidden="1">{"fdsup://directions/FAT Viewer?action=UPDATE&amp;creator=factset&amp;DYN_ARGS=TRUE&amp;DOC_NAME=FAT:FQL_AUDITING_CLIENT_TEMPLATE.FAT&amp;display_string=Audit&amp;VAR:KEY=FKRCLEVYXM&amp;VAR:QUERY=RkZfQ0FQRVgoQU5OLDIwMDgsLCwsSUNfQ1VSUkVOQ1lfSVNPKCksTSk=&amp;WINDOW=FIRST_POPUP&amp;HEIGHT=45","0&amp;WIDTH=450&amp;START_MAXIMIZED=FALSE&amp;VAR:CALENDAR=US&amp;VAR:SYMBOL=572797&amp;VAR:INDEX=0"}</definedName>
    <definedName name="_394__FDSAUDITLINK__" hidden="1">{"fdsup://Directions/FactSet Auditing Viewer?action=AUDIT_VALUE&amp;DB=129&amp;ID1=572797&amp;VALUEID=01201&amp;SDATE=2008&amp;PERIODTYPE=ANN_STD&amp;window=popup_no_bar&amp;width=385&amp;height=120&amp;START_MAXIMIZED=FALSE&amp;creator=factset&amp;display_string=Audit"}</definedName>
    <definedName name="_395__FDSAUDITLINK__" hidden="1">{"fdsup://Directions/FactSet Auditing Viewer?action=AUDIT_VALUE&amp;DB=129&amp;ID1=572797&amp;VALUEID=04831&amp;SDATE=2008&amp;PERIODTYPE=ANN_STD&amp;window=popup_no_bar&amp;width=385&amp;height=120&amp;START_MAXIMIZED=FALSE&amp;creator=factset&amp;display_string=Audit"}</definedName>
    <definedName name="_396__FDSAUDITLINK__" hidden="1">{"fdsup://Directions/FactSet Auditing Viewer?action=AUDIT_VALUE&amp;DB=129&amp;ID1=572797&amp;VALUEID=05194&amp;SDATE=2008&amp;PERIODTYPE=ANNR_STD&amp;window=popup_no_bar&amp;width=385&amp;height=120&amp;START_MAXIMIZED=FALSE&amp;creator=factset&amp;display_string=Audit"}</definedName>
    <definedName name="_397__FDSAUDITLINK__" hidden="1">{"fdsup://directions/FAT Viewer?action=UPDATE&amp;creator=factset&amp;DYN_ARGS=TRUE&amp;DOC_NAME=FAT:FQL_AUDITING_CLIENT_TEMPLATE.FAT&amp;display_string=Audit&amp;VAR:KEY=ZCVOXIVKHW&amp;VAR:QUERY=RkZfQ0FQRVgoQU5OLDIwMDksLCwsSUNfQ1VSUkVOQ1lfSVNPKCksTSk=&amp;WINDOW=FIRST_POPUP&amp;HEIGHT=45","0&amp;WIDTH=450&amp;START_MAXIMIZED=FALSE&amp;VAR:CALENDAR=US&amp;VAR:SYMBOL=572797&amp;VAR:INDEX=0"}</definedName>
    <definedName name="_398__FDSAUDITLINK__" hidden="1">{"fdsup://directions/FAT Viewer?action=UPDATE&amp;creator=factset&amp;DYN_ARGS=TRUE&amp;DOC_NAME=FAT:FQL_AUDITING_CLIENT_TEMPLATE.FAT&amp;display_string=Audit&amp;VAR:KEY=DWBMRUJGDI&amp;VAR:QUERY=RkZfRVBTX0RJTChBTk4sMjAwOSwsLCxJQ19DVVJSRU5DWV9JU08oKSk=&amp;WINDOW=FIRST_POPUP&amp;HEIGHT=45","0&amp;WIDTH=450&amp;START_MAXIMIZED=FALSE&amp;VAR:CALENDAR=US&amp;VAR:SYMBOL=572797&amp;VAR:INDEX=0"}</definedName>
    <definedName name="_399__FDSAUDITLINK__" hidden="1">{"fdsup://directions/FAT Viewer?action=UPDATE&amp;creator=factset&amp;DYN_ARGS=TRUE&amp;DOC_NAME=FAT:FQL_AUDITING_CLIENT_TEMPLATE.FAT&amp;display_string=Audit&amp;VAR:KEY=XKJQTWJANI&amp;VAR:QUERY=RkZfSU5UX0VYUF9ORVQoTFRNUywwLCwsLElDX0NVUlJFTkNZX0lTTygpKQ==&amp;WINDOW=FIRST_POPUP&amp;HEIGH","T=450&amp;WIDTH=450&amp;START_MAXIMIZED=FALSE&amp;VAR:CALENDAR=US&amp;VAR:SYMBOL=572797&amp;VAR:INDEX=0"}</definedName>
    <definedName name="_4__FDSAUDITLINK__" hidden="1">{"fdsup://directions/FAT Viewer?action=UPDATE&amp;creator=factset&amp;DYN_ARGS=TRUE&amp;DOC_NAME=FAT:FQL_AUDITING_CLIENT_TEMPLATE.FAT&amp;display_string=Audit&amp;VAR:KEY=NWHILQLALK&amp;VAR:QUERY=RkZfRU5UUlBSX1ZBTF9FQklUREFfT1BFUihBTk4sTk9XLE5PVyk=&amp;WINDOW=FIRST_POPUP&amp;HEIGHT=450&amp;WI","DTH=450&amp;START_MAXIMIZED=FALSE&amp;VAR:CALENDAR=FIVEDAY&amp;VAR:SYMBOL=685876&amp;VAR:INDEX=0"}</definedName>
    <definedName name="_40__123Graph_BCHART_3" hidden="1">'[4]Inputs and Calc'!$BG$244:$BK$244</definedName>
    <definedName name="_40__FDSAUDITLINK__" hidden="1">{"fdsup://Directions/FactSet Auditing Viewer?action=AUDIT_VALUE&amp;DB=129&amp;ID1=48300770&amp;VALUEID=01001&amp;SDATE=2008&amp;PERIODTYPE=ANN_STD&amp;SCFT=3&amp;window=popup_no_bar&amp;width=385&amp;height=120&amp;START_MAXIMIZED=FALSE&amp;creator=factset&amp;display_string=Audit"}</definedName>
    <definedName name="_400__FDSAUDITLINK__" hidden="1">{"fdsup://directions/FAT Viewer?action=UPDATE&amp;creator=factset&amp;DYN_ARGS=TRUE&amp;DOC_NAME=FAT:FQL_AUDITING_CLIENT_TEMPLATE.FAT&amp;display_string=Audit&amp;VAR:KEY=BCDAFAZGVW&amp;VAR:QUERY=RkZfTkVUX0lOQyhMVE1TLDAsLCwsSUNfQ1VSUkVOQ1lfSVNPKCkp&amp;WINDOW=FIRST_POPUP&amp;HEIGHT=450&amp;WI","DTH=450&amp;START_MAXIMIZED=FALSE&amp;VAR:CALENDAR=US&amp;VAR:SYMBOL=572797&amp;VAR:INDEX=0"}</definedName>
    <definedName name="_401__FDSAUDITLINK__" hidden="1">{"fdsup://directions/FAT Viewer?action=UPDATE&amp;creator=factset&amp;DYN_ARGS=TRUE&amp;DOC_NAME=FAT:FQL_AUDITING_CLIENT_TEMPLATE.FAT&amp;display_string=Audit&amp;VAR:KEY=HIHONWTQRM&amp;VAR:QUERY=RkZfRUJJVF9PUEVSKExUTVMsMCwsLCxJQ19DVVJSRU5DWV9JU08oKSk=&amp;WINDOW=FIRST_POPUP&amp;HEIGHT=45","0&amp;WIDTH=450&amp;START_MAXIMIZED=FALSE&amp;VAR:CALENDAR=US&amp;VAR:SYMBOL=572797&amp;VAR:INDEX=0"}</definedName>
    <definedName name="_402__FDSAUDITLINK__" hidden="1">{"fdsup://directions/FAT Viewer?action=UPDATE&amp;creator=factset&amp;DYN_ARGS=TRUE&amp;DOC_NAME=FAT:FQL_AUDITING_CLIENT_TEMPLATE.FAT&amp;display_string=Audit&amp;VAR:KEY=ZUXQREPOTK&amp;VAR:QUERY=RkZfRUJJVERBX09QRVIoTFRNUywwLCwsLElDX0NVUlJFTkNZX0lTTygpKQ==&amp;WINDOW=FIRST_POPUP&amp;HEIGH","T=450&amp;WIDTH=450&amp;START_MAXIMIZED=FALSE&amp;VAR:CALENDAR=US&amp;VAR:SYMBOL=572797&amp;VAR:INDEX=0"}</definedName>
    <definedName name="_403__FDSAUDITLINK__" hidden="1">{"fdsup://directions/FAT Viewer?action=UPDATE&amp;creator=factset&amp;DYN_ARGS=TRUE&amp;DOC_NAME=FAT:FQL_AUDITING_CLIENT_TEMPLATE.FAT&amp;display_string=Audit&amp;VAR:KEY=JALAPUBUZC&amp;VAR:QUERY=RkZfRUJJVF9PUEVSKEFOTiwyMDA5LCwsLElDX0NVUlJFTkNZX0lTTygpLE0p&amp;WINDOW=FIRST_POPUP&amp;HEIGH","T=450&amp;WIDTH=450&amp;START_MAXIMIZED=FALSE&amp;VAR:CALENDAR=US&amp;VAR:SYMBOL=572797&amp;VAR:INDEX=0"}</definedName>
    <definedName name="_404__FDSAUDITLINK__" hidden="1">{"fdsup://directions/FAT Viewer?action=UPDATE&amp;creator=factset&amp;DYN_ARGS=TRUE&amp;DOC_NAME=FAT:FQL_AUDITING_CLIENT_TEMPLATE.FAT&amp;display_string=Audit&amp;VAR:KEY=FUJCTQTAFQ&amp;VAR:QUERY=RkZfRUJJVERBX09QRVIoQU5OLDIwMDksLCwsSUNfQ1VSUkVOQ1lfSVNPKCksTSk=&amp;WINDOW=FIRST_POPUP&amp;H","EIGHT=450&amp;WIDTH=450&amp;START_MAXIMIZED=FALSE&amp;VAR:CALENDAR=US&amp;VAR:SYMBOL=572797&amp;VAR:INDEX=0"}</definedName>
    <definedName name="_405__FDSAUDITLINK__" hidden="1">{"fdsup://Directions/FactSet Auditing Viewer?action=AUDIT_VALUE&amp;DB=129&amp;ID1=572797&amp;VALUEID=01001&amp;SDATE=2010&amp;PERIODTYPE=ANN_STD&amp;window=popup_no_bar&amp;width=385&amp;height=120&amp;START_MAXIMIZED=FALSE&amp;creator=factset&amp;display_string=Audit"}</definedName>
    <definedName name="_406__FDSAUDITLINK__" hidden="1">{"fdsup://directions/FAT Viewer?action=UPDATE&amp;creator=factset&amp;DYN_ARGS=TRUE&amp;DOC_NAME=FAT:FQL_AUDITING_CLIENT_TEMPLATE.FAT&amp;display_string=Audit&amp;VAR:KEY=TAVWZCBKPQ&amp;VAR:QUERY=RkZfRUJJVERBX09QRVIoQU5OLDIwMTAsLCwsSUNfQ1VSUkVOQ1lfSVNPKCksTSk=&amp;WINDOW=FIRST_POPUP&amp;H","EIGHT=450&amp;WIDTH=450&amp;START_MAXIMIZED=FALSE&amp;VAR:CALENDAR=US&amp;VAR:SYMBOL=572797&amp;VAR:INDEX=0"}</definedName>
    <definedName name="_407__FDSAUDITLINK__" hidden="1">{"fdsup://Directions/FactSet Auditing Viewer?action=AUDIT_VALUE&amp;DB=129&amp;ID1=572797&amp;VALUEID=01151&amp;SDATE=2010&amp;PERIODTYPE=ANN_STD&amp;window=popup_no_bar&amp;width=385&amp;height=120&amp;START_MAXIMIZED=FALSE&amp;creator=factset&amp;display_string=Audit"}</definedName>
    <definedName name="_408__FDSAUDITLINK__" hidden="1">{"fdsup://directions/FAT Viewer?action=UPDATE&amp;creator=factset&amp;DYN_ARGS=TRUE&amp;DOC_NAME=FAT:FQL_AUDITING_CLIENT_TEMPLATE.FAT&amp;display_string=Audit&amp;VAR:KEY=JEBKJIZSJY&amp;VAR:QUERY=RkZfRUJJVF9PUEVSKEFOTiwyMDEwLCwsLElDX0NVUlJFTkNZX0lTTygpLE0p&amp;WINDOW=FIRST_POPUP&amp;HEIGH","T=450&amp;WIDTH=450&amp;START_MAXIMIZED=FALSE&amp;VAR:CALENDAR=US&amp;VAR:SYMBOL=572797&amp;VAR:INDEX=0"}</definedName>
    <definedName name="_409__FDSAUDITLINK__" hidden="1">{"fdsup://Directions/FactSet Auditing Viewer?action=AUDIT_VALUE&amp;DB=129&amp;ID1=572797&amp;VALUEID=01250&amp;SDATE=2010&amp;PERIODTYPE=ANN_STD&amp;window=popup_no_bar&amp;width=385&amp;height=120&amp;START_MAXIMIZED=FALSE&amp;creator=factset&amp;display_string=Audit"}</definedName>
    <definedName name="_41__123Graph_BCHART_31" hidden="1">'[2]Hrs Wkd Per T'!$G$18:$AP$18</definedName>
    <definedName name="_41__FDSAUDITLINK__" hidden="1">{"fdsup://Directions/FactSet Auditing Viewer?action=AUDIT_VALUE&amp;DB=129&amp;ID1=48300770&amp;VALUEID=01001&amp;SDATE=2007&amp;PERIODTYPE=ANN_STD&amp;SCFT=3&amp;window=popup_no_bar&amp;width=385&amp;height=120&amp;START_MAXIMIZED=FALSE&amp;creator=factset&amp;display_string=Audit"}</definedName>
    <definedName name="_410__FDSAUDITLINK__" hidden="1">{"fdsup://directions/FAT Viewer?action=UPDATE&amp;creator=factset&amp;DYN_ARGS=TRUE&amp;DOC_NAME=FAT:FQL_AUDITING_CLIENT_TEMPLATE.FAT&amp;display_string=Audit&amp;VAR:KEY=PIFCPQTURA&amp;VAR:QUERY=RkZfRVBTX0RJTChBTk4sMjAxMCwsLCxJQ19DVVJSRU5DWV9JU08oKSk=&amp;WINDOW=FIRST_POPUP&amp;HEIGHT=45","0&amp;WIDTH=450&amp;START_MAXIMIZED=FALSE&amp;VAR:CALENDAR=US&amp;VAR:SYMBOL=572797&amp;VAR:INDEX=0"}</definedName>
    <definedName name="_411__FDSAUDITLINK__" hidden="1">{"fdsup://directions/FAT Viewer?action=UPDATE&amp;creator=factset&amp;DYN_ARGS=TRUE&amp;DOC_NAME=FAT:FQL_AUDITING_CLIENT_TEMPLATE.FAT&amp;display_string=Audit&amp;VAR:KEY=ROPSTOXIZW&amp;VAR:QUERY=RkZfQ0FQRVgoQU5OLDIwMTAsLCwsSUNfQ1VSUkVOQ1lfSVNPKCksTSk=&amp;WINDOW=FIRST_POPUP&amp;HEIGHT=45","0&amp;WIDTH=450&amp;START_MAXIMIZED=FALSE&amp;VAR:CALENDAR=US&amp;VAR:SYMBOL=572797&amp;VAR:INDEX=0"}</definedName>
    <definedName name="_412__FDSAUDITLINK__" hidden="1">{"fdsup://Directions/FactSet Auditing Viewer?action=AUDIT_VALUE&amp;DB=129&amp;ID1=572797&amp;VALUEID=01201&amp;SDATE=2010&amp;PERIODTYPE=ANN_STD&amp;window=popup_no_bar&amp;width=385&amp;height=120&amp;START_MAXIMIZED=FALSE&amp;creator=factset&amp;display_string=Audit"}</definedName>
    <definedName name="_413__FDSAUDITLINK__" hidden="1">{"fdsup://Directions/FactSet Auditing Viewer?action=AUDIT_VALUE&amp;DB=129&amp;ID1=572797&amp;VALUEID=04831&amp;SDATE=2010&amp;PERIODTYPE=ANN_STD&amp;window=popup_no_bar&amp;width=385&amp;height=120&amp;START_MAXIMIZED=FALSE&amp;creator=factset&amp;display_string=Audit"}</definedName>
    <definedName name="_414__FDSAUDITLINK__" hidden="1">{"fdsup://Directions/FactSet Auditing Viewer?action=AUDIT_VALUE&amp;DB=129&amp;ID1=572797&amp;VALUEID=01001&amp;SDATE=2008&amp;PERIODTYPE=ANN_STD&amp;window=popup_no_bar&amp;width=385&amp;height=120&amp;START_MAXIMIZED=FALSE&amp;creator=factset&amp;display_string=Audit"}</definedName>
    <definedName name="_415__FDSAUDITLINK__" hidden="1">{"fdsup://directions/FAT Viewer?action=UPDATE&amp;creator=factset&amp;DYN_ARGS=TRUE&amp;DOC_NAME=FAT:FQL_AUDITING_CLIENT_TEMPLATE.FAT&amp;display_string=Audit&amp;VAR:KEY=VCZCPGTWJW&amp;VAR:QUERY=RkZfRUJJVERBX09QRVIoQU5OLDIwMDgsLCwsSUNfQ1VSUkVOQ1lfSVNPKCksTSk=&amp;WINDOW=FIRST_POPUP&amp;H","EIGHT=450&amp;WIDTH=450&amp;START_MAXIMIZED=FALSE&amp;VAR:CALENDAR=US&amp;VAR:SYMBOL=572797&amp;VAR:INDEX=0"}</definedName>
    <definedName name="_416__FDSAUDITLINK__" hidden="1">{"fdsup://Directions/FactSet Auditing Viewer?action=AUDIT_VALUE&amp;DB=129&amp;ID1=572797&amp;VALUEID=01151&amp;SDATE=2008&amp;PERIODTYPE=ANN_STD&amp;window=popup_no_bar&amp;width=385&amp;height=120&amp;START_MAXIMIZED=FALSE&amp;creator=factset&amp;display_string=Audit"}</definedName>
    <definedName name="_417__FDSAUDITLINK__" hidden="1">{"fdsup://directions/FAT Viewer?action=UPDATE&amp;creator=factset&amp;DYN_ARGS=TRUE&amp;DOC_NAME=FAT:FQL_AUDITING_CLIENT_TEMPLATE.FAT&amp;display_string=Audit&amp;VAR:KEY=JGVWVIRERK&amp;VAR:QUERY=RkZfRUJJVF9PUEVSKEFOTiwyMDA4LCwsLElDX0NVUlJFTkNZX0lTTygpLE0p&amp;WINDOW=FIRST_POPUP&amp;HEIGH","T=450&amp;WIDTH=450&amp;START_MAXIMIZED=FALSE&amp;VAR:CALENDAR=US&amp;VAR:SYMBOL=572797&amp;VAR:INDEX=0"}</definedName>
    <definedName name="_418__FDSAUDITLINK__" hidden="1">{"fdsup://Directions/FactSet Auditing Viewer?action=AUDIT_VALUE&amp;DB=129&amp;ID1=572797&amp;VALUEID=01250&amp;SDATE=2008&amp;PERIODTYPE=ANN_STD&amp;window=popup_no_bar&amp;width=385&amp;height=120&amp;START_MAXIMIZED=FALSE&amp;creator=factset&amp;display_string=Audit"}</definedName>
    <definedName name="_419__FDSAUDITLINK__" hidden="1">{"fdsup://directions/FAT Viewer?action=UPDATE&amp;creator=factset&amp;DYN_ARGS=TRUE&amp;DOC_NAME=FAT:FQL_AUDITING_CLIENT_TEMPLATE.FAT&amp;display_string=Audit&amp;VAR:KEY=ZOHSTKJQZA&amp;VAR:QUERY=RkZfRVBTX0RJTChBTk4sMjAwOCwsLCxJQ19DVVJSRU5DWV9JU08oKSk=&amp;WINDOW=FIRST_POPUP&amp;HEIGHT=45","0&amp;WIDTH=450&amp;START_MAXIMIZED=FALSE&amp;VAR:CALENDAR=US&amp;VAR:SYMBOL=572797&amp;VAR:INDEX=0"}</definedName>
    <definedName name="_42__123Graph_BCHART_4" hidden="1">'[4]Inputs and Calc'!$BG$245:$BK$245</definedName>
    <definedName name="_42__FDSAUDITLINK__" hidden="1">{"fdsup://Directions/FactSet Auditing Viewer?action=AUDIT_VALUE&amp;DB=129&amp;ID1=48300770&amp;VALUEID=01001&amp;SDATE=2005&amp;PERIODTYPE=ANN_STD&amp;SCFT=3&amp;window=popup_no_bar&amp;width=385&amp;height=120&amp;START_MAXIMIZED=FALSE&amp;creator=factset&amp;display_string=Audit"}</definedName>
    <definedName name="_420__FDSAUDITLINK__" hidden="1">{"fdsup://directions/FAT Viewer?action=UPDATE&amp;creator=factset&amp;DYN_ARGS=TRUE&amp;DOC_NAME=FAT:FQL_AUDITING_CLIENT_TEMPLATE.FAT&amp;display_string=Audit&amp;VAR:KEY=FKRCLEVYXM&amp;VAR:QUERY=RkZfQ0FQRVgoQU5OLDIwMDgsLCwsSUNfQ1VSUkVOQ1lfSVNPKCksTSk=&amp;WINDOW=FIRST_POPUP&amp;HEIGHT=45","0&amp;WIDTH=450&amp;START_MAXIMIZED=FALSE&amp;VAR:CALENDAR=US&amp;VAR:SYMBOL=572797&amp;VAR:INDEX=0"}</definedName>
    <definedName name="_421__FDSAUDITLINK__" hidden="1">{"fdsup://Directions/FactSet Auditing Viewer?action=AUDIT_VALUE&amp;DB=129&amp;ID1=572797&amp;VALUEID=01201&amp;SDATE=2008&amp;PERIODTYPE=ANN_STD&amp;window=popup_no_bar&amp;width=385&amp;height=120&amp;START_MAXIMIZED=FALSE&amp;creator=factset&amp;display_string=Audit"}</definedName>
    <definedName name="_422__FDSAUDITLINK__" hidden="1">{"fdsup://Directions/FactSet Auditing Viewer?action=AUDIT_VALUE&amp;DB=129&amp;ID1=572797&amp;VALUEID=04831&amp;SDATE=2008&amp;PERIODTYPE=ANN_STD&amp;window=popup_no_bar&amp;width=385&amp;height=120&amp;START_MAXIMIZED=FALSE&amp;creator=factset&amp;display_string=Audit"}</definedName>
    <definedName name="_423__FDSAUDITLINK__" hidden="1">{"fdsup://Directions/FactSet Auditing Viewer?action=AUDIT_VALUE&amp;DB=129&amp;ID1=572797&amp;VALUEID=05194&amp;SDATE=2008&amp;PERIODTYPE=ANNR_STD&amp;window=popup_no_bar&amp;width=385&amp;height=120&amp;START_MAXIMIZED=FALSE&amp;creator=factset&amp;display_string=Audit"}</definedName>
    <definedName name="_424__FDSAUDITLINK__" hidden="1">{"fdsup://directions/FAT Viewer?action=UPDATE&amp;creator=factset&amp;DYN_ARGS=TRUE&amp;DOC_NAME=FAT:FQL_AUDITING_CLIENT_TEMPLATE.FAT&amp;display_string=Audit&amp;VAR:KEY=ZCVOXIVKHW&amp;VAR:QUERY=RkZfQ0FQRVgoQU5OLDIwMDksLCwsSUNfQ1VSUkVOQ1lfSVNPKCksTSk=&amp;WINDOW=FIRST_POPUP&amp;HEIGHT=45","0&amp;WIDTH=450&amp;START_MAXIMIZED=FALSE&amp;VAR:CALENDAR=US&amp;VAR:SYMBOL=572797&amp;VAR:INDEX=0"}</definedName>
    <definedName name="_425__FDSAUDITLINK__" hidden="1">{"fdsup://directions/FAT Viewer?action=UPDATE&amp;creator=factset&amp;DYN_ARGS=TRUE&amp;DOC_NAME=FAT:FQL_AUDITING_CLIENT_TEMPLATE.FAT&amp;display_string=Audit&amp;VAR:KEY=DWBMRUJGDI&amp;VAR:QUERY=RkZfRVBTX0RJTChBTk4sMjAwOSwsLCxJQ19DVVJSRU5DWV9JU08oKSk=&amp;WINDOW=FIRST_POPUP&amp;HEIGHT=45","0&amp;WIDTH=450&amp;START_MAXIMIZED=FALSE&amp;VAR:CALENDAR=US&amp;VAR:SYMBOL=572797&amp;VAR:INDEX=0"}</definedName>
    <definedName name="_426__FDSAUDITLINK__" hidden="1">{"fdsup://directions/FAT Viewer?action=UPDATE&amp;creator=factset&amp;DYN_ARGS=TRUE&amp;DOC_NAME=FAT:FQL_AUDITING_CLIENT_TEMPLATE.FAT&amp;display_string=Audit&amp;VAR:KEY=JALAPUBUZC&amp;VAR:QUERY=RkZfRUJJVF9PUEVSKEFOTiwyMDA5LCwsLElDX0NVUlJFTkNZX0lTTygpLE0p&amp;WINDOW=FIRST_POPUP&amp;HEIGH","T=450&amp;WIDTH=450&amp;START_MAXIMIZED=FALSE&amp;VAR:CALENDAR=US&amp;VAR:SYMBOL=572797&amp;VAR:INDEX=0"}</definedName>
    <definedName name="_427__FDSAUDITLINK__" hidden="1">{"fdsup://directions/FAT Viewer?action=UPDATE&amp;creator=factset&amp;DYN_ARGS=TRUE&amp;DOC_NAME=FAT:FQL_AUDITING_CLIENT_TEMPLATE.FAT&amp;display_string=Audit&amp;VAR:KEY=FUJCTQTAFQ&amp;VAR:QUERY=RkZfRUJJVERBX09QRVIoQU5OLDIwMDksLCwsSUNfQ1VSUkVOQ1lfSVNPKCksTSk=&amp;WINDOW=FIRST_POPUP&amp;H","EIGHT=450&amp;WIDTH=450&amp;START_MAXIMIZED=FALSE&amp;VAR:CALENDAR=US&amp;VAR:SYMBOL=572797&amp;VAR:INDEX=0"}</definedName>
    <definedName name="_428__FDSAUDITLINK__" hidden="1">{"fdsup://Directions/FactSet Auditing Viewer?action=AUDIT_VALUE&amp;DB=129&amp;ID1=09057220&amp;VALUEID=01201&amp;SDATE=2009&amp;PERIODTYPE=ANN_STD&amp;window=popup_no_bar&amp;width=385&amp;height=120&amp;START_MAXIMIZED=FALSE&amp;creator=factset&amp;display_string=Audit"}</definedName>
    <definedName name="_429__FDSAUDITLINK__" hidden="1">{"fdsup://Directions/FactSet Auditing Viewer?action=AUDIT_VALUE&amp;DB=129&amp;ID1=573282&amp;VALUEID=02001&amp;SDATE=201004&amp;PERIODTYPE=QTR_STD&amp;window=popup_no_bar&amp;width=385&amp;height=120&amp;START_MAXIMIZED=FALSE&amp;creator=factset&amp;display_string=Audit"}</definedName>
    <definedName name="_43__123Graph_BCHART_5" hidden="1">'[4]Inputs and Calc'!$F$317:$I$317</definedName>
    <definedName name="_43__FDSAUDITLINK__" hidden="1">{"fdsup://Directions/FactSet Auditing Viewer?action=AUDIT_VALUE&amp;DB=129&amp;ID1=623864&amp;VALUEID=01001&amp;SDATE=2008&amp;PERIODTYPE=ANN_STD&amp;SCFT=3&amp;window=popup_no_bar&amp;width=385&amp;height=120&amp;START_MAXIMIZED=FALSE&amp;creator=factset&amp;display_string=Audit"}</definedName>
    <definedName name="_430__FDSAUDITLINK__" hidden="1">{"fdsup://Directions/FactSet Auditing Viewer?action=AUDIT_VALUE&amp;DB=129&amp;ID1=573282&amp;VALUEID=01001&amp;SDATE=2010&amp;PERIODTYPE=ANN_STD&amp;window=popup_no_bar&amp;width=385&amp;height=120&amp;START_MAXIMIZED=FALSE&amp;creator=factset&amp;display_string=Audit"}</definedName>
    <definedName name="_431__FDSAUDITLINK__" hidden="1">{"fdsup://directions/FAT Viewer?action=UPDATE&amp;creator=factset&amp;DYN_ARGS=TRUE&amp;DOC_NAME=FAT:FQL_AUDITING_CLIENT_TEMPLATE.FAT&amp;display_string=Audit&amp;VAR:KEY=PCZWDEPONM&amp;VAR:QUERY=RkZfRUJJVERBX09QRVIoQU5OLDIwMTAsLCwsSUNfQ1VSUkVOQ1lfSVNPKCksTSk=&amp;WINDOW=FIRST_POPUP&amp;H","EIGHT=450&amp;WIDTH=450&amp;START_MAXIMIZED=FALSE&amp;VAR:CALENDAR=US&amp;VAR:SYMBOL=573282&amp;VAR:INDEX=0"}</definedName>
    <definedName name="_432__FDSAUDITLINK__" hidden="1">{"fdsup://directions/FAT Viewer?action=UPDATE&amp;creator=factset&amp;DYN_ARGS=TRUE&amp;DOC_NAME=FAT:FQL_AUDITING_CLIENT_TEMPLATE.FAT&amp;display_string=Audit&amp;VAR:KEY=BKBOTGDMXU&amp;VAR:QUERY=RkZfRUJJVF9PUEVSKEFOTiwyMDA4LCwsLElDX0NVUlJFTkNZX0lTTygpLE0p&amp;WINDOW=FIRST_POPUP&amp;HEIGH","T=450&amp;WIDTH=450&amp;START_MAXIMIZED=FALSE&amp;VAR:CALENDAR=US&amp;VAR:SYMBOL=09057220&amp;VAR:INDEX=0"}</definedName>
    <definedName name="_433__FDSAUDITLINK__" hidden="1">{"fdsup://Directions/FactSet Auditing Viewer?action=AUDIT_VALUE&amp;DB=129&amp;ID1=573282&amp;VALUEID=01151&amp;SDATE=2010&amp;PERIODTYPE=ANN_STD&amp;window=popup_no_bar&amp;width=385&amp;height=120&amp;START_MAXIMIZED=FALSE&amp;creator=factset&amp;display_string=Audit"}</definedName>
    <definedName name="_434__FDSAUDITLINK__" hidden="1">{"fdsup://Directions/FactSet Auditing Viewer?action=AUDIT_VALUE&amp;DB=129&amp;ID1=573282&amp;VALUEID=01250&amp;SDATE=2010&amp;PERIODTYPE=ANN_STD&amp;window=popup_no_bar&amp;width=385&amp;height=120&amp;START_MAXIMIZED=FALSE&amp;creator=factset&amp;display_string=Audit"}</definedName>
    <definedName name="_435__FDSAUDITLINK__" hidden="1">{"fdsup://Directions/FactSet Auditing Viewer?action=AUDIT_VALUE&amp;DB=129&amp;ID1=573282&amp;VALUEID=01250&amp;SDATE=2010&amp;PERIODTYPE=ANN_STD&amp;window=popup_no_bar&amp;width=385&amp;height=120&amp;START_MAXIMIZED=FALSE&amp;creator=factset&amp;display_string=Audit"}</definedName>
    <definedName name="_436__FDSAUDITLINK__" hidden="1">{"fdsup://directions/FAT Viewer?action=UPDATE&amp;creator=factset&amp;DYN_ARGS=TRUE&amp;DOC_NAME=FAT:FQL_AUDITING_CLIENT_TEMPLATE.FAT&amp;display_string=Audit&amp;VAR:KEY=VGZOVODYLK&amp;VAR:QUERY=RkZfRVBTX0RJTChBTk4sMjAxMCwsLCxJQ19DVVJSRU5DWV9JU08oKSk=&amp;WINDOW=FIRST_POPUP&amp;HEIGHT=45","0&amp;WIDTH=450&amp;START_MAXIMIZED=FALSE&amp;VAR:CALENDAR=US&amp;VAR:SYMBOL=573282&amp;VAR:INDEX=0"}</definedName>
    <definedName name="_437__FDSAUDITLINK__" hidden="1">{"fdsup://directions/FAT Viewer?action=UPDATE&amp;creator=factset&amp;DYN_ARGS=TRUE&amp;DOC_NAME=FAT:FQL_AUDITING_CLIENT_TEMPLATE.FAT&amp;display_string=Audit&amp;VAR:KEY=DOPCRYLOVS&amp;VAR:QUERY=RkZfQ0FQRVgoQU5OLDIwMTAsLCwsSUNfQ1VSUkVOQ1lfSVNPKCksTSk=&amp;WINDOW=FIRST_POPUP&amp;HEIGHT=45","0&amp;WIDTH=450&amp;START_MAXIMIZED=FALSE&amp;VAR:CALENDAR=US&amp;VAR:SYMBOL=573282&amp;VAR:INDEX=0"}</definedName>
    <definedName name="_438__FDSAUDITLINK__" hidden="1">{"fdsup://Directions/FactSet Auditing Viewer?action=AUDIT_VALUE&amp;DB=129&amp;ID1=573282&amp;VALUEID=01001&amp;SDATE=2008&amp;PERIODTYPE=ANN_STD&amp;window=popup_no_bar&amp;width=385&amp;height=120&amp;START_MAXIMIZED=FALSE&amp;creator=factset&amp;display_string=Audit"}</definedName>
    <definedName name="_439__FDSAUDITLINK__" hidden="1">{"fdsup://directions/FAT Viewer?action=UPDATE&amp;creator=factset&amp;DYN_ARGS=TRUE&amp;DOC_NAME=FAT:FQL_AUDITING_CLIENT_TEMPLATE.FAT&amp;display_string=Audit&amp;VAR:KEY=LCPEJIDQVO&amp;VAR:QUERY=RkZfRUJJVERBX09QRVIoQU5OLDIwMDgsLCwsSUNfQ1VSUkVOQ1lfSVNPKCksTSk=&amp;WINDOW=FIRST_POPUP&amp;H","EIGHT=450&amp;WIDTH=450&amp;START_MAXIMIZED=FALSE&amp;VAR:CALENDAR=US&amp;VAR:SYMBOL=573282&amp;VAR:INDEX=0"}</definedName>
    <definedName name="_44__FDSAUDITLINK__" hidden="1">{"fdsup://Directions/FactSet Auditing Viewer?action=AUDIT_VALUE&amp;DB=129&amp;ID1=623864&amp;VALUEID=01001&amp;SDATE=2007&amp;PERIODTYPE=ANN_STD&amp;SCFT=3&amp;window=popup_no_bar&amp;width=385&amp;height=120&amp;START_MAXIMIZED=FALSE&amp;creator=factset&amp;display_string=Audit"}</definedName>
    <definedName name="_440__FDSAUDITLINK__" hidden="1">{"fdsup://directions/FAT Viewer?action=UPDATE&amp;creator=factset&amp;DYN_ARGS=TRUE&amp;DOC_NAME=FAT:FQL_AUDITING_CLIENT_TEMPLATE.FAT&amp;display_string=Audit&amp;VAR:KEY=FOPUROXKRA&amp;VAR:QUERY=RkZfTkVUX0lOQyhMVE1TLDAsLCwsSUNfQ1VSUkVOQ1lfSVNPKCkp&amp;WINDOW=FIRST_POPUP&amp;HEIGHT=450&amp;WI","DTH=450&amp;START_MAXIMIZED=FALSE&amp;VAR:CALENDAR=US&amp;VAR:SYMBOL=09057220&amp;VAR:INDEX=0"}</definedName>
    <definedName name="_441__FDSAUDITLINK__" hidden="1">{"fdsup://Directions/FactSet Auditing Viewer?action=AUDIT_VALUE&amp;DB=129&amp;ID1=573282&amp;VALUEID=01151&amp;SDATE=2008&amp;PERIODTYPE=ANN_STD&amp;window=popup_no_bar&amp;width=385&amp;height=120&amp;START_MAXIMIZED=FALSE&amp;creator=factset&amp;display_string=Audit"}</definedName>
    <definedName name="_442__FDSAUDITLINK__" hidden="1">{"fdsup://directions/FAT Viewer?action=UPDATE&amp;creator=factset&amp;DYN_ARGS=TRUE&amp;DOC_NAME=FAT:FQL_AUDITING_CLIENT_TEMPLATE.FAT&amp;display_string=Audit&amp;VAR:KEY=ZUBCTCXMFE&amp;VAR:QUERY=RkZfRUJJVF9PUEVSKEFOTiwyMDA4LCwsLElDX0NVUlJFTkNZX0lTTygpLE0p&amp;WINDOW=FIRST_POPUP&amp;HEIGH","T=450&amp;WIDTH=450&amp;START_MAXIMIZED=FALSE&amp;VAR:CALENDAR=US&amp;VAR:SYMBOL=573282&amp;VAR:INDEX=0"}</definedName>
    <definedName name="_443__FDSAUDITLINK__" hidden="1">{"fdsup://Directions/FactSet Auditing Viewer?action=AUDIT_VALUE&amp;DB=129&amp;ID1=573282&amp;VALUEID=01250&amp;SDATE=2008&amp;PERIODTYPE=ANN_STD&amp;window=popup_no_bar&amp;width=385&amp;height=120&amp;START_MAXIMIZED=FALSE&amp;creator=factset&amp;display_string=Audit"}</definedName>
    <definedName name="_444__FDSAUDITLINK__" hidden="1">{"fdsup://directions/FAT Viewer?action=UPDATE&amp;creator=factset&amp;DYN_ARGS=TRUE&amp;DOC_NAME=FAT:FQL_AUDITING_CLIENT_TEMPLATE.FAT&amp;display_string=Audit&amp;VAR:KEY=VUTMNOVKFM&amp;VAR:QUERY=RkZfRUJJVF9PUEVSKEFOTiwyMDA5LCwsLElDX0NVUlJFTkNZX0lTTygpLE0p&amp;WINDOW=FIRST_POPUP&amp;HEIGH","T=450&amp;WIDTH=450&amp;START_MAXIMIZED=FALSE&amp;VAR:CALENDAR=US&amp;VAR:SYMBOL=09057220&amp;VAR:INDEX=0"}</definedName>
    <definedName name="_445__FDSAUDITLINK__" hidden="1">{"fdsup://directions/FAT Viewer?action=UPDATE&amp;creator=factset&amp;DYN_ARGS=TRUE&amp;DOC_NAME=FAT:FQL_AUDITING_CLIENT_TEMPLATE.FAT&amp;display_string=Audit&amp;VAR:KEY=XMTCJQZGLS&amp;VAR:QUERY=RkZfQ0FQRVgoQU5OLDIwMDgsLCwsSUNfQ1VSUkVOQ1lfSVNPKCksTSk=&amp;WINDOW=FIRST_POPUP&amp;HEIGHT=45","0&amp;WIDTH=450&amp;START_MAXIMIZED=FALSE&amp;VAR:CALENDAR=US&amp;VAR:SYMBOL=573282&amp;VAR:INDEX=0"}</definedName>
    <definedName name="_446__FDSAUDITLINK__" hidden="1">{"fdsup://directions/FAT Viewer?action=UPDATE&amp;creator=factset&amp;DYN_ARGS=TRUE&amp;DOC_NAME=FAT:FQL_AUDITING_CLIENT_TEMPLATE.FAT&amp;display_string=Audit&amp;VAR:KEY=HSPGVMPQVU&amp;VAR:QUERY=RkZfRUJJVERBX09QRVIoQU5OLDIwMDksLCwsSUNfQ1VSUkVOQ1lfSVNPKCksTSk=&amp;WINDOW=FIRST_POPUP&amp;H","EIGHT=450&amp;WIDTH=450&amp;START_MAXIMIZED=FALSE&amp;VAR:CALENDAR=US&amp;VAR:SYMBOL=09057220&amp;VAR:INDEX=0"}</definedName>
    <definedName name="_447__FDSAUDITLINK__" hidden="1">{"fdsup://Directions/FactSet Auditing Viewer?action=AUDIT_VALUE&amp;DB=129&amp;ID1=573282&amp;VALUEID=01201&amp;SDATE=2008&amp;PERIODTYPE=ANN_STD&amp;window=popup_no_bar&amp;width=385&amp;height=120&amp;START_MAXIMIZED=FALSE&amp;creator=factset&amp;display_string=Audit"}</definedName>
    <definedName name="_448__FDSAUDITLINK__" hidden="1">{"fdsup://Directions/FactSet Auditing Viewer?action=AUDIT_VALUE&amp;DB=129&amp;ID1=573282&amp;VALUEID=04831&amp;SDATE=2008&amp;PERIODTYPE=ANN_STD&amp;window=popup_no_bar&amp;width=385&amp;height=120&amp;START_MAXIMIZED=FALSE&amp;creator=factset&amp;display_string=Audit"}</definedName>
    <definedName name="_449__FDSAUDITLINK__" hidden="1">{"fdsup://Directions/FactSet Auditing Viewer?action=AUDIT_VALUE&amp;DB=129&amp;ID1=573282&amp;VALUEID=05194&amp;SDATE=2010&amp;PERIODTYPE=ANNR_STD&amp;window=popup_no_bar&amp;width=385&amp;height=120&amp;START_MAXIMIZED=FALSE&amp;creator=factset&amp;display_string=Audit"}</definedName>
    <definedName name="_45__123Graph_BCHART_7" hidden="1">'[4]Inputs and Calc'!$BG$243:$BK$243</definedName>
    <definedName name="_45__FDSAUDITLINK__" hidden="1">{"fdsup://Directions/FactSet Auditing Viewer?action=AUDIT_VALUE&amp;DB=129&amp;ID1=65542W10&amp;VALUEID=01001&amp;SDATE=2008&amp;PERIODTYPE=ANN_STD&amp;SCFT=3&amp;window=popup_no_bar&amp;width=385&amp;height=120&amp;START_MAXIMIZED=FALSE&amp;creator=factset&amp;display_string=Audit"}</definedName>
    <definedName name="_450__FDSAUDITLINK__" hidden="1">{"fdsup://Directions/FactSet Auditing Viewer?action=AUDIT_VALUE&amp;DB=129&amp;ID1=573282&amp;VALUEID=05194&amp;SDATE=2008&amp;PERIODTYPE=ANNR_STD&amp;window=popup_no_bar&amp;width=385&amp;height=120&amp;START_MAXIMIZED=FALSE&amp;creator=factset&amp;display_string=Audit"}</definedName>
    <definedName name="_451__FDSAUDITLINK__" hidden="1">{"fdsup://Directions/FactSet Auditing Viewer?action=AUDIT_VALUE&amp;DB=129&amp;ID1=573282&amp;VALUEID=04831&amp;SDATE=2009&amp;PERIODTYPE=ANN_STD&amp;window=popup_no_bar&amp;width=385&amp;height=120&amp;START_MAXIMIZED=FALSE&amp;creator=factset&amp;display_string=Audit"}</definedName>
    <definedName name="_452__FDSAUDITLINK__" hidden="1">{"fdsup://directions/FAT Viewer?action=UPDATE&amp;creator=factset&amp;DYN_ARGS=TRUE&amp;DOC_NAME=FAT:FQL_AUDITING_CLIENT_TEMPLATE.FAT&amp;display_string=Audit&amp;VAR:KEY=LMBUXEBOXC&amp;VAR:QUERY=RkZfRUJJVERBX09QRVIoQU5OLDIwMDgsLCwsSUNfQ1VSUkVOQ1lfSVNPKCksTSk=&amp;WINDOW=FIRST_POPUP&amp;H","EIGHT=450&amp;WIDTH=450&amp;START_MAXIMIZED=FALSE&amp;VAR:CALENDAR=US&amp;VAR:SYMBOL=711038&amp;VAR:INDEX=0"}</definedName>
    <definedName name="_453__FDSAUDITLINK__" hidden="1">{"fdsup://Directions/FactSet Auditing Viewer?action=AUDIT_VALUE&amp;DB=129&amp;ID1=573282&amp;VALUEID=01201&amp;SDATE=2009&amp;PERIODTYPE=ANN_STD&amp;window=popup_no_bar&amp;width=385&amp;height=120&amp;START_MAXIMIZED=FALSE&amp;creator=factset&amp;display_string=Audit"}</definedName>
    <definedName name="_454__FDSAUDITLINK__" hidden="1">{"fdsup://directions/FAT Viewer?action=UPDATE&amp;creator=factset&amp;DYN_ARGS=TRUE&amp;DOC_NAME=FAT:FQL_AUDITING_CLIENT_TEMPLATE.FAT&amp;display_string=Audit&amp;VAR:KEY=VSXAJCBMTU&amp;VAR:QUERY=RkZfRUJJVF9PUEVSKEFOTiwyMDA4LCwsLElDX0NVUlJFTkNZX0lTTygpLE0p&amp;WINDOW=FIRST_POPUP&amp;HEIGH","T=450&amp;WIDTH=450&amp;START_MAXIMIZED=FALSE&amp;VAR:CALENDAR=US&amp;VAR:SYMBOL=711038&amp;VAR:INDEX=0"}</definedName>
    <definedName name="_455__FDSAUDITLINK__" hidden="1">{"fdsup://directions/FAT Viewer?action=UPDATE&amp;creator=factset&amp;DYN_ARGS=TRUE&amp;DOC_NAME=FAT:FQL_AUDITING_CLIENT_TEMPLATE.FAT&amp;display_string=Audit&amp;VAR:KEY=DWLUDSVEDE&amp;VAR:QUERY=RkZfQ0FQRVgoQU5OLDIwMDksLCwsSUNfQ1VSUkVOQ1lfSVNPKCksTSk=&amp;WINDOW=FIRST_POPUP&amp;HEIGHT=45","0&amp;WIDTH=450&amp;START_MAXIMIZED=FALSE&amp;VAR:CALENDAR=US&amp;VAR:SYMBOL=573282&amp;VAR:INDEX=0"}</definedName>
    <definedName name="_456__FDSAUDITLINK__" hidden="1">{"fdsup://Directions/FactSet Auditing Viewer?action=AUDIT_VALUE&amp;DB=129&amp;ID1=573282&amp;VALUEID=05194&amp;SDATE=2009&amp;PERIODTYPE=ANNR_STD&amp;window=popup_no_bar&amp;width=385&amp;height=120&amp;START_MAXIMIZED=FALSE&amp;creator=factset&amp;display_string=Audit"}</definedName>
    <definedName name="_457__FDSAUDITLINK__" hidden="1">{"fdsup://directions/FAT Viewer?action=UPDATE&amp;creator=factset&amp;DYN_ARGS=TRUE&amp;DOC_NAME=FAT:FQL_AUDITING_CLIENT_TEMPLATE.FAT&amp;display_string=Audit&amp;VAR:KEY=DQFILSXIBC&amp;VAR:QUERY=RkZfRVBTX0RJTChBTk4sMjAwOSwsLCxJQ19DVVJSRU5DWV9JU08oKSk=&amp;WINDOW=FIRST_POPUP&amp;HEIGHT=45","0&amp;WIDTH=450&amp;START_MAXIMIZED=FALSE&amp;VAR:CALENDAR=US&amp;VAR:SYMBOL=573282&amp;VAR:INDEX=0"}</definedName>
    <definedName name="_458__FDSAUDITLINK__" hidden="1">{"fdsup://Directions/FactSet Auditing Viewer?action=AUDIT_VALUE&amp;DB=129&amp;ID1=573282&amp;VALUEID=01250&amp;SDATE=2009&amp;PERIODTYPE=ANN_STD&amp;window=popup_no_bar&amp;width=385&amp;height=120&amp;START_MAXIMIZED=FALSE&amp;creator=factset&amp;display_string=Audit"}</definedName>
    <definedName name="_459__FDSAUDITLINK__" hidden="1">{"fdsup://directions/FAT Viewer?action=UPDATE&amp;creator=factset&amp;DYN_ARGS=TRUE&amp;DOC_NAME=FAT:FQL_AUDITING_CLIENT_TEMPLATE.FAT&amp;display_string=Audit&amp;VAR:KEY=NCZCVCLAHE&amp;VAR:QUERY=RkZfRUJJVF9PUEVSKEFOTiwyMDA5LCwsLElDX0NVUlJFTkNZX0lTTygpLE0p&amp;WINDOW=FIRST_POPUP&amp;HEIGH","T=450&amp;WIDTH=450&amp;START_MAXIMIZED=FALSE&amp;VAR:CALENDAR=US&amp;VAR:SYMBOL=573282&amp;VAR:INDEX=0"}</definedName>
    <definedName name="_46__123Graph_BCHART_8" hidden="1">'[4]Inputs and Calc'!$BG$246:$BK$246</definedName>
    <definedName name="_46__FDSAUDITLINK__" hidden="1">{"fdsup://directions/FAT Viewer?action=UPDATE&amp;creator=factset&amp;DYN_ARGS=TRUE&amp;DOC_NAME=FAT:FQL_AUDITING_CLIENT_TEMPLATE.FAT&amp;display_string=Audit&amp;VAR:KEY=ZWHQPOHMVA&amp;VAR:QUERY=RkZfTkVUX0lOQ19CQVNJQ19CRUZUX1hPUkQoTFRNLDAp&amp;WINDOW=FIRST_POPUP&amp;HEIGHT=450&amp;WIDTH=450&amp;","START_MAXIMIZED=FALSE&amp;VAR:CALENDAR=FIVEDAY&amp;VAR:SYMBOL=48300770&amp;VAR:INDEX=0"}</definedName>
    <definedName name="_460__FDSAUDITLINK__" hidden="1">{"fdsup://Directions/FactSet Auditing Viewer?action=AUDIT_VALUE&amp;DB=129&amp;ID1=711038&amp;VALUEID=05194&amp;SDATE=2009&amp;PERIODTYPE=ANNR_STD&amp;window=popup_no_bar&amp;width=385&amp;height=120&amp;START_MAXIMIZED=FALSE&amp;creator=factset&amp;display_string=Audit"}</definedName>
    <definedName name="_461__FDSAUDITLINK__" hidden="1">{"fdsup://directions/FAT Viewer?action=UPDATE&amp;creator=factset&amp;DYN_ARGS=TRUE&amp;DOC_NAME=FAT:FQL_AUDITING_CLIENT_TEMPLATE.FAT&amp;display_string=Audit&amp;VAR:KEY=SDCNCBSJOP&amp;VAR:QUERY=RkZfQ0FQRVgoQU5OLDIwMDksLCwsSUNfQ1VSUkVOQ1lfSVNPKCksTSk=&amp;WINDOW=FIRST_POPUP&amp;HEIGHT=45","0&amp;WIDTH=450&amp;START_MAXIMIZED=FALSE&amp;VAR:CALENDAR=US&amp;VAR:SYMBOL=09057220&amp;VAR:INDEX=0"}</definedName>
    <definedName name="_462__FDSAUDITLINK__" hidden="1">{"fdsup://directions/FAT Viewer?action=UPDATE&amp;creator=factset&amp;DYN_ARGS=TRUE&amp;DOC_NAME=FAT:FQL_AUDITING_CLIENT_TEMPLATE.FAT&amp;display_string=Audit&amp;VAR:KEY=LITCLUNOTS&amp;VAR:QUERY=RkZfRUJJVERBX09QRVIoQU5OLDIwMDksLCwsSUNfQ1VSUkVOQ1lfSVNPKCksTSk=&amp;WINDOW=FIRST_POPUP&amp;H","EIGHT=450&amp;WIDTH=450&amp;START_MAXIMIZED=FALSE&amp;VAR:CALENDAR=US&amp;VAR:SYMBOL=573282&amp;VAR:INDEX=0"}</definedName>
    <definedName name="_463__FDSAUDITLINK__" hidden="1">{"fdsup://Directions/FactSet Auditing Viewer?action=AUDIT_VALUE&amp;DB=129&amp;ID1=573282&amp;VALUEID=01001&amp;SDATE=2009&amp;PERIODTYPE=ANN_STD&amp;window=popup_no_bar&amp;width=385&amp;height=120&amp;START_MAXIMIZED=FALSE&amp;creator=factset&amp;display_string=Audit"}</definedName>
    <definedName name="_464__FDSAUDITLINK__" hidden="1">{"fdsup://Directions/FactSet Auditing Viewer?action=AUDIT_VALUE&amp;DB=129&amp;ID1=711038&amp;VALUEID=05194&amp;SDATE=2008&amp;PERIODTYPE=ANNR_STD&amp;window=popup_no_bar&amp;width=385&amp;height=120&amp;START_MAXIMIZED=FALSE&amp;creator=factset&amp;display_string=Audit"}</definedName>
    <definedName name="_465__FDSAUDITLINK__" hidden="1">{"fdsup://directions/FAT Viewer?action=UPDATE&amp;creator=factset&amp;DYN_ARGS=TRUE&amp;DOC_NAME=FAT:FQL_AUDITING_CLIENT_TEMPLATE.FAT&amp;display_string=Audit&amp;VAR:KEY=VUZWTWFIDY&amp;VAR:QUERY=RkZfSU5UX0VYUF9ORVQoTFRNUywwLCwsLElDX0NVUlJFTkNZX0lTTygpKQ==&amp;WINDOW=FIRST_POPUP&amp;HEIGH","T=450&amp;WIDTH=450&amp;START_MAXIMIZED=FALSE&amp;VAR:CALENDAR=US&amp;VAR:SYMBOL=573282&amp;VAR:INDEX=0"}</definedName>
    <definedName name="_466__FDSAUDITLINK__" hidden="1">{"fdsup://directions/FAT Viewer?action=UPDATE&amp;creator=factset&amp;DYN_ARGS=TRUE&amp;DOC_NAME=FAT:FQL_AUDITING_CLIENT_TEMPLATE.FAT&amp;display_string=Audit&amp;VAR:KEY=LGFSFCRQRO&amp;VAR:QUERY=RkZfSU5UX0VYUF9ORVQoTFRNUywwLCwsLElDX0NVUlJFTkNZX0lTTygpKQ==&amp;WINDOW=FIRST_POPUP&amp;HEIGH","T=450&amp;WIDTH=450&amp;START_MAXIMIZED=FALSE&amp;VAR:CALENDAR=US&amp;VAR:SYMBOL=711038&amp;VAR:INDEX=0"}</definedName>
    <definedName name="_467__FDSAUDITLINK__" hidden="1">{"fdsup://directions/FAT Viewer?action=UPDATE&amp;creator=factset&amp;DYN_ARGS=TRUE&amp;DOC_NAME=FAT:FQL_AUDITING_CLIENT_TEMPLATE.FAT&amp;display_string=Audit&amp;VAR:KEY=PUZWZIXEFW&amp;VAR:QUERY=RkZfTkVUX0lOQyhMVE1TLDAsLCwsSUNfQ1VSUkVOQ1lfSVNPKCkp&amp;WINDOW=FIRST_POPUP&amp;HEIGHT=450&amp;WI","DTH=450&amp;START_MAXIMIZED=FALSE&amp;VAR:CALENDAR=US&amp;VAR:SYMBOL=573282&amp;VAR:INDEX=0"}</definedName>
    <definedName name="_468__FDSAUDITLINK__" hidden="1">{"fdsup://directions/FAT Viewer?action=UPDATE&amp;creator=factset&amp;DYN_ARGS=TRUE&amp;DOC_NAME=FAT:FQL_AUDITING_CLIENT_TEMPLATE.FAT&amp;display_string=Audit&amp;VAR:KEY=VOLSTMTKNK&amp;VAR:QUERY=RkZfRUJJVF9PUEVSKExUTVNfU0VNSSwwLCwsLElDX0NVUlJFTkNZX0lTTygpKQ==&amp;WINDOW=FIRST_POPUP&amp;H","EIGHT=450&amp;WIDTH=450&amp;START_MAXIMIZED=FALSE&amp;VAR:CALENDAR=US&amp;VAR:SYMBOL=711038&amp;VAR:INDEX=0"}</definedName>
    <definedName name="_469__FDSAUDITLINK__" hidden="1">{"fdsup://directions/FAT Viewer?action=UPDATE&amp;creator=factset&amp;DYN_ARGS=TRUE&amp;DOC_NAME=FAT:FQL_AUDITING_CLIENT_TEMPLATE.FAT&amp;display_string=Audit&amp;VAR:KEY=VGVGHMXWZE&amp;VAR:QUERY=RkZfRUJJVF9PUEVSKExUTVMsMCwsLCxJQ19DVVJSRU5DWV9JU08oKSk=&amp;WINDOW=FIRST_POPUP&amp;HEIGHT=45","0&amp;WIDTH=450&amp;START_MAXIMIZED=FALSE&amp;VAR:CALENDAR=US&amp;VAR:SYMBOL=573282&amp;VAR:INDEX=0"}</definedName>
    <definedName name="_47__123Graph_CCHART_10" hidden="1">'[4]Inputs and Calc'!$BG$253:$BK$253</definedName>
    <definedName name="_47__FDSAUDITLINK__" hidden="1">{"fdsup://directions/FAT Viewer?action=UPDATE&amp;creator=factset&amp;DYN_ARGS=TRUE&amp;DOC_NAME=FAT:FQL_AUDITING_CLIENT_TEMPLATE.FAT&amp;display_string=Audit&amp;VAR:KEY=VYBARGNWVO&amp;VAR:QUERY=RkZfRUJJVChBTk4sLTFBWSk=&amp;WINDOW=FIRST_POPUP&amp;HEIGHT=450&amp;WIDTH=450&amp;START_MAXIMIZED=FALS","E&amp;VAR:CALENDAR=FIVEDAY&amp;VAR:SYMBOL=623864&amp;VAR:INDEX=0"}</definedName>
    <definedName name="_470__FDSAUDITLINK__" hidden="1">{"fdsup://Directions/FactSet Auditing Viewer?action=AUDIT_VALUE&amp;DB=129&amp;ID1=711038&amp;VALUEID=01250&amp;SDATE=2009&amp;PERIODTYPE=ANN_STD&amp;window=popup_no_bar&amp;width=385&amp;height=120&amp;START_MAXIMIZED=FALSE&amp;creator=factset&amp;display_string=Audit"}</definedName>
    <definedName name="_471__FDSAUDITLINK__" hidden="1">{"fdsup://directions/FAT Viewer?action=UPDATE&amp;creator=factset&amp;DYN_ARGS=TRUE&amp;DOC_NAME=FAT:FQL_AUDITING_CLIENT_TEMPLATE.FAT&amp;display_string=Audit&amp;VAR:KEY=RARYBQFIJE&amp;VAR:QUERY=RkZfRUJJVERBX09QRVIoTFRNUywwLCwsLElDX0NVUlJFTkNZX0lTTygpKQ==&amp;WINDOW=FIRST_POPUP&amp;HEIGH","T=450&amp;WIDTH=450&amp;START_MAXIMIZED=FALSE&amp;VAR:CALENDAR=US&amp;VAR:SYMBOL=573282&amp;VAR:INDEX=0"}</definedName>
    <definedName name="_472__FDSAUDITLINK__" hidden="1">{"fdsup://Directions/FactSet Auditing Viewer?action=AUDIT_VALUE&amp;DB=129&amp;ID1=711038&amp;VALUEID=01151&amp;SDATE=2009&amp;PERIODTYPE=ANN_STD&amp;window=popup_no_bar&amp;width=385&amp;height=120&amp;START_MAXIMIZED=FALSE&amp;creator=factset&amp;display_string=Audit"}</definedName>
    <definedName name="_473__FDSAUDITLINK__" hidden="1">{"fdsup://Directions/FactSet Auditing Viewer?action=AUDIT_VALUE&amp;DB=129&amp;ID1=573282&amp;VALUEID=01001&amp;SDATE=2010&amp;PERIODTYPE=ANN_STD&amp;window=popup_no_bar&amp;width=385&amp;height=120&amp;START_MAXIMIZED=FALSE&amp;creator=factset&amp;display_string=Audit"}</definedName>
    <definedName name="_474__FDSAUDITLINK__" hidden="1">{"fdsup://directions/FAT Viewer?action=UPDATE&amp;creator=factset&amp;DYN_ARGS=TRUE&amp;DOC_NAME=FAT:FQL_AUDITING_CLIENT_TEMPLATE.FAT&amp;display_string=Audit&amp;VAR:KEY=PCZWDEPONM&amp;VAR:QUERY=RkZfRUJJVERBX09QRVIoQU5OLDIwMTAsLCwsSUNfQ1VSUkVOQ1lfSVNPKCksTSk=&amp;WINDOW=FIRST_POPUP&amp;H","EIGHT=450&amp;WIDTH=450&amp;START_MAXIMIZED=FALSE&amp;VAR:CALENDAR=US&amp;VAR:SYMBOL=573282&amp;VAR:INDEX=0"}</definedName>
    <definedName name="_475__FDSAUDITLINK__" hidden="1">{"fdsup://directions/FAT Viewer?action=UPDATE&amp;creator=factset&amp;DYN_ARGS=TRUE&amp;DOC_NAME=FAT:FQL_AUDITING_CLIENT_TEMPLATE.FAT&amp;display_string=Audit&amp;VAR:KEY=ZUBCTCXMFE&amp;VAR:QUERY=RkZfRUJJVF9PUEVSKEFOTiwyMDA4LCwsLElDX0NVUlJFTkNZX0lTTygpLE0p&amp;WINDOW=FIRST_POPUP&amp;HEIGH","T=450&amp;WIDTH=450&amp;START_MAXIMIZED=FALSE&amp;VAR:CALENDAR=US&amp;VAR:SYMBOL=573282&amp;VAR:INDEX=0"}</definedName>
    <definedName name="_476__FDSAUDITLINK__" hidden="1">{"fdsup://Directions/FactSet Auditing Viewer?action=AUDIT_VALUE&amp;DB=129&amp;ID1=573282&amp;VALUEID=01250&amp;SDATE=2008&amp;PERIODTYPE=ANN_STD&amp;window=popup_no_bar&amp;width=385&amp;height=120&amp;START_MAXIMIZED=FALSE&amp;creator=factset&amp;display_string=Audit"}</definedName>
    <definedName name="_477__FDSAUDITLINK__" hidden="1">{"fdsup://directions/FAT Viewer?action=UPDATE&amp;creator=factset&amp;DYN_ARGS=TRUE&amp;DOC_NAME=FAT:FQL_AUDITING_CLIENT_TEMPLATE.FAT&amp;display_string=Audit&amp;VAR:KEY=HMHATSTUNI&amp;VAR:QUERY=RkZfRUJJVERBX09QRVIoQU5OLDIwMTAsLCwsSUNfQ1VSUkVOQ1lfSVNPKCksTSk=&amp;WINDOW=FIRST_POPUP&amp;H","EIGHT=450&amp;WIDTH=450&amp;START_MAXIMIZED=FALSE&amp;VAR:CALENDAR=US&amp;VAR:SYMBOL=B01MJR&amp;VAR:INDEX=0"}</definedName>
    <definedName name="_478__FDSAUDITLINK__" hidden="1">{"fdsup://directions/FAT Viewer?action=UPDATE&amp;creator=factset&amp;DYN_ARGS=TRUE&amp;DOC_NAME=FAT:FQL_AUDITING_CLIENT_TEMPLATE.FAT&amp;display_string=Audit&amp;VAR:KEY=XMTCJQZGLS&amp;VAR:QUERY=RkZfQ0FQRVgoQU5OLDIwMDgsLCwsSUNfQ1VSUkVOQ1lfSVNPKCksTSk=&amp;WINDOW=FIRST_POPUP&amp;HEIGHT=45","0&amp;WIDTH=450&amp;START_MAXIMIZED=FALSE&amp;VAR:CALENDAR=US&amp;VAR:SYMBOL=573282&amp;VAR:INDEX=0"}</definedName>
    <definedName name="_479__FDSAUDITLINK__" hidden="1">{"fdsup://directions/FAT Viewer?action=UPDATE&amp;creator=factset&amp;DYN_ARGS=TRUE&amp;DOC_NAME=FAT:FQL_AUDITING_CLIENT_TEMPLATE.FAT&amp;display_string=Audit&amp;VAR:KEY=NWXGVSLGPO&amp;VAR:QUERY=RkZfRUJJVERBX09QRVIoQU5OLDIwMDgsLCwsSUNfQ1VSUkVOQ1lfSVNPKCksTSk=&amp;WINDOW=FIRST_POPUP&amp;H","EIGHT=450&amp;WIDTH=450&amp;START_MAXIMIZED=FALSE&amp;VAR:CALENDAR=US&amp;VAR:SYMBOL=B01MJR&amp;VAR:INDEX=0"}</definedName>
    <definedName name="_48__FDSAUDITLINK__" hidden="1">{"fdsup://directions/FAT Viewer?action=UPDATE&amp;creator=factset&amp;DYN_ARGS=TRUE&amp;DOC_NAME=FAT:FQL_AUDITING_CLIENT_TEMPLATE.FAT&amp;display_string=Audit&amp;VAR:KEY=HSLURGBEZW&amp;VAR:QUERY=RkZfRUJJVChBTk4sLTJBWSk=&amp;WINDOW=FIRST_POPUP&amp;HEIGHT=450&amp;WIDTH=450&amp;START_MAXIMIZED=FALS","E&amp;VAR:CALENDAR=FIVEDAY&amp;VAR:SYMBOL=623864&amp;VAR:INDEX=0"}</definedName>
    <definedName name="_480__FDSAUDITLINK__" hidden="1">{"fdsup://Directions/FactSet Auditing Viewer?action=AUDIT_VALUE&amp;DB=129&amp;ID1=573282&amp;VALUEID=01201&amp;SDATE=2008&amp;PERIODTYPE=ANN_STD&amp;window=popup_no_bar&amp;width=385&amp;height=120&amp;START_MAXIMIZED=FALSE&amp;creator=factset&amp;display_string=Audit"}</definedName>
    <definedName name="_481__FDSAUDITLINK__" hidden="1">{"fdsup://Directions/FactSet Auditing Viewer?action=AUDIT_VALUE&amp;DB=129&amp;ID1=573282&amp;VALUEID=04831&amp;SDATE=2008&amp;PERIODTYPE=ANN_STD&amp;window=popup_no_bar&amp;width=385&amp;height=120&amp;START_MAXIMIZED=FALSE&amp;creator=factset&amp;display_string=Audit"}</definedName>
    <definedName name="_482__FDSAUDITLINK__" hidden="1">{"fdsup://Directions/FactSet Auditing Viewer?action=AUDIT_VALUE&amp;DB=129&amp;ID1=573282&amp;VALUEID=05194&amp;SDATE=2010&amp;PERIODTYPE=ANNR_STD&amp;window=popup_no_bar&amp;width=385&amp;height=120&amp;START_MAXIMIZED=FALSE&amp;creator=factset&amp;display_string=Audit"}</definedName>
    <definedName name="_483__FDSAUDITLINK__" hidden="1">{"fdsup://Directions/FactSet Auditing Viewer?action=AUDIT_VALUE&amp;DB=129&amp;ID1=573282&amp;VALUEID=05194&amp;SDATE=2008&amp;PERIODTYPE=ANNR_STD&amp;window=popup_no_bar&amp;width=385&amp;height=120&amp;START_MAXIMIZED=FALSE&amp;creator=factset&amp;display_string=Audit"}</definedName>
    <definedName name="_484__FDSAUDITLINK__" hidden="1">{"fdsup://Directions/FactSet Auditing Viewer?action=AUDIT_VALUE&amp;DB=129&amp;ID1=573282&amp;VALUEID=04831&amp;SDATE=2009&amp;PERIODTYPE=ANN_STD&amp;window=popup_no_bar&amp;width=385&amp;height=120&amp;START_MAXIMIZED=FALSE&amp;creator=factset&amp;display_string=Audit"}</definedName>
    <definedName name="_485__FDSAUDITLINK__" hidden="1">{"fdsup://directions/FAT Viewer?action=UPDATE&amp;creator=factset&amp;DYN_ARGS=TRUE&amp;DOC_NAME=FAT:FQL_AUDITING_CLIENT_TEMPLATE.FAT&amp;display_string=Audit&amp;VAR:KEY=HYTCBGLMZY&amp;VAR:QUERY=RkZfQ0FQRVgoQU5OLDIwMDksLCwsSUNfQ1VSUkVOQ1lfSVNPKCksTSk=&amp;WINDOW=FIRST_POPUP&amp;HEIGHT=45","0&amp;WIDTH=450&amp;START_MAXIMIZED=FALSE&amp;VAR:CALENDAR=US&amp;VAR:SYMBOL=B01MJR&amp;VAR:INDEX=0"}</definedName>
    <definedName name="_486__FDSAUDITLINK__" hidden="1">{"fdsup://directions/FAT Viewer?action=UPDATE&amp;creator=factset&amp;DYN_ARGS=TRUE&amp;DOC_NAME=FAT:FQL_AUDITING_CLIENT_TEMPLATE.FAT&amp;display_string=Audit&amp;VAR:KEY=EXILIJEPAH&amp;VAR:QUERY=RkZfRUJJVERBX09QRVIoQU5OLDM5ODEzLCwsLElDX0NVUlJFTkNZX0lTTygpLE0p&amp;WINDOW=FIRST_POPUP&amp;H","EIGHT=450&amp;WIDTH=450&amp;START_MAXIMIZED=FALSE&amp;VAR:CALENDAR=US&amp;VAR:SYMBOL=00282410&amp;VAR:INDEX=0"}</definedName>
    <definedName name="_487__FDSAUDITLINK__" hidden="1">{"fdsup://directions/FAT Viewer?action=UPDATE&amp;creator=factset&amp;DYN_ARGS=TRUE&amp;DOC_NAME=FAT:FQL_AUDITING_CLIENT_TEMPLATE.FAT&amp;display_string=Audit&amp;VAR:KEY=PIHUTMLERG&amp;VAR:QUERY=RkZfSU5UX0VYUF9ORVQoTFRNUywwLCwsLElDX0NVUlJFTkNZX0lTTygpKQ==&amp;WINDOW=FIRST_POPUP&amp;HEIGH","T=450&amp;WIDTH=450&amp;START_MAXIMIZED=FALSE&amp;VAR:CALENDAR=US&amp;VAR:SYMBOL=B01MJR&amp;VAR:INDEX=0"}</definedName>
    <definedName name="_489__FDSAUDITLINK__" hidden="1">{"fdsup://directions/FAT Viewer?action=UPDATE&amp;creator=factset&amp;DYN_ARGS=TRUE&amp;DOC_NAME=FAT:FQL_AUDITING_CLIENT_TEMPLATE.FAT&amp;display_string=Audit&amp;VAR:KEY=WHWNMDCJUB&amp;VAR:QUERY=RkZfQ0FQRVgoQU5OLDIwMTAsLCwsSUNfQ1VSUkVOQ1lfSVNPKCksTSk=&amp;WINDOW=FIRST_POPUP&amp;HEIGHT=45","0&amp;WIDTH=450&amp;START_MAXIMIZED=FALSE&amp;VAR:CALENDAR=US&amp;VAR:SYMBOL=09057220&amp;VAR:INDEX=0"}</definedName>
    <definedName name="_49__FDSAUDITLINK__" hidden="1">{"fdsup://Directions/FactSet Auditing Viewer?action=AUDIT_VALUE&amp;DB=129&amp;ID1=623864&amp;VALUEID=01001&amp;SDATE=2008&amp;PERIODTYPE=ANN_STD&amp;SCFT=3&amp;window=popup_no_bar&amp;width=385&amp;height=120&amp;START_MAXIMIZED=FALSE&amp;creator=factset&amp;display_string=Audit"}</definedName>
    <definedName name="_490__FDSAUDITLINK__" hidden="1">{"fdsup://directions/FAT Viewer?action=UPDATE&amp;creator=factset&amp;DYN_ARGS=TRUE&amp;DOC_NAME=FAT:FQL_AUDITING_CLIENT_TEMPLATE.FAT&amp;display_string=Audit&amp;VAR:KEY=QPIDYPWNIH&amp;VAR:QUERY=RkZfRUJJVERBX09QRVIoQU5OLDIwMDgsLCwsSUNfQ1VSUkVOQ1lfSVNPKCksTSk=&amp;WINDOW=FIRST_POPUP&amp;H","EIGHT=450&amp;WIDTH=450&amp;START_MAXIMIZED=FALSE&amp;VAR:CALENDAR=US&amp;VAR:SYMBOL=09057220&amp;VAR:INDEX=0"}</definedName>
    <definedName name="_491__FDSAUDITLINK__" hidden="1">{"fdsup://Directions/FactSet Auditing Viewer?action=AUDIT_VALUE&amp;DB=129&amp;ID1=B01MJR&amp;VALUEID=01250&amp;SDATE=2009&amp;PERIODTYPE=ANN_STD&amp;window=popup_no_bar&amp;width=385&amp;height=120&amp;START_MAXIMIZED=FALSE&amp;creator=factset&amp;display_string=Audit"}</definedName>
    <definedName name="_492__FDSAUDITLINK__" hidden="1">{"fdsup://Directions/FactSet Auditing Viewer?action=AUDIT_VALUE&amp;DB=129&amp;ID1=092528&amp;VALUEID=01201&amp;SDATE=2008&amp;PERIODTYPE=ANN_STD&amp;window=popup_no_bar&amp;width=385&amp;height=120&amp;START_MAXIMIZED=FALSE&amp;creator=factset&amp;display_string=Audit"}</definedName>
    <definedName name="_493__FDSAUDITLINK__" hidden="1">{"fdsup://Directions/FactSet Auditing Viewer?action=AUDIT_VALUE&amp;DB=129&amp;ID1=B01MJR&amp;VALUEID=01151&amp;SDATE=2009&amp;PERIODTYPE=ANN_STD&amp;window=popup_no_bar&amp;width=385&amp;height=120&amp;START_MAXIMIZED=FALSE&amp;creator=factset&amp;display_string=Audit"}</definedName>
    <definedName name="_494__FDSAUDITLINK__" hidden="1">{"fdsup://directions/FAT Viewer?action=UPDATE&amp;creator=factset&amp;DYN_ARGS=TRUE&amp;DOC_NAME=FAT:FQL_AUDITING_CLIENT_TEMPLATE.FAT&amp;display_string=Audit&amp;VAR:KEY=CJIVWPOBCB&amp;VAR:QUERY=RkZfRUJJVERBX09QRVIoQU5OLDIwMDgsLCwsSUNfQ1VSUkVOQ1lfSVNPKCksTSk=&amp;WINDOW=FIRST_POPUP&amp;H","EIGHT=450&amp;WIDTH=450&amp;START_MAXIMIZED=FALSE&amp;VAR:CALENDAR=US&amp;VAR:SYMBOL=711038&amp;VAR:INDEX=0"}</definedName>
    <definedName name="_495__FDSAUDITLINK__" hidden="1">{"fdsup://Directions/FactSet Auditing Viewer?action=AUDIT_VALUE&amp;DB=129&amp;ID1=B01MJR&amp;VALUEID=01001&amp;SDATE=2009&amp;PERIODTYPE=ANN_STD&amp;window=popup_no_bar&amp;width=385&amp;height=120&amp;START_MAXIMIZED=FALSE&amp;creator=factset&amp;display_string=Audit"}</definedName>
    <definedName name="_496__FDSAUDITLINK__" hidden="1">{"fdsup://directions/FAT Viewer?action=UPDATE&amp;creator=factset&amp;DYN_ARGS=TRUE&amp;DOC_NAME=FAT:FQL_AUDITING_CLIENT_TEMPLATE.FAT&amp;display_string=Audit&amp;VAR:KEY=SLCFAJSLWJ&amp;VAR:QUERY=RkZfRUJJVERBX09QRVIoQU5OLDIwMTAsLCwsSUNfQ1VSUkVOQ1lfSVNPKCksTSk=&amp;WINDOW=FIRST_POPUP&amp;H","EIGHT=450&amp;WIDTH=450&amp;START_MAXIMIZED=FALSE&amp;VAR:CALENDAR=US&amp;VAR:SYMBOL=09057220&amp;VAR:INDEX=0"}</definedName>
    <definedName name="_497__FDSAUDITLINK__" hidden="1">{"fdsup://Directions/FactSet Auditing Viewer?action=AUDIT_VALUE&amp;DB=129&amp;ID1=573282&amp;VALUEID=03051&amp;SDATE=201004&amp;PERIODTYPE=QTR_STD&amp;window=popup_no_bar&amp;width=385&amp;height=120&amp;START_MAXIMIZED=FALSE&amp;creator=factset&amp;display_string=Audit"}</definedName>
    <definedName name="_498__FDSAUDITLINK__" hidden="1">{"fdsup://Directions/FactSet Auditing Viewer?action=AUDIT_VALUE&amp;DB=129&amp;ID1=711038&amp;VALUEID=04831&amp;SDATE=2008&amp;PERIODTYPE=ANN_STD&amp;window=popup_no_bar&amp;width=385&amp;height=120&amp;START_MAXIMIZED=FALSE&amp;creator=factset&amp;display_string=Audit"}</definedName>
    <definedName name="_499__FDSAUDITLINK__" hidden="1">{"fdsup://Directions/FactSet Auditing Viewer?action=AUDIT_VALUE&amp;DB=129&amp;ID1=09057220&amp;VALUEID=02001&amp;SDATE=201003&amp;PERIODTYPE=QTR_STD&amp;window=popup_no_bar&amp;width=385&amp;height=120&amp;START_MAXIMIZED=FALSE&amp;creator=factset&amp;display_string=Audit"}</definedName>
    <definedName name="_5__FDSAUDITLINK__" hidden="1">{"fdsup://directions/FAT Viewer?action=UPDATE&amp;creator=factset&amp;DYN_ARGS=TRUE&amp;DOC_NAME=FAT:FQL_AUDITING_CLIENT_TEMPLATE.FAT&amp;display_string=Audit&amp;VAR:KEY=NWHILQLALK&amp;VAR:QUERY=RkZfRU5UUlBSX1ZBTF9FQklUREFfT1BFUihBTk4sTk9XLE5PVyk=&amp;WINDOW=FIRST_POPUP&amp;HEIGHT=450&amp;WI","DTH=450&amp;START_MAXIMIZED=FALSE&amp;VAR:CALENDAR=FIVEDAY&amp;VAR:SYMBOL=685876&amp;VAR:INDEX=0"}</definedName>
    <definedName name="_50__FDSAUDITLINK__" hidden="1">{"fdsup://Directions/FactSet Auditing Viewer?action=AUDIT_VALUE&amp;DB=129&amp;ID1=623864&amp;VALUEID=01001&amp;SDATE=2007&amp;PERIODTYPE=ANN_STD&amp;SCFT=3&amp;window=popup_no_bar&amp;width=385&amp;height=120&amp;START_MAXIMIZED=FALSE&amp;creator=factset&amp;display_string=Audit"}</definedName>
    <definedName name="_500__FDSAUDITLINK__" hidden="1">{"fdsup://directions/FAT Viewer?action=UPDATE&amp;creator=factset&amp;DYN_ARGS=TRUE&amp;DOC_NAME=FAT:FQL_AUDITING_CLIENT_TEMPLATE.FAT&amp;display_string=Audit&amp;VAR:KEY=PCZWDEPONM&amp;VAR:QUERY=RkZfRUJJVERBX09QRVIoQU5OLDIwMTAsLCwsSUNfQ1VSUkVOQ1lfSVNPKCksTSk=&amp;WINDOW=FIRST_POPUP&amp;H","EIGHT=450&amp;WIDTH=450&amp;START_MAXIMIZED=FALSE&amp;VAR:CALENDAR=US&amp;VAR:SYMBOL=573282&amp;VAR:INDEX=0"}</definedName>
    <definedName name="_501__FDSAUDITLINK__" hidden="1">{"fdsup://Directions/FactSet Auditing Viewer?action=AUDIT_VALUE&amp;DB=129&amp;ID1=573282&amp;VALUEID=01151&amp;SDATE=2010&amp;PERIODTYPE=ANN_STD&amp;window=popup_no_bar&amp;width=385&amp;height=120&amp;START_MAXIMIZED=FALSE&amp;creator=factset&amp;display_string=Audit"}</definedName>
    <definedName name="_502__FDSAUDITLINK__" hidden="1">{"fdsup://Directions/FactSet Auditing Viewer?action=AUDIT_VALUE&amp;DB=129&amp;ID1=573282&amp;VALUEID=01250&amp;SDATE=2010&amp;PERIODTYPE=ANN_STD&amp;window=popup_no_bar&amp;width=385&amp;height=120&amp;START_MAXIMIZED=FALSE&amp;creator=factset&amp;display_string=Audit"}</definedName>
    <definedName name="_503__FDSAUDITLINK__" hidden="1">{"fdsup://Directions/FactSet Auditing Viewer?action=AUDIT_VALUE&amp;DB=129&amp;ID1=573282&amp;VALUEID=01250&amp;SDATE=2010&amp;PERIODTYPE=ANN_STD&amp;window=popup_no_bar&amp;width=385&amp;height=120&amp;START_MAXIMIZED=FALSE&amp;creator=factset&amp;display_string=Audit"}</definedName>
    <definedName name="_504__FDSAUDITLINK__" hidden="1">{"fdsup://directions/FAT Viewer?action=UPDATE&amp;creator=factset&amp;DYN_ARGS=TRUE&amp;DOC_NAME=FAT:FQL_AUDITING_CLIENT_TEMPLATE.FAT&amp;display_string=Audit&amp;VAR:KEY=VGZOVODYLK&amp;VAR:QUERY=RkZfRVBTX0RJTChBTk4sMjAxMCwsLCxJQ19DVVJSRU5DWV9JU08oKSk=&amp;WINDOW=FIRST_POPUP&amp;HEIGHT=45","0&amp;WIDTH=450&amp;START_MAXIMIZED=FALSE&amp;VAR:CALENDAR=US&amp;VAR:SYMBOL=573282&amp;VAR:INDEX=0"}</definedName>
    <definedName name="_505__FDSAUDITLINK__" hidden="1">{"fdsup://directions/FAT Viewer?action=UPDATE&amp;creator=factset&amp;DYN_ARGS=TRUE&amp;DOC_NAME=FAT:FQL_AUDITING_CLIENT_TEMPLATE.FAT&amp;display_string=Audit&amp;VAR:KEY=DOPCRYLOVS&amp;VAR:QUERY=RkZfQ0FQRVgoQU5OLDIwMTAsLCwsSUNfQ1VSUkVOQ1lfSVNPKCksTSk=&amp;WINDOW=FIRST_POPUP&amp;HEIGHT=45","0&amp;WIDTH=450&amp;START_MAXIMIZED=FALSE&amp;VAR:CALENDAR=US&amp;VAR:SYMBOL=573282&amp;VAR:INDEX=0"}</definedName>
    <definedName name="_506__FDSAUDITLINK__" hidden="1">{"fdsup://Directions/FactSet Auditing Viewer?action=AUDIT_VALUE&amp;DB=129&amp;ID1=573282&amp;VALUEID=01001&amp;SDATE=2008&amp;PERIODTYPE=ANN_STD&amp;window=popup_no_bar&amp;width=385&amp;height=120&amp;START_MAXIMIZED=FALSE&amp;creator=factset&amp;display_string=Audit"}</definedName>
    <definedName name="_507__FDSAUDITLINK__" hidden="1">{"fdsup://directions/FAT Viewer?action=UPDATE&amp;creator=factset&amp;DYN_ARGS=TRUE&amp;DOC_NAME=FAT:FQL_AUDITING_CLIENT_TEMPLATE.FAT&amp;display_string=Audit&amp;VAR:KEY=LCPEJIDQVO&amp;VAR:QUERY=RkZfRUJJVERBX09QRVIoQU5OLDIwMDgsLCwsSUNfQ1VSUkVOQ1lfSVNPKCksTSk=&amp;WINDOW=FIRST_POPUP&amp;H","EIGHT=450&amp;WIDTH=450&amp;START_MAXIMIZED=FALSE&amp;VAR:CALENDAR=US&amp;VAR:SYMBOL=573282&amp;VAR:INDEX=0"}</definedName>
    <definedName name="_508__FDSAUDITLINK__" hidden="1">{"fdsup://Directions/FactSet Auditing Viewer?action=AUDIT_VALUE&amp;DB=129&amp;ID1=573282&amp;VALUEID=01151&amp;SDATE=2008&amp;PERIODTYPE=ANN_STD&amp;window=popup_no_bar&amp;width=385&amp;height=120&amp;START_MAXIMIZED=FALSE&amp;creator=factset&amp;display_string=Audit"}</definedName>
    <definedName name="_509__FDSAUDITLINK__" hidden="1">{"fdsup://directions/FAT Viewer?action=UPDATE&amp;creator=factset&amp;DYN_ARGS=TRUE&amp;DOC_NAME=FAT:FQL_AUDITING_CLIENT_TEMPLATE.FAT&amp;display_string=Audit&amp;VAR:KEY=ZUBCTCXMFE&amp;VAR:QUERY=RkZfRUJJVF9PUEVSKEFOTiwyMDA4LCwsLElDX0NVUlJFTkNZX0lTTygpLE0p&amp;WINDOW=FIRST_POPUP&amp;HEIGH","T=450&amp;WIDTH=450&amp;START_MAXIMIZED=FALSE&amp;VAR:CALENDAR=US&amp;VAR:SYMBOL=573282&amp;VAR:INDEX=0"}</definedName>
    <definedName name="_51__FDSAUDITLINK__" hidden="1">{"fdsup://Directions/FactSet Auditing Viewer?action=AUDIT_VALUE&amp;DB=129&amp;ID1=65542W10&amp;VALUEID=01001&amp;SDATE=2009&amp;PERIODTYPE=ANN_STD&amp;SCFT=3&amp;window=popup_no_bar&amp;width=385&amp;height=120&amp;START_MAXIMIZED=FALSE&amp;creator=factset&amp;display_string=Audit"}</definedName>
    <definedName name="_510__FDSAUDITLINK__" hidden="1">{"fdsup://Directions/FactSet Auditing Viewer?action=AUDIT_VALUE&amp;DB=129&amp;ID1=573282&amp;VALUEID=01250&amp;SDATE=2008&amp;PERIODTYPE=ANN_STD&amp;window=popup_no_bar&amp;width=385&amp;height=120&amp;START_MAXIMIZED=FALSE&amp;creator=factset&amp;display_string=Audit"}</definedName>
    <definedName name="_511__FDSAUDITLINK__" hidden="1">{"fdsup://directions/FAT Viewer?action=UPDATE&amp;creator=factset&amp;DYN_ARGS=TRUE&amp;DOC_NAME=FAT:FQL_AUDITING_CLIENT_TEMPLATE.FAT&amp;display_string=Audit&amp;VAR:KEY=XMTCJQZGLS&amp;VAR:QUERY=RkZfQ0FQRVgoQU5OLDIwMDgsLCwsSUNfQ1VSUkVOQ1lfSVNPKCksTSk=&amp;WINDOW=FIRST_POPUP&amp;HEIGHT=45","0&amp;WIDTH=450&amp;START_MAXIMIZED=FALSE&amp;VAR:CALENDAR=US&amp;VAR:SYMBOL=573282&amp;VAR:INDEX=0"}</definedName>
    <definedName name="_512__FDSAUDITLINK__" hidden="1">{"fdsup://Directions/FactSet Auditing Viewer?action=AUDIT_VALUE&amp;DB=129&amp;ID1=573282&amp;VALUEID=01201&amp;SDATE=2008&amp;PERIODTYPE=ANN_STD&amp;window=popup_no_bar&amp;width=385&amp;height=120&amp;START_MAXIMIZED=FALSE&amp;creator=factset&amp;display_string=Audit"}</definedName>
    <definedName name="_513__FDSAUDITLINK__" hidden="1">{"fdsup://Directions/FactSet Auditing Viewer?action=AUDIT_VALUE&amp;DB=129&amp;ID1=573282&amp;VALUEID=04831&amp;SDATE=2008&amp;PERIODTYPE=ANN_STD&amp;window=popup_no_bar&amp;width=385&amp;height=120&amp;START_MAXIMIZED=FALSE&amp;creator=factset&amp;display_string=Audit"}</definedName>
    <definedName name="_514__FDSAUDITLINK__" hidden="1">{"fdsup://Directions/FactSet Auditing Viewer?action=AUDIT_VALUE&amp;DB=129&amp;ID1=573282&amp;VALUEID=05194&amp;SDATE=2009&amp;PERIODTYPE=ANNR_STD&amp;window=popup_no_bar&amp;width=385&amp;height=120&amp;START_MAXIMIZED=FALSE&amp;creator=factset&amp;display_string=Audit"}</definedName>
    <definedName name="_515__FDSAUDITLINK__" hidden="1">{"fdsup://directions/FAT Viewer?action=UPDATE&amp;creator=factset&amp;DYN_ARGS=TRUE&amp;DOC_NAME=FAT:FQL_AUDITING_CLIENT_TEMPLATE.FAT&amp;display_string=Audit&amp;VAR:KEY=OBSZYJWNCH&amp;VAR:QUERY=RkZfRUJJVERBX09QRVIoQU5OLDIwMTAsLCwsSUNfQ1VSUkVOQ1lfSVNPKCksTSk=&amp;WINDOW=FIRST_POPUP&amp;H","EIGHT=450&amp;WIDTH=450&amp;START_MAXIMIZED=FALSE&amp;VAR:CALENDAR=US&amp;VAR:SYMBOL=711038&amp;VAR:INDEX=0"}</definedName>
    <definedName name="_516__FDSAUDITLINK__" hidden="1">{"fdsup://Directions/FactSet Auditing Viewer?action=AUDIT_VALUE&amp;DB=129&amp;ID1=573282&amp;VALUEID=04831&amp;SDATE=2009&amp;PERIODTYPE=ANN_STD&amp;window=popup_no_bar&amp;width=385&amp;height=120&amp;START_MAXIMIZED=FALSE&amp;creator=factset&amp;display_string=Audit"}</definedName>
    <definedName name="_517__FDSAUDITLINK__" hidden="1">{"fdsup://Directions/FactSet Auditing Viewer?action=AUDIT_VALUE&amp;DB=129&amp;ID1=573282&amp;VALUEID=01201&amp;SDATE=2009&amp;PERIODTYPE=ANN_STD&amp;window=popup_no_bar&amp;width=385&amp;height=120&amp;START_MAXIMIZED=FALSE&amp;creator=factset&amp;display_string=Audit"}</definedName>
    <definedName name="_518__FDSAUDITLINK__" hidden="1">{"fdsup://directions/FAT Viewer?action=UPDATE&amp;creator=factset&amp;DYN_ARGS=TRUE&amp;DOC_NAME=FAT:FQL_AUDITING_CLIENT_TEMPLATE.FAT&amp;display_string=Audit&amp;VAR:KEY=DWLUDSVEDE&amp;VAR:QUERY=RkZfQ0FQRVgoQU5OLDIwMDksLCwsSUNfQ1VSUkVOQ1lfSVNPKCksTSk=&amp;WINDOW=FIRST_POPUP&amp;HEIGHT=45","0&amp;WIDTH=450&amp;START_MAXIMIZED=FALSE&amp;VAR:CALENDAR=US&amp;VAR:SYMBOL=573282&amp;VAR:INDEX=0"}</definedName>
    <definedName name="_519__FDSAUDITLINK__" hidden="1">{"fdsup://directions/FAT Viewer?action=UPDATE&amp;creator=factset&amp;DYN_ARGS=TRUE&amp;DOC_NAME=FAT:FQL_AUDITING_CLIENT_TEMPLATE.FAT&amp;display_string=Audit&amp;VAR:KEY=ARCHSHOFUD&amp;VAR:QUERY=RkZfQ0FQRVgoQU5OLDIwMDgsLCwsSUNfQ1VSUkVOQ1lfSVNPKCksTSk=&amp;WINDOW=FIRST_POPUP&amp;HEIGHT=45","0&amp;WIDTH=450&amp;START_MAXIMIZED=FALSE&amp;VAR:CALENDAR=US&amp;VAR:SYMBOL=09057220&amp;VAR:INDEX=0"}</definedName>
    <definedName name="_52__123Graph_CCHART_15" hidden="1">[2]Summary!$D$424:$BC$424</definedName>
    <definedName name="_52__FDSAUDITLINK__" hidden="1">{"fdsup://directions/FAT Viewer?action=UPDATE&amp;creator=factset&amp;DYN_ARGS=TRUE&amp;DOC_NAME=FAT:FQL_AUDITING_CLIENT_TEMPLATE.FAT&amp;display_string=Audit&amp;VAR:KEY=ZCXMFCRITO&amp;VAR:QUERY=RkZfTkVUX0lOQ19CQVNJQ19CRUZUX1hPUkQoTFRNLDAp&amp;WINDOW=FIRST_POPUP&amp;HEIGHT=450&amp;WIDTH=450&amp;","START_MAXIMIZED=FALSE&amp;VAR:CALENDAR=FIVEDAY&amp;VAR:SYMBOL=685876&amp;VAR:INDEX=0"}</definedName>
    <definedName name="_520__FDSAUDITLINK__" hidden="1">{"fdsup://directions/FAT Viewer?action=UPDATE&amp;creator=factset&amp;DYN_ARGS=TRUE&amp;DOC_NAME=FAT:FQL_AUDITING_CLIENT_TEMPLATE.FAT&amp;display_string=Audit&amp;VAR:KEY=DQFILSXIBC&amp;VAR:QUERY=RkZfRVBTX0RJTChBTk4sMjAwOSwsLCxJQ19DVVJSRU5DWV9JU08oKSk=&amp;WINDOW=FIRST_POPUP&amp;HEIGHT=45","0&amp;WIDTH=450&amp;START_MAXIMIZED=FALSE&amp;VAR:CALENDAR=US&amp;VAR:SYMBOL=573282&amp;VAR:INDEX=0"}</definedName>
    <definedName name="_521__FDSAUDITLINK__" hidden="1">{"fdsup://directions/FAT Viewer?action=UPDATE&amp;creator=factset&amp;DYN_ARGS=TRUE&amp;DOC_NAME=FAT:FQL_AUDITING_CLIENT_TEMPLATE.FAT&amp;display_string=Audit&amp;VAR:KEY=TGXGRQDIXS&amp;VAR:QUERY=RkZfSU5UX0VYUF9ORVQoTFRNUywwLCwsLElDX0NVUlJFTkNZX0lTTygpKQ==&amp;WINDOW=FIRST_POPUP&amp;HEIGH","T=450&amp;WIDTH=450&amp;START_MAXIMIZED=FALSE&amp;VAR:CALENDAR=US&amp;VAR:SYMBOL=573282&amp;VAR:INDEX=0"}</definedName>
    <definedName name="_522__FDSAUDITLINK__" hidden="1">{"fdsup://directions/FAT Viewer?action=UPDATE&amp;creator=factset&amp;DYN_ARGS=TRUE&amp;DOC_NAME=FAT:FQL_AUDITING_CLIENT_TEMPLATE.FAT&amp;display_string=Audit&amp;VAR:KEY=KPUBCBKRGN&amp;VAR:QUERY=RkZfRUJJVF9PUEVSKEFOTiwyMDA5LCwsLElDX0NVUlJFTkNZX0lTTygpLE0p&amp;WINDOW=FIRST_POPUP&amp;HEIGH","T=450&amp;WIDTH=450&amp;START_MAXIMIZED=FALSE&amp;VAR:CALENDAR=US&amp;VAR:SYMBOL=09057220&amp;VAR:INDEX=0"}</definedName>
    <definedName name="_523__FDSAUDITLINK__" hidden="1">{"fdsup://directions/FAT Viewer?action=UPDATE&amp;creator=factset&amp;DYN_ARGS=TRUE&amp;DOC_NAME=FAT:FQL_AUDITING_CLIENT_TEMPLATE.FAT&amp;display_string=Audit&amp;VAR:KEY=XCRMHQPYTY&amp;VAR:QUERY=RkZfRUJJVF9PUEVSKExUTVMsMCwsLCxJQ19DVVJSRU5DWV9JU08oKSk=&amp;WINDOW=FIRST_POPUP&amp;HEIGHT=45","0&amp;WIDTH=450&amp;START_MAXIMIZED=FALSE&amp;VAR:CALENDAR=US&amp;VAR:SYMBOL=573282&amp;VAR:INDEX=0"}</definedName>
    <definedName name="_524__FDSAUDITLINK__" hidden="1">{"fdsup://directions/FAT Viewer?action=UPDATE&amp;creator=factset&amp;DYN_ARGS=TRUE&amp;DOC_NAME=FAT:FQL_AUDITING_CLIENT_TEMPLATE.FAT&amp;display_string=Audit&amp;VAR:KEY=TIJQRYDQXO&amp;VAR:QUERY=RkZfRUJJVERBX09QRVIoTFRNUywwLCwsLElDX0NVUlJFTkNZX0lTTygpKQ==&amp;WINDOW=FIRST_POPUP&amp;HEIGH","T=450&amp;WIDTH=450&amp;START_MAXIMIZED=FALSE&amp;VAR:CALENDAR=US&amp;VAR:SYMBOL=573282&amp;VAR:INDEX=0"}</definedName>
    <definedName name="_525__FDSAUDITLINK__" hidden="1">{"fdsup://Directions/FactSet Auditing Viewer?action=AUDIT_VALUE&amp;DB=129&amp;ID1=573282&amp;VALUEID=01250&amp;SDATE=2009&amp;PERIODTYPE=ANN_STD&amp;window=popup_no_bar&amp;width=385&amp;height=120&amp;START_MAXIMIZED=FALSE&amp;creator=factset&amp;display_string=Audit"}</definedName>
    <definedName name="_526__FDSAUDITLINK__" hidden="1">{"fdsup://directions/FAT Viewer?action=UPDATE&amp;creator=factset&amp;DYN_ARGS=TRUE&amp;DOC_NAME=FAT:FQL_AUDITING_CLIENT_TEMPLATE.FAT&amp;display_string=Audit&amp;VAR:KEY=NCZCVCLAHE&amp;VAR:QUERY=RkZfRUJJVF9PUEVSKEFOTiwyMDA5LCwsLElDX0NVUlJFTkNZX0lTTygpLE0p&amp;WINDOW=FIRST_POPUP&amp;HEIGH","T=450&amp;WIDTH=450&amp;START_MAXIMIZED=FALSE&amp;VAR:CALENDAR=US&amp;VAR:SYMBOL=573282&amp;VAR:INDEX=0"}</definedName>
    <definedName name="_527__FDSAUDITLINK__" hidden="1">{"fdsup://Directions/FactSet Auditing Viewer?action=AUDIT_VALUE&amp;DB=129&amp;ID1=573282&amp;VALUEID=01151&amp;SDATE=2009&amp;PERIODTYPE=ANN_STD&amp;window=popup_no_bar&amp;width=385&amp;height=120&amp;START_MAXIMIZED=FALSE&amp;creator=factset&amp;display_string=Audit"}</definedName>
    <definedName name="_528__FDSAUDITLINK__" hidden="1">{"fdsup://directions/FAT Viewer?action=UPDATE&amp;creator=factset&amp;DYN_ARGS=TRUE&amp;DOC_NAME=FAT:FQL_AUDITING_CLIENT_TEMPLATE.FAT&amp;display_string=Audit&amp;VAR:KEY=LITCLUNOTS&amp;VAR:QUERY=RkZfRUJJVERBX09QRVIoQU5OLDIwMDksLCwsSUNfQ1VSUkVOQ1lfSVNPKCksTSk=&amp;WINDOW=FIRST_POPUP&amp;H","EIGHT=450&amp;WIDTH=450&amp;START_MAXIMIZED=FALSE&amp;VAR:CALENDAR=US&amp;VAR:SYMBOL=573282&amp;VAR:INDEX=0"}</definedName>
    <definedName name="_529__FDSAUDITLINK__" hidden="1">{"fdsup://Directions/FactSet Auditing Viewer?action=AUDIT_VALUE&amp;DB=129&amp;ID1=573282&amp;VALUEID=01001&amp;SDATE=2009&amp;PERIODTYPE=ANN_STD&amp;window=popup_no_bar&amp;width=385&amp;height=120&amp;START_MAXIMIZED=FALSE&amp;creator=factset&amp;display_string=Audit"}</definedName>
    <definedName name="_53__123Graph_CCHART_16" hidden="1">[2]Summary!$D$425:$BC$425</definedName>
    <definedName name="_53__FDSAUDITLINK__" hidden="1">{"fdsup://directions/FAT Viewer?action=UPDATE&amp;creator=factset&amp;DYN_ARGS=TRUE&amp;DOC_NAME=FAT:FQL_AUDITING_CLIENT_TEMPLATE.FAT&amp;display_string=Audit&amp;VAR:KEY=ZANIJOJSJM&amp;VAR:QUERY=RkZfRUJJVERBKEFOTiwwKQ==&amp;WINDOW=FIRST_POPUP&amp;HEIGHT=450&amp;WIDTH=450&amp;START_MAXIMIZED=FALS","E&amp;VAR:CALENDAR=FIVEDAY&amp;VAR:SYMBOL=B0N9WZ&amp;VAR:INDEX=0"}</definedName>
    <definedName name="_530__FDSAUDITLINK__" hidden="1">{"fdsup://Directions/FactSet Auditing Viewer?action=AUDIT_VALUE&amp;DB=129&amp;ID1=573282&amp;VALUEID=05194&amp;SDATE=2010&amp;PERIODTYPE=ANNR_STD&amp;window=popup_no_bar&amp;width=385&amp;height=120&amp;START_MAXIMIZED=FALSE&amp;creator=factset&amp;display_string=Audit"}</definedName>
    <definedName name="_531__FDSAUDITLINK__" hidden="1">{"fdsup://Directions/FactSet Auditing Viewer?action=AUDIT_VALUE&amp;DB=129&amp;ID1=573282&amp;VALUEID=05194&amp;SDATE=2008&amp;PERIODTYPE=ANNR_STD&amp;window=popup_no_bar&amp;width=385&amp;height=120&amp;START_MAXIMIZED=FALSE&amp;creator=factset&amp;display_string=Audit"}</definedName>
    <definedName name="_532__FDSAUDITLINK__" hidden="1">{"fdsup://Directions/FactSet Auditing Viewer?action=AUDIT_VALUE&amp;DB=129&amp;ID1=573282&amp;VALUEID=05194&amp;SDATE=2009&amp;PERIODTYPE=ANNR_STD&amp;window=popup_no_bar&amp;width=385&amp;height=120&amp;START_MAXIMIZED=FALSE&amp;creator=factset&amp;display_string=Audit"}</definedName>
    <definedName name="_533__FDSAUDITLINK__" hidden="1">{"fdsup://Directions/FactSet Auditing Viewer?action=AUDIT_VALUE&amp;DB=129&amp;ID1=711038&amp;VALUEID=01151&amp;SDATE=2008&amp;PERIODTYPE=ANN_STD&amp;window=popup_no_bar&amp;width=385&amp;height=120&amp;START_MAXIMIZED=FALSE&amp;creator=factset&amp;display_string=Audit"}</definedName>
    <definedName name="_534__FDSAUDITLINK__" hidden="1">{"fdsup://directions/FAT Viewer?action=UPDATE&amp;creator=factset&amp;DYN_ARGS=TRUE&amp;DOC_NAME=FAT:FQL_AUDITING_CLIENT_TEMPLATE.FAT&amp;display_string=Audit&amp;VAR:KEY=IBGBSZQVGJ&amp;VAR:QUERY=KChGRl9ERUJUX0xUKFFUUiw0MDU4MywsLCxJQ19DVVJSRU5DWV9JU08oKSlARkZfREVCVF9MVChTRU1JLDQwN","TgzLCwsLElDX0NVUlJFTkNZX0lTTygpKSlARkZfREVCVF9MVChBTk4sNDA1ODMsLCwsSUNfQ1VSUkVOQ1lfSVNPKCkpKQ==&amp;WINDOW=FIRST_POPUP&amp;HEIGHT=450&amp;WIDTH=450&amp;START_MAXIMIZED=FALSE&amp;VAR:CALENDAR=US&amp;VAR:SYMBOL=00282410&amp;VAR:INDEX=0"}</definedName>
    <definedName name="_535__FDSAUDITLINK__" hidden="1">{"fdsup://Directions/FactSet Auditing Viewer?action=AUDIT_VALUE&amp;DB=129&amp;ID1=00282410&amp;VALUEID=01001&amp;SDATE=2010&amp;PERIODTYPE=ANN_STD&amp;window=popup_no_bar&amp;width=385&amp;height=120&amp;START_MAXIMIZED=FALSE&amp;creator=factset&amp;display_string=Audit"}</definedName>
    <definedName name="_536__FDSAUDITLINK__" hidden="1">{"fdsup://directions/FAT Viewer?action=UPDATE&amp;creator=factset&amp;DYN_ARGS=TRUE&amp;DOC_NAME=FAT:FQL_AUDITING_CLIENT_TEMPLATE.FAT&amp;display_string=Audit&amp;VAR:KEY=WHMJERAZWJ&amp;VAR:QUERY=RkZfRUJJVERBX09QRVIoQU5OLDIwMTAsLCwsSUNfQ1VSUkVOQ1lfSVNPKCksTSk=&amp;WINDOW=FIRST_POPUP&amp;H","EIGHT=450&amp;WIDTH=450&amp;START_MAXIMIZED=FALSE&amp;VAR:CALENDAR=US&amp;VAR:SYMBOL=00282410&amp;VAR:INDEX=0"}</definedName>
    <definedName name="_537__FDSAUDITLINK__" hidden="1">{"fdsup://Directions/FactSet Auditing Viewer?action=AUDIT_VALUE&amp;DB=129&amp;ID1=00282410&amp;VALUEID=01250&amp;SDATE=2010&amp;PERIODTYPE=ANN_STD&amp;window=popup_no_bar&amp;width=385&amp;height=120&amp;START_MAXIMIZED=FALSE&amp;creator=factset&amp;display_string=Audit"}</definedName>
    <definedName name="_538__FDSAUDITLINK__" hidden="1">{"fdsup://Directions/FactSet Auditing Viewer?action=AUDIT_VALUE&amp;DB=129&amp;ID1=00282410&amp;VALUEID=01250&amp;SDATE=2010&amp;PERIODTYPE=ANN_STD&amp;window=popup_no_bar&amp;width=385&amp;height=120&amp;START_MAXIMIZED=FALSE&amp;creator=factset&amp;display_string=Audit"}</definedName>
    <definedName name="_539__FDSAUDITLINK__" hidden="1">{"fdsup://directions/FAT Viewer?action=UPDATE&amp;creator=factset&amp;DYN_ARGS=TRUE&amp;DOC_NAME=FAT:FQL_AUDITING_CLIENT_TEMPLATE.FAT&amp;display_string=Audit&amp;VAR:KEY=QHCJKXQDQV&amp;VAR:QUERY=RkZfRVBTX0RJTChBTk4sMjAxMCwsLCxJQ19DVVJSRU5DWV9JU08oKSk=&amp;WINDOW=FIRST_POPUP&amp;HEIGHT=45","0&amp;WIDTH=450&amp;START_MAXIMIZED=FALSE&amp;VAR:CALENDAR=US&amp;VAR:SYMBOL=00282410&amp;VAR:INDEX=0"}</definedName>
    <definedName name="_54__123Graph_CCHART_17" hidden="1">[2]Summary!$D$426:$BC$426</definedName>
    <definedName name="_54__FDSAUDITLINK__" hidden="1">{"fdsup://directions/FAT Viewer?action=UPDATE&amp;creator=factset&amp;DYN_ARGS=TRUE&amp;DOC_NAME=FAT:FQL_AUDITING_CLIENT_TEMPLATE.FAT&amp;display_string=Audit&amp;VAR:KEY=HWTQPQTKTA&amp;VAR:QUERY=RkZfRUJJVChBTk4sLTNBWSk=&amp;WINDOW=FIRST_POPUP&amp;HEIGHT=450&amp;WIDTH=450&amp;START_MAXIMIZED=FALS","E&amp;VAR:CALENDAR=FIVEDAY&amp;VAR:SYMBOL=685876&amp;VAR:INDEX=0"}</definedName>
    <definedName name="_540__FDSAUDITLINK__" hidden="1">{"fdsup://directions/FAT Viewer?action=UPDATE&amp;creator=factset&amp;DYN_ARGS=TRUE&amp;DOC_NAME=FAT:FQL_AUDITING_CLIENT_TEMPLATE.FAT&amp;display_string=Audit&amp;VAR:KEY=QNWJUBWPWX&amp;VAR:QUERY=RkZfQ0FQRVgoQU5OLDIwMTAsLCwsSUNfQ1VSUkVOQ1lfSVNPKCksTSk=&amp;WINDOW=FIRST_POPUP&amp;HEIGHT=45","0&amp;WIDTH=450&amp;START_MAXIMIZED=FALSE&amp;VAR:CALENDAR=US&amp;VAR:SYMBOL=00282410&amp;VAR:INDEX=0"}</definedName>
    <definedName name="_541__FDSAUDITLINK__" hidden="1">{"fdsup://Directions/FactSet Auditing Viewer?action=AUDIT_VALUE&amp;DB=129&amp;ID1=00282410&amp;VALUEID=01001&amp;SDATE=2008&amp;PERIODTYPE=ANN_STD&amp;window=popup_no_bar&amp;width=385&amp;height=120&amp;START_MAXIMIZED=FALSE&amp;creator=factset&amp;display_string=Audit"}</definedName>
    <definedName name="_542__FDSAUDITLINK__" hidden="1">{"fdsup://directions/FAT Viewer?action=UPDATE&amp;creator=factset&amp;DYN_ARGS=TRUE&amp;DOC_NAME=FAT:FQL_AUDITING_CLIENT_TEMPLATE.FAT&amp;display_string=Audit&amp;VAR:KEY=KZQVIRQNWP&amp;VAR:QUERY=RkZfRUJJVERBX09QRVIoQU5OLDIwMDgsLCwsSUNfQ1VSUkVOQ1lfSVNPKCksTSk=&amp;WINDOW=FIRST_POPUP&amp;H","EIGHT=450&amp;WIDTH=450&amp;START_MAXIMIZED=FALSE&amp;VAR:CALENDAR=US&amp;VAR:SYMBOL=00282410&amp;VAR:INDEX=0"}</definedName>
    <definedName name="_543__FDSAUDITLINK__" hidden="1">{"fdsup://Directions/FactSet Auditing Viewer?action=AUDIT_VALUE&amp;DB=129&amp;ID1=00282410&amp;VALUEID=01151&amp;SDATE=2008&amp;PERIODTYPE=ANN_STD&amp;window=popup_no_bar&amp;width=385&amp;height=120&amp;START_MAXIMIZED=FALSE&amp;creator=factset&amp;display_string=Audit"}</definedName>
    <definedName name="_544__FDSAUDITLINK__" hidden="1">{"fdsup://directions/FAT Viewer?action=UPDATE&amp;creator=factset&amp;DYN_ARGS=TRUE&amp;DOC_NAME=FAT:FQL_AUDITING_CLIENT_TEMPLATE.FAT&amp;display_string=Audit&amp;VAR:KEY=SRCDUPKTGV&amp;VAR:QUERY=RkZfRUJJVF9PUEVSKEFOTiwyMDA4LCwsLElDX0NVUlJFTkNZX0lTTygpLE0p&amp;WINDOW=FIRST_POPUP&amp;HEIGH","T=450&amp;WIDTH=450&amp;START_MAXIMIZED=FALSE&amp;VAR:CALENDAR=US&amp;VAR:SYMBOL=00282410&amp;VAR:INDEX=0"}</definedName>
    <definedName name="_545__FDSAUDITLINK__" hidden="1">{"fdsup://Directions/FactSet Auditing Viewer?action=AUDIT_VALUE&amp;DB=129&amp;ID1=00282410&amp;VALUEID=01250&amp;SDATE=2008&amp;PERIODTYPE=ANN_STD&amp;window=popup_no_bar&amp;width=385&amp;height=120&amp;START_MAXIMIZED=FALSE&amp;creator=factset&amp;display_string=Audit"}</definedName>
    <definedName name="_546__FDSAUDITLINK__" hidden="1">{"fdsup://directions/FAT Viewer?action=UPDATE&amp;creator=factset&amp;DYN_ARGS=TRUE&amp;DOC_NAME=FAT:FQL_AUDITING_CLIENT_TEMPLATE.FAT&amp;display_string=Audit&amp;VAR:KEY=CVILALOVGV&amp;VAR:QUERY=RkZfRVBTX0RJTChBTk4sMjAwOCwsLCxJQ19DVVJSRU5DWV9JU08oKSk=&amp;WINDOW=FIRST_POPUP&amp;HEIGHT=45","0&amp;WIDTH=450&amp;START_MAXIMIZED=FALSE&amp;VAR:CALENDAR=US&amp;VAR:SYMBOL=00282410&amp;VAR:INDEX=0"}</definedName>
    <definedName name="_547__FDSAUDITLINK__" hidden="1">{"fdsup://directions/FAT Viewer?action=UPDATE&amp;creator=factset&amp;DYN_ARGS=TRUE&amp;DOC_NAME=FAT:FQL_AUDITING_CLIENT_TEMPLATE.FAT&amp;display_string=Audit&amp;VAR:KEY=EVIFMNEXMJ&amp;VAR:QUERY=RkZfQ0FQRVgoQU5OLDIwMDgsLCwsSUNfQ1VSUkVOQ1lfSVNPKCksTSk=&amp;WINDOW=FIRST_POPUP&amp;HEIGHT=45","0&amp;WIDTH=450&amp;START_MAXIMIZED=FALSE&amp;VAR:CALENDAR=US&amp;VAR:SYMBOL=00282410&amp;VAR:INDEX=0"}</definedName>
    <definedName name="_548__FDSAUDITLINK__" hidden="1">{"fdsup://directions/FAT Viewer?action=UPDATE&amp;creator=factset&amp;DYN_ARGS=TRUE&amp;DOC_NAME=FAT:FQL_AUDITING_CLIENT_TEMPLATE.FAT&amp;display_string=Audit&amp;VAR:KEY=GNKHWBGBMD&amp;VAR:QUERY=RkZfRVBTX0RJTChBTk4sMjAwOSwsLCxJQ19DVVJSRU5DWV9JU08oKSk=&amp;WINDOW=FIRST_POPUP&amp;HEIGHT=45","0&amp;WIDTH=450&amp;START_MAXIMIZED=FALSE&amp;VAR:CALENDAR=US&amp;VAR:SYMBOL=09057220&amp;VAR:INDEX=0"}</definedName>
    <definedName name="_549__FDSAUDITLINK__" hidden="1">{"fdsup://Directions/FactSet Auditing Viewer?action=AUDIT_VALUE&amp;DB=129&amp;ID1=00282410&amp;VALUEID=04831&amp;SDATE=2008&amp;PERIODTYPE=ANN_STD&amp;window=popup_no_bar&amp;width=385&amp;height=120&amp;START_MAXIMIZED=FALSE&amp;creator=factset&amp;display_string=Audit"}</definedName>
    <definedName name="_55__123Graph_CCHART_18" hidden="1">[2]Summary!$D$431:$BC$431</definedName>
    <definedName name="_55__FDSAUDITLINK__" hidden="1">{"fdsup://directions/FAT Viewer?action=UPDATE&amp;creator=factset&amp;DYN_ARGS=TRUE&amp;DOC_NAME=FAT:FQL_AUDITING_CLIENT_TEMPLATE.FAT&amp;display_string=Audit&amp;VAR:KEY=JOBIHMPSZQ&amp;VAR:QUERY=RkZfRUJJVChBTk4sLTJBWSk=&amp;WINDOW=FIRST_POPUP&amp;HEIGHT=450&amp;WIDTH=450&amp;START_MAXIMIZED=FALS","E&amp;VAR:CALENDAR=FIVEDAY&amp;VAR:SYMBOL=685876&amp;VAR:INDEX=0"}</definedName>
    <definedName name="_550__FDSAUDITLINK__" hidden="1">{"fdsup://Directions/FactSet Auditing Viewer?action=AUDIT_VALUE&amp;DB=129&amp;ID1=00282410&amp;VALUEID=05194&amp;SDATE=2008&amp;PERIODTYPE=ANNR_STD&amp;window=popup_no_bar&amp;width=385&amp;height=120&amp;START_MAXIMIZED=FALSE&amp;creator=factset&amp;display_string=Audit"}</definedName>
    <definedName name="_551__FDSAUDITLINK__" hidden="1">{"fdsup://Directions/FactSet Auditing Viewer?action=AUDIT_VALUE&amp;DB=129&amp;ID1=00282410&amp;VALUEID=04831&amp;SDATE=2009&amp;PERIODTYPE=ANN_STD&amp;window=popup_no_bar&amp;width=385&amp;height=120&amp;START_MAXIMIZED=FALSE&amp;creator=factset&amp;display_string=Audit"}</definedName>
    <definedName name="_552__FDSAUDITLINK__" hidden="1">{"fdsup://Directions/FactSet Auditing Viewer?action=AUDIT_VALUE&amp;DB=129&amp;ID1=00282410&amp;VALUEID=01201&amp;SDATE=2009&amp;PERIODTYPE=ANN_STD&amp;window=popup_no_bar&amp;width=385&amp;height=120&amp;START_MAXIMIZED=FALSE&amp;creator=factset&amp;display_string=Audit"}</definedName>
    <definedName name="_553__FDSAUDITLINK__" hidden="1">{"fdsup://directions/FAT Viewer?action=UPDATE&amp;creator=factset&amp;DYN_ARGS=TRUE&amp;DOC_NAME=FAT:FQL_AUDITING_CLIENT_TEMPLATE.FAT&amp;display_string=Audit&amp;VAR:KEY=ABQBAZYRKJ&amp;VAR:QUERY=RkZfQ0FQRVgoQU5OLDIwMDksLCwsSUNfQ1VSUkVOQ1lfSVNPKCksTSk=&amp;WINDOW=FIRST_POPUP&amp;HEIGHT=45","0&amp;WIDTH=450&amp;START_MAXIMIZED=FALSE&amp;VAR:CALENDAR=US&amp;VAR:SYMBOL=00282410&amp;VAR:INDEX=0"}</definedName>
    <definedName name="_554__FDSAUDITLINK__" hidden="1">{"fdsup://Directions/FactSet Auditing Viewer?action=AUDIT_VALUE&amp;DB=129&amp;ID1=00282410&amp;VALUEID=05194&amp;SDATE=2009&amp;PERIODTYPE=ANNR_STD&amp;window=popup_no_bar&amp;width=385&amp;height=120&amp;START_MAXIMIZED=FALSE&amp;creator=factset&amp;display_string=Audit"}</definedName>
    <definedName name="_555__FDSAUDITLINK__" hidden="1">{"fdsup://directions/FAT Viewer?action=UPDATE&amp;creator=factset&amp;DYN_ARGS=TRUE&amp;DOC_NAME=FAT:FQL_AUDITING_CLIENT_TEMPLATE.FAT&amp;display_string=Audit&amp;VAR:KEY=UJUBMLQXGN&amp;VAR:QUERY=RkZfRVBTX0RJTChBTk4sMjAwOSwsLCxJQ19DVVJSRU5DWV9JU08oKSk=&amp;WINDOW=FIRST_POPUP&amp;HEIGHT=45","0&amp;WIDTH=450&amp;START_MAXIMIZED=FALSE&amp;VAR:CALENDAR=US&amp;VAR:SYMBOL=00282410&amp;VAR:INDEX=0"}</definedName>
    <definedName name="_556__FDSAUDITLINK__" hidden="1">{"fdsup://directions/FAT Viewer?action=UPDATE&amp;creator=factset&amp;DYN_ARGS=TRUE&amp;DOC_NAME=FAT:FQL_AUDITING_CLIENT_TEMPLATE.FAT&amp;display_string=Audit&amp;VAR:KEY=MBODWDOHKB&amp;VAR:QUERY=RkZfSU5UX0VYUF9ORVQoTFRNUywwLCwsLElDX0NVUlJFTkNZX0lTTygpKQ==&amp;WINDOW=FIRST_POPUP&amp;HEIGH","T=450&amp;WIDTH=450&amp;START_MAXIMIZED=FALSE&amp;VAR:CALENDAR=US&amp;VAR:SYMBOL=00282410&amp;VAR:INDEX=0"}</definedName>
    <definedName name="_557__FDSAUDITLINK__" hidden="1">{"fdsup://directions/FAT Viewer?action=UPDATE&amp;creator=factset&amp;DYN_ARGS=TRUE&amp;DOC_NAME=FAT:FQL_AUDITING_CLIENT_TEMPLATE.FAT&amp;display_string=Audit&amp;VAR:KEY=CDUDOLIHSH&amp;VAR:QUERY=RkZfTkVUX0lOQyhMVE1TLDAsLCwsSUNfQ1VSUkVOQ1lfSVNPKCkp&amp;WINDOW=FIRST_POPUP&amp;HEIGHT=450&amp;WI","DTH=450&amp;START_MAXIMIZED=FALSE&amp;VAR:CALENDAR=US&amp;VAR:SYMBOL=00282410&amp;VAR:INDEX=0"}</definedName>
    <definedName name="_558__FDSAUDITLINK__" hidden="1">{"fdsup://directions/FAT Viewer?action=UPDATE&amp;creator=factset&amp;DYN_ARGS=TRUE&amp;DOC_NAME=FAT:FQL_AUDITING_CLIENT_TEMPLATE.FAT&amp;display_string=Audit&amp;VAR:KEY=QFQBMPSZKF&amp;VAR:QUERY=RkZfRUJJVF9PUEVSKExUTVMsMCwsLCxJQ19DVVJSRU5DWV9JU08oKSk=&amp;WINDOW=FIRST_POPUP&amp;HEIGHT=45","0&amp;WIDTH=450&amp;START_MAXIMIZED=FALSE&amp;VAR:CALENDAR=US&amp;VAR:SYMBOL=00282410&amp;VAR:INDEX=0"}</definedName>
    <definedName name="_559__FDSAUDITLINK__" hidden="1">{"fdsup://directions/FAT Viewer?action=UPDATE&amp;creator=factset&amp;DYN_ARGS=TRUE&amp;DOC_NAME=FAT:FQL_AUDITING_CLIENT_TEMPLATE.FAT&amp;display_string=Audit&amp;VAR:KEY=QTQHADAHUN&amp;VAR:QUERY=RkZfRUJJVERBX09QRVIoTFRNUywwLCwsLElDX0NVUlJFTkNZX0lTTygpKQ==&amp;WINDOW=FIRST_POPUP&amp;HEIGH","T=450&amp;WIDTH=450&amp;START_MAXIMIZED=FALSE&amp;VAR:CALENDAR=US&amp;VAR:SYMBOL=00282410&amp;VAR:INDEX=0"}</definedName>
    <definedName name="_56__123Graph_CCHART_3" hidden="1">'[4]Inputs and Calc'!$BG$250:$BK$250</definedName>
    <definedName name="_56__FDSAUDITLINK__" hidden="1">{"fdsup://directions/FAT Viewer?action=UPDATE&amp;creator=factset&amp;DYN_ARGS=TRUE&amp;DOC_NAME=FAT:FQL_AUDITING_CLIENT_TEMPLATE.FAT&amp;display_string=Audit&amp;VAR:KEY=ZIRKBEJQFW&amp;VAR:QUERY=RkZfRUJJVChBTk4sLTFBWSk=&amp;WINDOW=FIRST_POPUP&amp;HEIGHT=450&amp;WIDTH=450&amp;START_MAXIMIZED=FALS","E&amp;VAR:CALENDAR=FIVEDAY&amp;VAR:SYMBOL=685876&amp;VAR:INDEX=0"}</definedName>
    <definedName name="_560__FDSAUDITLINK__" hidden="1">{"fdsup://Directions/FactSet Auditing Viewer?action=AUDIT_VALUE&amp;DB=129&amp;ID1=00282410&amp;VALUEID=01250&amp;SDATE=2009&amp;PERIODTYPE=ANN_STD&amp;window=popup_no_bar&amp;width=385&amp;height=120&amp;START_MAXIMIZED=FALSE&amp;creator=factset&amp;display_string=Audit"}</definedName>
    <definedName name="_561__FDSAUDITLINK__" hidden="1">{"fdsup://directions/FAT Viewer?action=UPDATE&amp;creator=factset&amp;DYN_ARGS=TRUE&amp;DOC_NAME=FAT:FQL_AUDITING_CLIENT_TEMPLATE.FAT&amp;display_string=Audit&amp;VAR:KEY=ARIPYZSJGR&amp;VAR:QUERY=RkZfRUJJVF9PUEVSKEFOTiwyMDA5LCwsLElDX0NVUlJFTkNZX0lTTygpLE0p&amp;WINDOW=FIRST_POPUP&amp;HEIGH","T=450&amp;WIDTH=450&amp;START_MAXIMIZED=FALSE&amp;VAR:CALENDAR=US&amp;VAR:SYMBOL=00282410&amp;VAR:INDEX=0"}</definedName>
    <definedName name="_562__FDSAUDITLINK__" hidden="1">{"fdsup://Directions/FactSet Auditing Viewer?action=AUDIT_VALUE&amp;DB=129&amp;ID1=00282410&amp;VALUEID=01151&amp;SDATE=2009&amp;PERIODTYPE=ANN_STD&amp;window=popup_no_bar&amp;width=385&amp;height=120&amp;START_MAXIMIZED=FALSE&amp;creator=factset&amp;display_string=Audit"}</definedName>
    <definedName name="_563__FDSAUDITLINK__" hidden="1">{"fdsup://directions/FAT Viewer?action=UPDATE&amp;creator=factset&amp;DYN_ARGS=TRUE&amp;DOC_NAME=FAT:FQL_AUDITING_CLIENT_TEMPLATE.FAT&amp;display_string=Audit&amp;VAR:KEY=WHWJEZQPMX&amp;VAR:QUERY=RkZfRUJJVERBX09QRVIoQU5OLDIwMDksLCwsSUNfQ1VSUkVOQ1lfSVNPKCksTSk=&amp;WINDOW=FIRST_POPUP&amp;H","EIGHT=450&amp;WIDTH=450&amp;START_MAXIMIZED=FALSE&amp;VAR:CALENDAR=US&amp;VAR:SYMBOL=00282410&amp;VAR:INDEX=0"}</definedName>
    <definedName name="_564__FDSAUDITLINK__" hidden="1">{"fdsup://Directions/FactSet Auditing Viewer?action=AUDIT_VALUE&amp;DB=129&amp;ID1=00282410&amp;VALUEID=01001&amp;SDATE=2009&amp;PERIODTYPE=ANN_STD&amp;window=popup_no_bar&amp;width=385&amp;height=120&amp;START_MAXIMIZED=FALSE&amp;creator=factset&amp;display_string=Audit"}</definedName>
    <definedName name="_565__FDSAUDITLINK__" hidden="1">{"fdsup://Directions/FactSet Auditing Viewer?action=AUDIT_VALUE&amp;DB=129&amp;ID1=573282&amp;VALUEID=03051&amp;SDATE=201004&amp;PERIODTYPE=QTR_STD&amp;window=popup_no_bar&amp;width=385&amp;height=120&amp;START_MAXIMIZED=FALSE&amp;creator=factset&amp;display_string=Audit"}</definedName>
    <definedName name="_566__FDSAUDITLINK__" hidden="1">{"fdsup://directions/FAT Viewer?action=UPDATE&amp;creator=factset&amp;DYN_ARGS=TRUE&amp;DOC_NAME=FAT:FQL_AUDITING_CLIENT_TEMPLATE.FAT&amp;display_string=Audit&amp;VAR:KEY=DIDSNQHYXA&amp;VAR:QUERY=KCgoRkZfREVCVF9MVChRVFIsNDA1ODMsLCwsSUNfQ1VSUkVOQ1lfSVNPKCkpQEZGX0RFQlRfTFQoU0VNSSw0M","DU4MywsLCxJQ19DVVJSRU5DWV9JU08oKSkpQEZGX0RFQlRfTFQoQU5OLDQwNTgzLCwsLElDX0NVUlJFTkNZX0lTTygpKSlARkZfREVCVF9MVChNT04sNDA1ODMsLCwsSUNfQ1VSUkVOQ1lfSVNPKCkpKQ==&amp;WINDOW=FIRST_POPUP&amp;HEIGHT=450&amp;WIDTH=450&amp;START_MAXIMIZED=FALSE&amp;VAR:CALENDAR=US&amp;VAR:SYMBOL=573282&amp;VAR",":INDEX=0"}</definedName>
    <definedName name="_567__FDSAUDITLINK__" hidden="1">{"fdsup://Directions/FactSet Auditing Viewer?action=AUDIT_VALUE&amp;DB=129&amp;ID1=B16GWD&amp;VALUEID=02001&amp;SDATE=201001&amp;PERIODTYPE=SEMI_STD&amp;window=popup_no_bar&amp;width=385&amp;height=120&amp;START_MAXIMIZED=FALSE&amp;creator=factset&amp;display_string=Audit"}</definedName>
    <definedName name="_568__FDSAUDITLINK__" hidden="1">{"fdsup://Directions/FactSet Auditing Viewer?action=AUDIT_VALUE&amp;DB=129&amp;ID1=B16GWD&amp;VALUEID=03051&amp;SDATE=201001&amp;PERIODTYPE=SEMI_STD&amp;window=popup_no_bar&amp;width=385&amp;height=120&amp;START_MAXIMIZED=FALSE&amp;creator=factset&amp;display_string=Audit"}</definedName>
    <definedName name="_569__FDSAUDITLINK__" hidden="1">{"fdsup://directions/FAT Viewer?action=UPDATE&amp;creator=factset&amp;DYN_ARGS=TRUE&amp;DOC_NAME=FAT:FQL_AUDITING_CLIENT_TEMPLATE.FAT&amp;display_string=Audit&amp;VAR:KEY=HGHEPIPENQ&amp;VAR:QUERY=KCgoRkZfREVCVF9MVChRVFIsNDA1ODMsLCwsSUNfQ1VSUkVOQ1lfSVNPKCkpQEZGX0RFQlRfTFQoU0VNSSw0M","DU4MywsLCxJQ19DVVJSRU5DWV9JU08oKSkpQEZGX0RFQlRfTFQoQU5OLDQwNTgzLCwsLElDX0NVUlJFTkNZX0lTTygpKSlARkZfREVCVF9MVChNT04sNDA1ODMsLCwsSUNfQ1VSUkVOQ1lfSVNPKCkpKQ==&amp;WINDOW=FIRST_POPUP&amp;HEIGHT=450&amp;WIDTH=450&amp;START_MAXIMIZED=FALSE&amp;VAR:CALENDAR=US&amp;VAR:SYMBOL=B16GWD&amp;VAR",":INDEX=0"}</definedName>
    <definedName name="_57__123Graph_CCHART_31" hidden="1">'[2]Hrs Wkd Per T'!$G$20:$AP$20</definedName>
    <definedName name="_57__FDSAUDITLINK__" hidden="1">{"fdsup://Directions/FactSet Auditing Viewer?action=AUDIT_VALUE&amp;DB=129&amp;ID1=60782810&amp;VALUEID=01001&amp;SDATE=2007&amp;PERIODTYPE=ANN_STD&amp;SCFT=3&amp;window=popup_no_bar&amp;width=385&amp;height=120&amp;START_MAXIMIZED=FALSE&amp;creator=factset&amp;display_string=Audit"}</definedName>
    <definedName name="_570__FDSAUDITLINK__" hidden="1">{"fdsup://Directions/FactSet Auditing Viewer?action=AUDIT_VALUE&amp;DB=129&amp;ID1=B16GWD&amp;VALUEID=18821&amp;SDATE=2009&amp;PERIODTYPE=ANN_STD&amp;window=popup_no_bar&amp;width=385&amp;height=120&amp;START_MAXIMIZED=FALSE&amp;creator=factset&amp;display_string=Audit"}</definedName>
    <definedName name="_571__FDSAUDITLINK__" hidden="1">{"fdsup://Directions/FactSet Auditing Viewer?action=AUDIT_VALUE&amp;DB=129&amp;ID1=B16GWD&amp;VALUEID=03426&amp;SDATE=201001&amp;PERIODTYPE=SEMI_STD&amp;window=popup_no_bar&amp;width=385&amp;height=120&amp;START_MAXIMIZED=FALSE&amp;creator=factset&amp;display_string=Audit"}</definedName>
    <definedName name="_572__FDSAUDITLINK__" hidden="1">{"fdsup://directions/FAT Viewer?action=UPDATE&amp;creator=factset&amp;DYN_ARGS=TRUE&amp;DOC_NAME=FAT:FQL_AUDITING_CLIENT_TEMPLATE.FAT&amp;display_string=Audit&amp;VAR:KEY=RYZCFGZCNQ&amp;VAR:QUERY=RkZfRUJJVERBX09QRVIoQU5OLDIwMTAsLCwsSUNfQ1VSUkVOQ1lfSVNPKCksTSk=&amp;WINDOW=FIRST_POPUP&amp;H","EIGHT=450&amp;WIDTH=450&amp;START_MAXIMIZED=FALSE&amp;VAR:CALENDAR=US&amp;VAR:SYMBOL=B16GWD&amp;VAR:INDEX=0"}</definedName>
    <definedName name="_573__FDSAUDITLINK__" hidden="1">{"fdsup://directions/FAT Viewer?action=UPDATE&amp;creator=factset&amp;DYN_ARGS=TRUE&amp;DOC_NAME=FAT:FQL_AUDITING_CLIENT_TEMPLATE.FAT&amp;display_string=Audit&amp;VAR:KEY=XUBKTEZILW&amp;VAR:QUERY=RkZfQ0FQRVgoQU5OLDIwMTAsLCwsSUNfQ1VSUkVOQ1lfSVNPKCksTSk=&amp;WINDOW=FIRST_POPUP&amp;HEIGHT=45","0&amp;WIDTH=450&amp;START_MAXIMIZED=FALSE&amp;VAR:CALENDAR=US&amp;VAR:SYMBOL=B16GWD&amp;VAR:INDEX=0"}</definedName>
    <definedName name="_574__FDSAUDITLINK__" hidden="1">{"fdsup://Directions/FactSet Auditing Viewer?action=AUDIT_VALUE&amp;DB=129&amp;ID1=B16GWD&amp;VALUEID=01001&amp;SDATE=2008&amp;PERIODTYPE=ANN_STD&amp;window=popup_no_bar&amp;width=385&amp;height=120&amp;START_MAXIMIZED=FALSE&amp;creator=factset&amp;display_string=Audit"}</definedName>
    <definedName name="_575__FDSAUDITLINK__" hidden="1">{"fdsup://directions/FAT Viewer?action=UPDATE&amp;creator=factset&amp;DYN_ARGS=TRUE&amp;DOC_NAME=FAT:FQL_AUDITING_CLIENT_TEMPLATE.FAT&amp;display_string=Audit&amp;VAR:KEY=LKREBWVOVU&amp;VAR:QUERY=RkZfRUJJVERBX09QRVIoQU5OLDIwMDgsLCwsSUNfQ1VSUkVOQ1lfSVNPKCksTSk=&amp;WINDOW=FIRST_POPUP&amp;H","EIGHT=450&amp;WIDTH=450&amp;START_MAXIMIZED=FALSE&amp;VAR:CALENDAR=US&amp;VAR:SYMBOL=B16GWD&amp;VAR:INDEX=0"}</definedName>
    <definedName name="_576__FDSAUDITLINK__" hidden="1">{"fdsup://Directions/FactSet Auditing Viewer?action=AUDIT_VALUE&amp;DB=129&amp;ID1=B16GWD&amp;VALUEID=01151&amp;SDATE=2008&amp;PERIODTYPE=ANN_STD&amp;window=popup_no_bar&amp;width=385&amp;height=120&amp;START_MAXIMIZED=FALSE&amp;creator=factset&amp;display_string=Audit"}</definedName>
    <definedName name="_577__FDSAUDITLINK__" hidden="1">{"fdsup://directions/FAT Viewer?action=UPDATE&amp;creator=factset&amp;DYN_ARGS=TRUE&amp;DOC_NAME=FAT:FQL_AUDITING_CLIENT_TEMPLATE.FAT&amp;display_string=Audit&amp;VAR:KEY=ZCNSDCVQVU&amp;VAR:QUERY=RkZfRUJJVF9PUEVSKEFOTiwyMDA4LCwsLElDX0NVUlJFTkNZX0lTTygpLE0p&amp;WINDOW=FIRST_POPUP&amp;HEIGH","T=450&amp;WIDTH=450&amp;START_MAXIMIZED=FALSE&amp;VAR:CALENDAR=US&amp;VAR:SYMBOL=B16GWD&amp;VAR:INDEX=0"}</definedName>
    <definedName name="_578__FDSAUDITLINK__" hidden="1">{"fdsup://Directions/FactSet Auditing Viewer?action=AUDIT_VALUE&amp;DB=129&amp;ID1=B16GWD&amp;VALUEID=01250&amp;SDATE=2008&amp;PERIODTYPE=ANN_STD&amp;window=popup_no_bar&amp;width=385&amp;height=120&amp;START_MAXIMIZED=FALSE&amp;creator=factset&amp;display_string=Audit"}</definedName>
    <definedName name="_579__FDSAUDITLINK__" hidden="1">{"fdsup://directions/FAT Viewer?action=UPDATE&amp;creator=factset&amp;DYN_ARGS=TRUE&amp;DOC_NAME=FAT:FQL_AUDITING_CLIENT_TEMPLATE.FAT&amp;display_string=Audit&amp;VAR:KEY=FEVYJEHWRU&amp;VAR:QUERY=RkZfRVBTX0RJTChBTk4sMjAwOCwsLCxJQ19DVVJSRU5DWV9JU08oKSk=&amp;WINDOW=FIRST_POPUP&amp;HEIGHT=45","0&amp;WIDTH=450&amp;START_MAXIMIZED=FALSE&amp;VAR:CALENDAR=US&amp;VAR:SYMBOL=B16GWD&amp;VAR:INDEX=0"}</definedName>
    <definedName name="_58__123Graph_CCHART_32" hidden="1">'[2]Hrs Wkd Per T'!$G$18:$AP$18</definedName>
    <definedName name="_58__FDSAUDITLINK__" hidden="1">{"fdsup://Directions/FactSet Auditing Viewer?action=AUDIT_VALUE&amp;DB=129&amp;ID1=60782810&amp;VALUEID=01001&amp;SDATE=2005&amp;PERIODTYPE=ANN_STD&amp;SCFT=3&amp;window=popup_no_bar&amp;width=385&amp;height=120&amp;START_MAXIMIZED=FALSE&amp;creator=factset&amp;display_string=Audit"}</definedName>
    <definedName name="_580__FDSAUDITLINK__" hidden="1">{"fdsup://directions/FAT Viewer?action=UPDATE&amp;creator=factset&amp;DYN_ARGS=TRUE&amp;DOC_NAME=FAT:FQL_AUDITING_CLIENT_TEMPLATE.FAT&amp;display_string=Audit&amp;VAR:KEY=DOFEBIBUPA&amp;VAR:QUERY=RkZfQ0FQRVgoQU5OLDIwMDgsLCwsSUNfQ1VSUkVOQ1lfSVNPKCksTSk=&amp;WINDOW=FIRST_POPUP&amp;HEIGHT=45","0&amp;WIDTH=450&amp;START_MAXIMIZED=FALSE&amp;VAR:CALENDAR=US&amp;VAR:SYMBOL=B16GWD&amp;VAR:INDEX=0"}</definedName>
    <definedName name="_581__FDSAUDITLINK__" hidden="1">{"fdsup://Directions/FactSet Auditing Viewer?action=AUDIT_VALUE&amp;DB=129&amp;ID1=B16GWD&amp;VALUEID=01201&amp;SDATE=2008&amp;PERIODTYPE=ANN_STD&amp;window=popup_no_bar&amp;width=385&amp;height=120&amp;START_MAXIMIZED=FALSE&amp;creator=factset&amp;display_string=Audit"}</definedName>
    <definedName name="_582__FDSAUDITLINK__" hidden="1">{"fdsup://Directions/FactSet Auditing Viewer?action=AUDIT_VALUE&amp;DB=129&amp;ID1=B16GWD&amp;VALUEID=04831&amp;SDATE=2008&amp;PERIODTYPE=ANN_STD&amp;window=popup_no_bar&amp;width=385&amp;height=120&amp;START_MAXIMIZED=FALSE&amp;creator=factset&amp;display_string=Audit"}</definedName>
    <definedName name="_583__FDSAUDITLINK__" hidden="1">{"fdsup://Directions/FactSet Auditing Viewer?action=AUDIT_VALUE&amp;DB=129&amp;ID1=B16GWD&amp;VALUEID=05194&amp;SDATE=2009&amp;PERIODTYPE=ANNR_STD&amp;window=popup_no_bar&amp;width=385&amp;height=120&amp;START_MAXIMIZED=FALSE&amp;creator=factset&amp;display_string=Audit"}</definedName>
    <definedName name="_584__FDSAUDITLINK__" hidden="1">{"fdsup://Directions/FactSet Auditing Viewer?action=AUDIT_VALUE&amp;DB=129&amp;ID1=B16GWD&amp;VALUEID=05194&amp;SDATE=2007&amp;PERIODTYPE=ANNR_STD&amp;window=popup_no_bar&amp;width=385&amp;height=120&amp;START_MAXIMIZED=FALSE&amp;creator=factset&amp;display_string=Audit"}</definedName>
    <definedName name="_585__FDSAUDITLINK__" hidden="1">{"fdsup://Directions/FactSet Auditing Viewer?action=AUDIT_VALUE&amp;DB=129&amp;ID1=B16GWD&amp;VALUEID=04831&amp;SDATE=2009&amp;PERIODTYPE=ANN_STD&amp;window=popup_no_bar&amp;width=385&amp;height=120&amp;START_MAXIMIZED=FALSE&amp;creator=factset&amp;display_string=Audit"}</definedName>
    <definedName name="_586__FDSAUDITLINK__" hidden="1">{"fdsup://Directions/FactSet Auditing Viewer?action=AUDIT_VALUE&amp;DB=129&amp;ID1=B16GWD&amp;VALUEID=01201&amp;SDATE=2009&amp;PERIODTYPE=ANN_STD&amp;window=popup_no_bar&amp;width=385&amp;height=120&amp;START_MAXIMIZED=FALSE&amp;creator=factset&amp;display_string=Audit"}</definedName>
    <definedName name="_587__FDSAUDITLINK__" hidden="1">{"fdsup://directions/FAT Viewer?action=UPDATE&amp;creator=factset&amp;DYN_ARGS=TRUE&amp;DOC_NAME=FAT:FQL_AUDITING_CLIENT_TEMPLATE.FAT&amp;display_string=Audit&amp;VAR:KEY=DGJYPOBKRO&amp;VAR:QUERY=RkZfQ0FQRVgoQU5OLDIwMDksLCwsSUNfQ1VSUkVOQ1lfSVNPKCksTSk=&amp;WINDOW=FIRST_POPUP&amp;HEIGHT=45","0&amp;WIDTH=450&amp;START_MAXIMIZED=FALSE&amp;VAR:CALENDAR=US&amp;VAR:SYMBOL=B16GWD&amp;VAR:INDEX=0"}</definedName>
    <definedName name="_588__FDSAUDITLINK__" hidden="1">{"fdsup://Directions/FactSet Auditing Viewer?action=AUDIT_VALUE&amp;DB=129&amp;ID1=B16GWD&amp;VALUEID=05194&amp;SDATE=2008&amp;PERIODTYPE=ANNR_STD&amp;window=popup_no_bar&amp;width=385&amp;height=120&amp;START_MAXIMIZED=FALSE&amp;creator=factset&amp;display_string=Audit"}</definedName>
    <definedName name="_589__FDSAUDITLINK__" hidden="1">{"fdsup://directions/FAT Viewer?action=UPDATE&amp;creator=factset&amp;DYN_ARGS=TRUE&amp;DOC_NAME=FAT:FQL_AUDITING_CLIENT_TEMPLATE.FAT&amp;display_string=Audit&amp;VAR:KEY=XGXWBUFAVW&amp;VAR:QUERY=RkZfRVBTX0RJTChBTk4sMjAwOSwsLCxJQ19DVVJSRU5DWV9JU08oKSk=&amp;WINDOW=FIRST_POPUP&amp;HEIGHT=45","0&amp;WIDTH=450&amp;START_MAXIMIZED=FALSE&amp;VAR:CALENDAR=US&amp;VAR:SYMBOL=B16GWD&amp;VAR:INDEX=0"}</definedName>
    <definedName name="_59__123Graph_CCHART_33" hidden="1">'[2]Hrs Wkd Per T'!$G$28:$AP$28</definedName>
    <definedName name="_59__FDSAUDITLINK__" hidden="1">{"fdsup://Directions/FactSet Auditing Viewer?action=AUDIT_VALUE&amp;DB=129&amp;ID1=92839U20&amp;VALUEID=01001&amp;SDATE=2009&amp;PERIODTYPE=ANN_STD&amp;SCFT=3&amp;window=popup_no_bar&amp;width=385&amp;height=120&amp;START_MAXIMIZED=FALSE&amp;creator=factset&amp;display_string=Audit"}</definedName>
    <definedName name="_590__FDSAUDITLINK__" hidden="1">{"fdsup://directions/FAT Viewer?action=UPDATE&amp;creator=factset&amp;DYN_ARGS=TRUE&amp;DOC_NAME=FAT:FQL_AUDITING_CLIENT_TEMPLATE.FAT&amp;display_string=Audit&amp;VAR:KEY=DCPYLYRGXI&amp;VAR:QUERY=RkZfTkVUX0lOQyhMVE1TLDAsLCwsSUNfQ1VSUkVOQ1lfSVNPKCkp&amp;WINDOW=FIRST_POPUP&amp;HEIGHT=450&amp;WI","DTH=450&amp;START_MAXIMIZED=FALSE&amp;VAR:CALENDAR=US&amp;VAR:SYMBOL=B16GWD&amp;VAR:INDEX=0"}</definedName>
    <definedName name="_591__FDSAUDITLINK__" hidden="1">{"fdsup://directions/FAT Viewer?action=UPDATE&amp;creator=factset&amp;DYN_ARGS=TRUE&amp;DOC_NAME=FAT:FQL_AUDITING_CLIENT_TEMPLATE.FAT&amp;display_string=Audit&amp;VAR:KEY=JMJIXSNKDW&amp;VAR:QUERY=RkZfRUJJVERBX09QRVIoTFRNUywwLCwsLElDX0NVUlJFTkNZX0lTTygpKQ==&amp;WINDOW=FIRST_POPUP&amp;HEIGH","T=450&amp;WIDTH=450&amp;START_MAXIMIZED=FALSE&amp;VAR:CALENDAR=US&amp;VAR:SYMBOL=B16GWD&amp;VAR:INDEX=0"}</definedName>
    <definedName name="_592__FDSAUDITLINK__" hidden="1">{"fdsup://directions/FAT Viewer?action=UPDATE&amp;creator=factset&amp;DYN_ARGS=TRUE&amp;DOC_NAME=FAT:FQL_AUDITING_CLIENT_TEMPLATE.FAT&amp;display_string=Audit&amp;VAR:KEY=BYRCHCDYTY&amp;VAR:QUERY=RkZfSU5UX0VYUF9ORVQoTFRNUywwLCwsLElDX0NVUlJFTkNZX0lTTygpKQ==&amp;WINDOW=FIRST_POPUP&amp;HEIGH","T=450&amp;WIDTH=450&amp;START_MAXIMIZED=FALSE&amp;VAR:CALENDAR=US&amp;VAR:SYMBOL=B16GWD&amp;VAR:INDEX=0"}</definedName>
    <definedName name="_593__FDSAUDITLINK__" hidden="1">{"fdsup://Directions/FactSet Auditing Viewer?action=AUDIT_VALUE&amp;DB=129&amp;ID1=B16GWD&amp;VALUEID=18821&amp;SDATE=2009&amp;PERIODTYPE=ANN_STD&amp;window=popup_no_bar&amp;width=385&amp;height=120&amp;START_MAXIMIZED=FALSE&amp;creator=factset&amp;display_string=Audit"}</definedName>
    <definedName name="_594__FDSAUDITLINK__" hidden="1">{"fdsup://Directions/FactSet Auditing Viewer?action=AUDIT_VALUE&amp;DB=129&amp;ID1=B16GWD&amp;VALUEID=01250&amp;SDATE=2009&amp;PERIODTYPE=ANN_STD&amp;window=popup_no_bar&amp;width=385&amp;height=120&amp;START_MAXIMIZED=FALSE&amp;creator=factset&amp;display_string=Audit"}</definedName>
    <definedName name="_595__FDSAUDITLINK__" hidden="1">{"fdsup://directions/FAT Viewer?action=UPDATE&amp;creator=factset&amp;DYN_ARGS=TRUE&amp;DOC_NAME=FAT:FQL_AUDITING_CLIENT_TEMPLATE.FAT&amp;display_string=Audit&amp;VAR:KEY=BIXSZCJWJM&amp;VAR:QUERY=RkZfRUJJVF9PUEVSKEFOTiwyMDA5LCwsLElDX0NVUlJFTkNZX0lTTygpLE0p&amp;WINDOW=FIRST_POPUP&amp;HEIGH","T=450&amp;WIDTH=450&amp;START_MAXIMIZED=FALSE&amp;VAR:CALENDAR=US&amp;VAR:SYMBOL=B16GWD&amp;VAR:INDEX=0"}</definedName>
    <definedName name="_596__FDSAUDITLINK__" hidden="1">{"fdsup://Directions/FactSet Auditing Viewer?action=AUDIT_VALUE&amp;DB=129&amp;ID1=B16GWD&amp;VALUEID=01151&amp;SDATE=2009&amp;PERIODTYPE=ANN_STD&amp;window=popup_no_bar&amp;width=385&amp;height=120&amp;START_MAXIMIZED=FALSE&amp;creator=factset&amp;display_string=Audit"}</definedName>
    <definedName name="_597__FDSAUDITLINK__" hidden="1">{"fdsup://directions/FAT Viewer?action=UPDATE&amp;creator=factset&amp;DYN_ARGS=TRUE&amp;DOC_NAME=FAT:FQL_AUDITING_CLIENT_TEMPLATE.FAT&amp;display_string=Audit&amp;VAR:KEY=RQBAZQBSXS&amp;VAR:QUERY=RkZfRUJJVERBX09QRVIoQU5OLDIwMDksLCwsSUNfQ1VSUkVOQ1lfSVNPKCksTSk=&amp;WINDOW=FIRST_POPUP&amp;H","EIGHT=450&amp;WIDTH=450&amp;START_MAXIMIZED=FALSE&amp;VAR:CALENDAR=US&amp;VAR:SYMBOL=B16GWD&amp;VAR:INDEX=0"}</definedName>
    <definedName name="_598__FDSAUDITLINK__" hidden="1">{"fdsup://Directions/FactSet Auditing Viewer?action=AUDIT_VALUE&amp;DB=129&amp;ID1=B16GWD&amp;VALUEID=01001&amp;SDATE=2009&amp;PERIODTYPE=ANN_STD&amp;window=popup_no_bar&amp;width=385&amp;height=120&amp;START_MAXIMIZED=FALSE&amp;creator=factset&amp;display_string=Audit"}</definedName>
    <definedName name="_599__FDSAUDITLINK__" hidden="1">{"fdsup://Directions/FactSet Auditing Viewer?action=AUDIT_VALUE&amp;DB=129&amp;ID1=B16GWD&amp;VALUEID=02001&amp;SDATE=201001&amp;PERIODTYPE=SEMI_STD&amp;window=popup_no_bar&amp;width=385&amp;height=120&amp;START_MAXIMIZED=FALSE&amp;creator=factset&amp;display_string=Audit"}</definedName>
    <definedName name="_6__FDSAUDITLINK__" hidden="1">{"fdsup://directions/FAT Viewer?action=UPDATE&amp;creator=factset&amp;DYN_ARGS=TRUE&amp;DOC_NAME=FAT:FQL_AUDITING_CLIENT_TEMPLATE.FAT&amp;display_string=Audit&amp;VAR:KEY=VGBOVMNQJA&amp;VAR:QUERY=RkZfRUJJVERBX09QRVIoTFRNLDAp&amp;WINDOW=FIRST_POPUP&amp;HEIGHT=450&amp;WIDTH=450&amp;START_MAXIMIZED=","FALSE&amp;VAR:CALENDAR=FIVEDAY&amp;VAR:SYMBOL=623864&amp;VAR:INDEX=0"}</definedName>
    <definedName name="_60__123Graph_CCHART_34" hidden="1">'[2]Hrs Wkd Per T'!$G$42:$AP$42</definedName>
    <definedName name="_60__FDSAUDITLINK__" hidden="1">{"fdsup://Directions/FactSet Auditing Viewer?action=AUDIT_VALUE&amp;DB=129&amp;ID1=92839U20&amp;VALUEID=01001&amp;SDATE=2008&amp;PERIODTYPE=ANN_STD&amp;SCFT=3&amp;window=popup_no_bar&amp;width=385&amp;height=120&amp;START_MAXIMIZED=FALSE&amp;creator=factset&amp;display_string=Audit"}</definedName>
    <definedName name="_600__FDSAUDITLINK__" hidden="1">{"fdsup://Directions/FactSet Auditing Viewer?action=AUDIT_VALUE&amp;DB=129&amp;ID1=B16GWD&amp;VALUEID=03051&amp;SDATE=201001&amp;PERIODTYPE=SEMI_STD&amp;window=popup_no_bar&amp;width=385&amp;height=120&amp;START_MAXIMIZED=FALSE&amp;creator=factset&amp;display_string=Audit"}</definedName>
    <definedName name="_601__FDSAUDITLINK__" hidden="1">{"fdsup://directions/FAT Viewer?action=UPDATE&amp;creator=factset&amp;DYN_ARGS=TRUE&amp;DOC_NAME=FAT:FQL_AUDITING_CLIENT_TEMPLATE.FAT&amp;display_string=Audit&amp;VAR:KEY=ABMNWBYZAF&amp;VAR:QUERY=KCgoRkZfREVCVF9MVChRVFIsNDA1ODMsLCwsSUNfQ1VSUkVOQ1lfSVNPKCkpQEZGX0RFQlRfTFQoU0VNSSw0M","DU4MywsLCxJQ19DVVJSRU5DWV9JU08oKSkpQEZGX0RFQlRfTFQoTU9OLDQwNTgzLCwsLElDX0NVUlJFTkNZX0lTTygpKSlARkZfREVCVF9MVChBTk4sNDA1ODMsLCwsSUNfQ1VSUkVOQ1lfSVNPKCkpKQ==&amp;WINDOW=FIRST_POPUP&amp;HEIGHT=450&amp;WIDTH=450&amp;START_MAXIMIZED=FALSE&amp;VAR:CALENDAR=US&amp;VAR:SYMBOL=B16GWD&amp;VAR",":INDEX=0"}</definedName>
    <definedName name="_602__FDSAUDITLINK__" hidden="1">{"fdsup://Directions/FactSet Auditing Viewer?action=AUDIT_VALUE&amp;DB=129&amp;ID1=B16GWD&amp;VALUEID=03426&amp;SDATE=201001&amp;PERIODTYPE=SEMI_STD&amp;window=popup_no_bar&amp;width=385&amp;height=120&amp;START_MAXIMIZED=FALSE&amp;creator=factset&amp;display_string=Audit"}</definedName>
    <definedName name="_603__FDSAUDITLINK__" hidden="1">{"fdsup://directions/FAT Viewer?action=UPDATE&amp;creator=factset&amp;DYN_ARGS=TRUE&amp;DOC_NAME=FAT:FQL_AUDITING_CLIENT_TEMPLATE.FAT&amp;display_string=Audit&amp;VAR:KEY=TWNQJYFYBW&amp;VAR:QUERY=RkZfRUJJVF9PUEVSKExUTVNfU0VNSSwwLCwsLElDX0NVUlJFTkNZX0lTTygpKQ==&amp;WINDOW=FIRST_POPUP&amp;H","EIGHT=450&amp;WIDTH=450&amp;START_MAXIMIZED=FALSE&amp;VAR:CALENDAR=US&amp;VAR:SYMBOL=B16GWD&amp;VAR:INDEX=0"}</definedName>
    <definedName name="_604__FDSAUDITLINK__" hidden="1">{"fdsup://Directions/FactSet Auditing Viewer?action=AUDIT_VALUE&amp;DB=129&amp;ID1=573282&amp;VALUEID=02001&amp;SDATE=201004&amp;PERIODTYPE=QTR_STD&amp;window=popup_no_bar&amp;width=385&amp;height=120&amp;START_MAXIMIZED=FALSE&amp;creator=factset&amp;display_string=Audit"}</definedName>
    <definedName name="_605__FDSAUDITLINK__" hidden="1">{"fdsup://Directions/FactSet Auditing Viewer?action=AUDIT_VALUE&amp;DB=129&amp;ID1=573282&amp;VALUEID=03051&amp;SDATE=201004&amp;PERIODTYPE=QTR_STD&amp;window=popup_no_bar&amp;width=385&amp;height=120&amp;START_MAXIMIZED=FALSE&amp;creator=factset&amp;display_string=Audit"}</definedName>
    <definedName name="_606__FDSAUDITLINK__" hidden="1">{"fdsup://directions/FAT Viewer?action=UPDATE&amp;creator=factset&amp;DYN_ARGS=TRUE&amp;DOC_NAME=FAT:FQL_AUDITING_CLIENT_TEMPLATE.FAT&amp;display_string=Audit&amp;VAR:KEY=CPAJQFAJAX&amp;VAR:QUERY=KCgoRkZfREVCVF9MVChRVFIsNDA1ODMsLCwsSUNfQ1VSUkVOQ1lfSVNPKCkpQEZGX0RFQlRfTFQoU0VNSSw0M","DU4MywsLCxJQ19DVVJSRU5DWV9JU08oKSkpQEZGX0RFQlRfTFQoTU9OLDQwNTgzLCwsLElDX0NVUlJFTkNZX0lTTygpKSlARkZfREVCVF9MVChBTk4sNDA1ODMsLCwsSUNfQ1VSUkVOQ1lfSVNPKCkpKQ==&amp;WINDOW=FIRST_POPUP&amp;HEIGHT=450&amp;WIDTH=450&amp;START_MAXIMIZED=FALSE&amp;VAR:CALENDAR=US&amp;VAR:SYMBOL=573282&amp;VAR",":INDEX=0"}</definedName>
    <definedName name="_607__FDSAUDITLINK__" hidden="1">{"fdsup://Directions/FactSet Auditing Viewer?action=AUDIT_VALUE&amp;DB=129&amp;ID1=09057220&amp;VALUEID=04831&amp;SDATE=2009&amp;PERIODTYPE=ANN_STD&amp;window=popup_no_bar&amp;width=385&amp;height=120&amp;START_MAXIMIZED=FALSE&amp;creator=factset&amp;display_string=Audit"}</definedName>
    <definedName name="_608__FDSAUDITLINK__" hidden="1">{"fdsup://Directions/FactSet Auditing Viewer?action=AUDIT_VALUE&amp;DB=129&amp;ID1=711038&amp;VALUEID=01201&amp;SDATE=2008&amp;PERIODTYPE=ANN_STD&amp;window=popup_no_bar&amp;width=385&amp;height=120&amp;START_MAXIMIZED=FALSE&amp;creator=factset&amp;display_string=Audit"}</definedName>
    <definedName name="_609__FDSAUDITLINK__" hidden="1">{"fdsup://Directions/FactSet Auditing Viewer?action=AUDIT_VALUE&amp;DB=129&amp;ID1=092528&amp;VALUEID=01250&amp;SDATE=2008&amp;PERIODTYPE=ANN_STD&amp;window=popup_no_bar&amp;width=385&amp;height=120&amp;START_MAXIMIZED=FALSE&amp;creator=factset&amp;display_string=Audit"}</definedName>
    <definedName name="_61__123Graph_CCHART_4" hidden="1">'[4]Inputs and Calc'!$BG$251:$BK$251</definedName>
    <definedName name="_61__FDSAUDITLINK__" hidden="1">{"fdsup://Directions/FactSet Auditing Viewer?action=AUDIT_VALUE&amp;DB=129&amp;ID1=92839U20&amp;VALUEID=01001&amp;SDATE=2007&amp;PERIODTYPE=ANN_STD&amp;SCFT=3&amp;window=popup_no_bar&amp;width=385&amp;height=120&amp;START_MAXIMIZED=FALSE&amp;creator=factset&amp;display_string=Audit"}</definedName>
    <definedName name="_610__FDSAUDITLINK__" hidden="1">{"fdsup://Directions/FactSet Auditing Viewer?action=AUDIT_VALUE&amp;DB=129&amp;ID1=711038&amp;VALUEID=01001&amp;SDATE=2008&amp;PERIODTYPE=ANN_STD&amp;window=popup_no_bar&amp;width=385&amp;height=120&amp;START_MAXIMIZED=FALSE&amp;creator=factset&amp;display_string=Audit"}</definedName>
    <definedName name="_611__FDSAUDITLINK__" hidden="1">{"fdsup://Directions/FactSet Auditing Viewer?action=AUDIT_VALUE&amp;DB=129&amp;ID1=B3KHXB&amp;VALUEID=03451&amp;SDATE=201001&amp;PERIODTYPE=SEMI_STD&amp;window=popup_no_bar&amp;width=385&amp;height=120&amp;START_MAXIMIZED=FALSE&amp;creator=factset&amp;display_string=Audit"}</definedName>
    <definedName name="_612__FDSAUDITLINK__" hidden="1">{"fdsup://Directions/FactSet Auditing Viewer?action=AUDIT_VALUE&amp;DB=129&amp;ID1=09057220&amp;VALUEID=01201&amp;SDATE=2009&amp;PERIODTYPE=ANN_STD&amp;window=popup_no_bar&amp;width=385&amp;height=120&amp;START_MAXIMIZED=FALSE&amp;creator=factset&amp;display_string=Audit"}</definedName>
    <definedName name="_613__FDSAUDITLINK__" hidden="1">{"fdsup://directions/FAT Viewer?action=UPDATE&amp;creator=factset&amp;DYN_ARGS=TRUE&amp;DOC_NAME=FAT:FQL_AUDITING_CLIENT_TEMPLATE.FAT&amp;display_string=Audit&amp;VAR:KEY=ULEVMZMRMV&amp;VAR:QUERY=RkZfRUJJVERBX09QRVIoQU5OLDIwMDksLCwsSUNfQ1VSUkVOQ1lfSVNPKCksTSk=&amp;WINDOW=FIRST_POPUP&amp;H","EIGHT=450&amp;WIDTH=450&amp;START_MAXIMIZED=FALSE&amp;VAR:CALENDAR=US&amp;VAR:SYMBOL=09057220&amp;VAR:INDEX=0"}</definedName>
    <definedName name="_615__FDSAUDITLINK__" hidden="1">{"fdsup://directions/FAT Viewer?action=UPDATE&amp;creator=factset&amp;DYN_ARGS=TRUE&amp;DOC_NAME=FAT:FQL_AUDITING_CLIENT_TEMPLATE.FAT&amp;display_string=Audit&amp;VAR:KEY=UPCFEXMNYJ&amp;VAR:QUERY=RkZfRUJJVF9PUEVSKEFOTiwyMDA4LCwsLElDX0NVUlJFTkNZX0lTTygpLE0p&amp;WINDOW=FIRST_POPUP&amp;HEIGH","T=450&amp;WIDTH=450&amp;START_MAXIMIZED=FALSE&amp;VAR:CALENDAR=US&amp;VAR:SYMBOL=711038&amp;VAR:INDEX=0"}</definedName>
    <definedName name="_616__FDSAUDITLINK__" hidden="1">{"fdsup://Directions/FactSet Auditing Viewer?action=AUDIT_VALUE&amp;DB=129&amp;ID1=B03MM4&amp;VALUEID=01001&amp;SDATE=2010&amp;PERIODTYPE=ANN_STD&amp;window=popup_no_bar&amp;width=385&amp;height=120&amp;START_MAXIMIZED=FALSE&amp;creator=factset&amp;display_string=Audit"}</definedName>
    <definedName name="_617__FDSAUDITLINK__" hidden="1">{"fdsup://Directions/FactSet Auditing Viewer?action=AUDIT_VALUE&amp;DB=129&amp;ID1=09057220&amp;VALUEID=01001&amp;SDATE=2009&amp;PERIODTYPE=ANN_STD&amp;window=popup_no_bar&amp;width=385&amp;height=120&amp;START_MAXIMIZED=FALSE&amp;creator=factset&amp;display_string=Audit"}</definedName>
    <definedName name="_618__FDSAUDITLINK__" hidden="1">{"fdsup://directions/FAT Viewer?action=UPDATE&amp;creator=factset&amp;DYN_ARGS=TRUE&amp;DOC_NAME=FAT:FQL_AUDITING_CLIENT_TEMPLATE.FAT&amp;display_string=Audit&amp;VAR:KEY=MPODCFYZWB&amp;VAR:QUERY=RkZfRUJJVF9PUEVSKExUTVMsMCwsLCxJQ19DVVJSRU5DWV9JU08oKSk=&amp;WINDOW=FIRST_POPUP&amp;HEIGHT=45","0&amp;WIDTH=450&amp;START_MAXIMIZED=FALSE&amp;VAR:CALENDAR=US&amp;VAR:SYMBOL=09057220&amp;VAR:INDEX=0"}</definedName>
    <definedName name="_619__FDSAUDITLINK__" hidden="1">{"fdsup://directions/FAT Viewer?action=UPDATE&amp;creator=factset&amp;DYN_ARGS=TRUE&amp;DOC_NAME=FAT:FQL_AUDITING_CLIENT_TEMPLATE.FAT&amp;display_string=Audit&amp;VAR:KEY=KVOJSLKDUT&amp;VAR:QUERY=RkZfRUJJVERBX09QRVIoQU5OLDIwMTAsLCwsSUNfQ1VSUkVOQ1lfSVNPKCksTSk=&amp;WINDOW=FIRST_POPUP&amp;H","EIGHT=450&amp;WIDTH=450&amp;START_MAXIMIZED=FALSE&amp;VAR:CALENDAR=US&amp;VAR:SYMBOL=09057220&amp;VAR:INDEX=0"}</definedName>
    <definedName name="_62__123Graph_CCHART_5" hidden="1">'[4]Inputs and Calc'!$F$319:$I$319</definedName>
    <definedName name="_62__FDSAUDITLINK__" hidden="1">{"fdsup://Directions/FactSet Auditing Viewer?action=AUDIT_VALUE&amp;DB=129&amp;ID1=92839U20&amp;VALUEID=01001&amp;SDATE=2005&amp;PERIODTYPE=ANN_STD&amp;SCFT=3&amp;window=popup_no_bar&amp;width=385&amp;height=120&amp;START_MAXIMIZED=FALSE&amp;creator=factset&amp;display_string=Audit"}</definedName>
    <definedName name="_620__FDSAUDITLINK__" hidden="1">{"fdsup://Directions/FactSet Auditing Viewer?action=AUDIT_VALUE&amp;DB=129&amp;ID1=711038&amp;VALUEID=01250&amp;SDATE=2008&amp;PERIODTYPE=ANN_STD&amp;window=popup_no_bar&amp;width=385&amp;height=120&amp;START_MAXIMIZED=FALSE&amp;creator=factset&amp;display_string=Audit"}</definedName>
    <definedName name="_621__FDSAUDITLINK__" hidden="1">{"fdsup://directions/FAT Viewer?action=UPDATE&amp;creator=factset&amp;DYN_ARGS=TRUE&amp;DOC_NAME=FAT:FQL_AUDITING_CLIENT_TEMPLATE.FAT&amp;display_string=Audit&amp;VAR:KEY=MJIHOREPKN&amp;VAR:QUERY=RkZfQ0FQRVgoQU5OLDIwMDgsLCwsSUNfQ1VSUkVOQ1lfSVNPKCksTSk=&amp;WINDOW=FIRST_POPUP&amp;HEIGHT=45","0&amp;WIDTH=450&amp;START_MAXIMIZED=FALSE&amp;VAR:CALENDAR=US&amp;VAR:SYMBOL=711038&amp;VAR:INDEX=0"}</definedName>
    <definedName name="_622__FDSAUDITLINK__" hidden="1">{"fdsup://directions/FAT Viewer?action=UPDATE&amp;creator=factset&amp;DYN_ARGS=TRUE&amp;DOC_NAME=FAT:FQL_AUDITING_CLIENT_TEMPLATE.FAT&amp;display_string=Audit&amp;VAR:KEY=EPWBKPERAZ&amp;VAR:QUERY=RkZfRVBTX0RJTChBTk4sMjAwOSwsLCxJQ19DVVJSRU5DWV9JU08oKSk=&amp;WINDOW=FIRST_POPUP&amp;HEIGHT=45","0&amp;WIDTH=450&amp;START_MAXIMIZED=FALSE&amp;VAR:CALENDAR=US&amp;VAR:SYMBOL=09057220&amp;VAR:INDEX=0"}</definedName>
    <definedName name="_623__FDSAUDITLINK__" hidden="1">{"fdsup://directions/FAT Viewer?action=UPDATE&amp;creator=factset&amp;DYN_ARGS=TRUE&amp;DOC_NAME=FAT:FQL_AUDITING_CLIENT_TEMPLATE.FAT&amp;display_string=Audit&amp;VAR:KEY=SNEXQHYRYT&amp;VAR:QUERY=RkZfRVBTX0RJTChBTk4sMjAwOCwsLCxJQ19DVVJSRU5DWV9JU08oKSk=&amp;WINDOW=FIRST_POPUP&amp;HEIGHT=45","0&amp;WIDTH=450&amp;START_MAXIMIZED=FALSE&amp;VAR:CALENDAR=US&amp;VAR:SYMBOL=711038&amp;VAR:INDEX=0"}</definedName>
    <definedName name="_624__FDSAUDITLINK__" hidden="1">{"fdsup://directions/FAT Viewer?action=UPDATE&amp;creator=factset&amp;DYN_ARGS=TRUE&amp;DOC_NAME=FAT:FQL_AUDITING_CLIENT_TEMPLATE.FAT&amp;display_string=Audit&amp;VAR:KEY=CTQJGTSTIB&amp;VAR:QUERY=RkZfQ0FQRVgoQU5OLDIwMTAsLCwsSUNfQ1VSUkVOQ1lfSVNPKCksTSk=&amp;WINDOW=FIRST_POPUP&amp;HEIGHT=45","0&amp;WIDTH=450&amp;START_MAXIMIZED=FALSE&amp;VAR:CALENDAR=US&amp;VAR:SYMBOL=09057220&amp;VAR:INDEX=0"}</definedName>
    <definedName name="_625__FDSAUDITLINK__" hidden="1">{"fdsup://directions/FAT Viewer?action=UPDATE&amp;creator=factset&amp;DYN_ARGS=TRUE&amp;DOC_NAME=FAT:FQL_AUDITING_CLIENT_TEMPLATE.FAT&amp;display_string=Audit&amp;VAR:KEY=CPYHIBSTUT&amp;VAR:QUERY=RkZfRUJJVF9PUEVSKEFOTiwyMDA5LCwsLElDX0NVUlJFTkNZX0lTTygpLE0p&amp;WINDOW=FIRST_POPUP&amp;HEIGH","T=450&amp;WIDTH=450&amp;START_MAXIMIZED=FALSE&amp;VAR:CALENDAR=US&amp;VAR:SYMBOL=09057220&amp;VAR:INDEX=0"}</definedName>
    <definedName name="_626__FDSAUDITLINK__" hidden="1">{"fdsup://directions/FAT Viewer?action=UPDATE&amp;creator=factset&amp;DYN_ARGS=TRUE&amp;DOC_NAME=FAT:FQL_AUDITING_CLIENT_TEMPLATE.FAT&amp;display_string=Audit&amp;VAR:KEY=SVYDKDWFGV&amp;VAR:QUERY=RkZfRVBTX0RJTChBTk4sMjAwOSwsLCxJQ19DVVJSRU5DWV9JU08oKSk=&amp;WINDOW=FIRST_POPUP&amp;HEIGHT=45","0&amp;WIDTH=450&amp;START_MAXIMIZED=FALSE&amp;VAR:CALENDAR=US&amp;VAR:SYMBOL=09057220&amp;VAR:INDEX=0"}</definedName>
    <definedName name="_627__FDSAUDITLINK__" hidden="1">{"fdsup://Directions/FactSet Auditing Viewer?action=AUDIT_VALUE&amp;DB=129&amp;ID1=B03MM4&amp;VALUEID=01250&amp;SDATE=2010&amp;PERIODTYPE=ANN_STD&amp;window=popup_no_bar&amp;width=385&amp;height=120&amp;START_MAXIMIZED=FALSE&amp;creator=factset&amp;display_string=Audit"}</definedName>
    <definedName name="_628__FDSAUDITLINK__" hidden="1">{"fdsup://Directions/FactSet Auditing Viewer?action=AUDIT_VALUE&amp;DB=129&amp;ID1=00282410&amp;VALUEID=05194&amp;SDATE=2009&amp;PERIODTYPE=ANNR_STD&amp;window=popup_no_bar&amp;width=385&amp;height=120&amp;START_MAXIMIZED=FALSE&amp;creator=factset&amp;display_string=Audit"}</definedName>
    <definedName name="_629__FDSAUDITLINK__" hidden="1">{"fdsup://directions/FAT Viewer?action=UPDATE&amp;creator=factset&amp;DYN_ARGS=TRUE&amp;DOC_NAME=FAT:FQL_AUDITING_CLIENT_TEMPLATE.FAT&amp;display_string=Audit&amp;VAR:KEY=IVQHMBQBIB&amp;VAR:QUERY=RkZfRUJJVERBX09QRVIoQU5OLDIwMTEsLCwsSUNfQ1VSUkVOQ1lfSVNPKCksTSk=&amp;WINDOW=FIRST_POPUP&amp;H","EIGHT=450&amp;WIDTH=450&amp;START_MAXIMIZED=FALSE&amp;VAR:CALENDAR=US&amp;VAR:SYMBOL=09057220&amp;VAR:INDEX=0"}</definedName>
    <definedName name="_63__FDSAUDITLINK__" hidden="1">{"fdsup://Directions/FactSet Auditing Viewer?action=AUDIT_VALUE&amp;DB=129&amp;ID1=493757&amp;VALUEID=01001&amp;SDATE=2009&amp;PERIODTYPE=ANN_STD&amp;SCFT=3&amp;window=popup_no_bar&amp;width=385&amp;height=120&amp;START_MAXIMIZED=FALSE&amp;creator=factset&amp;display_string=Audit"}</definedName>
    <definedName name="_630__FDSAUDITLINK__" hidden="1">{"fdsup://directions/FAT Viewer?action=UPDATE&amp;creator=factset&amp;DYN_ARGS=TRUE&amp;DOC_NAME=FAT:FQL_AUDITING_CLIENT_TEMPLATE.FAT&amp;display_string=Audit&amp;VAR:KEY=OLKRGDUJEX&amp;VAR:QUERY=RkZfQ0FQRVgoQU5OLDIwMTEsLCwsSUNfQ1VSUkVOQ1lfSVNPKCksTSk=&amp;WINDOW=FIRST_POPUP&amp;HEIGHT=45","0&amp;WIDTH=450&amp;START_MAXIMIZED=FALSE&amp;VAR:CALENDAR=US&amp;VAR:SYMBOL=09057220&amp;VAR:INDEX=0"}</definedName>
    <definedName name="_631__FDSAUDITLINK__" hidden="1">{"fdsup://Directions/FactSet Auditing Viewer?action=AUDIT_VALUE&amp;DB=129&amp;ID1=09057220&amp;VALUEID=01201&amp;SDATE=2009&amp;PERIODTYPE=ANN_STD&amp;window=popup_no_bar&amp;width=385&amp;height=120&amp;START_MAXIMIZED=FALSE&amp;creator=factset&amp;display_string=Audit"}</definedName>
    <definedName name="_632__FDSAUDITLINK__" hidden="1">{"fdsup://Directions/FactSet Auditing Viewer?action=AUDIT_VALUE&amp;DB=129&amp;ID1=09057220&amp;VALUEID=01151&amp;SDATE=2009&amp;PERIODTYPE=ANN_STD&amp;window=popup_no_bar&amp;width=385&amp;height=120&amp;START_MAXIMIZED=FALSE&amp;creator=factset&amp;display_string=Audit"}</definedName>
    <definedName name="_633__FDSAUDITLINK__" hidden="1">{"fdsup://Directions/FactSet Auditing Viewer?action=AUDIT_VALUE&amp;DB=129&amp;ID1=09057220&amp;VALUEID=04831&amp;SDATE=2009&amp;PERIODTYPE=ANN_STD&amp;window=popup_no_bar&amp;width=385&amp;height=120&amp;START_MAXIMIZED=FALSE&amp;creator=factset&amp;display_string=Audit"}</definedName>
    <definedName name="_634__FDSAUDITLINK__" hidden="1">{"fdsup://directions/FAT Viewer?action=UPDATE&amp;creator=factset&amp;DYN_ARGS=TRUE&amp;DOC_NAME=FAT:FQL_AUDITING_CLIENT_TEMPLATE.FAT&amp;display_string=Audit&amp;VAR:KEY=UTYJQLATEB&amp;VAR:QUERY=RkZfRUJJVERBX09QRVIoQU5OLDIwMDcsLCwsSUNfQ1VSUkVOQ1lfSVNPKCksTSk=&amp;WINDOW=FIRST_POPUP&amp;H","EIGHT=450&amp;WIDTH=450&amp;START_MAXIMIZED=FALSE&amp;VAR:CALENDAR=US&amp;VAR:SYMBOL=09057220&amp;VAR:INDEX=0"}</definedName>
    <definedName name="_635__FDSAUDITLINK__" hidden="1">{"fdsup://Directions/FactSet Auditing Viewer?action=AUDIT_VALUE&amp;DB=129&amp;ID1=092528&amp;VALUEID=01001&amp;SDATE=2008&amp;PERIODTYPE=ANN_STD&amp;window=popup_no_bar&amp;width=385&amp;height=120&amp;START_MAXIMIZED=FALSE&amp;creator=factset&amp;display_string=Audit"}</definedName>
    <definedName name="_636__FDSAUDITLINK__" hidden="1">{"fdsup://Directions/FactSet Auditing Viewer?action=AUDIT_VALUE&amp;DB=129&amp;ID1=B03MM4&amp;VALUEID=01151&amp;SDATE=2010&amp;PERIODTYPE=ANN_STD&amp;window=popup_no_bar&amp;width=385&amp;height=120&amp;START_MAXIMIZED=FALSE&amp;creator=factset&amp;display_string=Audit"}</definedName>
    <definedName name="_637__FDSAUDITLINK__" hidden="1">{"fdsup://directions/FAT Viewer?action=UPDATE&amp;creator=factset&amp;DYN_ARGS=TRUE&amp;DOC_NAME=FAT:FQL_AUDITING_CLIENT_TEMPLATE.FAT&amp;display_string=Audit&amp;VAR:KEY=NSRMXARILO&amp;VAR:QUERY=RkZfRUJJVERBX09QRVIoTFRNUywwLCwsLElDX0NVUlJFTkNZX0lTTygpKQ==&amp;WINDOW=FIRST_POPUP&amp;HEIGH","T=450&amp;WIDTH=450&amp;START_MAXIMIZED=FALSE&amp;VAR:CALENDAR=US&amp;VAR:SYMBOL=B03MM4&amp;VAR:INDEX=0"}</definedName>
    <definedName name="_638__FDSAUDITLINK__" hidden="1">{"fdsup://Directions/FactSet Auditing Viewer?action=AUDIT_VALUE&amp;DB=129&amp;ID1=092528&amp;VALUEID=01151&amp;SDATE=2008&amp;PERIODTYPE=ANN_STD&amp;window=popup_no_bar&amp;width=385&amp;height=120&amp;START_MAXIMIZED=FALSE&amp;creator=factset&amp;display_string=Audit"}</definedName>
    <definedName name="_639__FDSAUDITLINK__" hidden="1">{"fdsup://Directions/FactSet Auditing Viewer?action=AUDIT_VALUE&amp;DB=129&amp;ID1=B03MM4&amp;VALUEID=01001&amp;SDATE=2010&amp;PERIODTYPE=ANN_STD&amp;window=popup_no_bar&amp;width=385&amp;height=120&amp;START_MAXIMIZED=FALSE&amp;creator=factset&amp;display_string=Audit"}</definedName>
    <definedName name="_64__123Graph_CCHART_7" hidden="1">'[4]Inputs and Calc'!$BG$249:$BK$249</definedName>
    <definedName name="_64__FDSAUDITLINK__" hidden="1">{"fdsup://Directions/FactSet Auditing Viewer?action=AUDIT_VALUE&amp;DB=129&amp;ID1=493757&amp;VALUEID=01001&amp;SDATE=2008&amp;PERIODTYPE=ANN_STD&amp;SCFT=3&amp;window=popup_no_bar&amp;width=385&amp;height=120&amp;START_MAXIMIZED=FALSE&amp;creator=factset&amp;display_string=Audit"}</definedName>
    <definedName name="_640__FDSAUDITLINK__" hidden="1">{"fdsup://directions/FAT Viewer?action=UPDATE&amp;creator=factset&amp;DYN_ARGS=TRUE&amp;DOC_NAME=FAT:FQL_AUDITING_CLIENT_TEMPLATE.FAT&amp;display_string=Audit&amp;VAR:KEY=ELKLWFKJQV&amp;VAR:QUERY=RkZfRUJJVF9PUEVSKEFOTiwyMDA4LCwsLElDX0NVUlJFTkNZX0lTTygpLE0p&amp;WINDOW=FIRST_POPUP&amp;HEIGH","T=450&amp;WIDTH=450&amp;START_MAXIMIZED=FALSE&amp;VAR:CALENDAR=US&amp;VAR:SYMBOL=09057220&amp;VAR:INDEX=0"}</definedName>
    <definedName name="_641__FDSAUDITLINK__" hidden="1">{"fdsup://Directions/FactSet Auditing Viewer?action=AUDIT_VALUE&amp;DB=129&amp;ID1=B03MM4&amp;VALUEID=01250&amp;SDATE=2010&amp;PERIODTYPE=ANN_STD&amp;window=popup_no_bar&amp;width=385&amp;height=120&amp;START_MAXIMIZED=FALSE&amp;creator=factset&amp;display_string=Audit"}</definedName>
    <definedName name="_642__FDSAUDITLINK__" hidden="1">{"fdsup://Directions/FactSet Auditing Viewer?action=AUDIT_VALUE&amp;DB=129&amp;ID1=092528&amp;VALUEID=01001&amp;SDATE=2009&amp;PERIODTYPE=ANN_STD&amp;window=popup_no_bar&amp;width=385&amp;height=120&amp;START_MAXIMIZED=FALSE&amp;creator=factset&amp;display_string=Audit"}</definedName>
    <definedName name="_643__FDSAUDITLINK__" hidden="1">{"fdsup://directions/FAT Viewer?action=UPDATE&amp;creator=factset&amp;DYN_ARGS=TRUE&amp;DOC_NAME=FAT:FQL_AUDITING_CLIENT_TEMPLATE.FAT&amp;display_string=Audit&amp;VAR:KEY=MNQLUFARST&amp;VAR:QUERY=RkZfRUJJVERBX09QRVIoQU5OLDIwMDksLCwsSUNfQ1VSUkVOQ1lfSVNPKCksTSk=&amp;WINDOW=FIRST_POPUP&amp;H","EIGHT=450&amp;WIDTH=450&amp;START_MAXIMIZED=FALSE&amp;VAR:CALENDAR=US&amp;VAR:SYMBOL=092528&amp;VAR:INDEX=0"}</definedName>
    <definedName name="_644__FDSAUDITLINK__" hidden="1">{"fdsup://Directions/FactSet Auditing Viewer?action=AUDIT_VALUE&amp;DB=129&amp;ID1=092528&amp;VALUEID=01151&amp;SDATE=2009&amp;PERIODTYPE=ANN_STD&amp;window=popup_no_bar&amp;width=385&amp;height=120&amp;START_MAXIMIZED=FALSE&amp;creator=factset&amp;display_string=Audit"}</definedName>
    <definedName name="_645__FDSAUDITLINK__" hidden="1">{"fdsup://directions/FAT Viewer?action=UPDATE&amp;creator=factset&amp;DYN_ARGS=TRUE&amp;DOC_NAME=FAT:FQL_AUDITING_CLIENT_TEMPLATE.FAT&amp;display_string=Audit&amp;VAR:KEY=WLANWRATIZ&amp;VAR:QUERY=RkZfRUJJVF9PUEVSKEFOTiwyMDA5LCwsLElDX0NVUlJFTkNZX0lTTygpLE0p&amp;WINDOW=FIRST_POPUP&amp;HEIGH","T=450&amp;WIDTH=450&amp;START_MAXIMIZED=FALSE&amp;VAR:CALENDAR=US&amp;VAR:SYMBOL=092528&amp;VAR:INDEX=0"}</definedName>
    <definedName name="_646__FDSAUDITLINK__" hidden="1">{"fdsup://Directions/FactSet Auditing Viewer?action=AUDIT_VALUE&amp;DB=129&amp;ID1=092528&amp;VALUEID=01250&amp;SDATE=2009&amp;PERIODTYPE=ANN_STD&amp;window=popup_no_bar&amp;width=385&amp;height=120&amp;START_MAXIMIZED=FALSE&amp;creator=factset&amp;display_string=Audit"}</definedName>
    <definedName name="_647__FDSAUDITLINK__" hidden="1">{"fdsup://Directions/FactSet Auditing Viewer?action=AUDIT_VALUE&amp;DB=129&amp;ID1=00282410&amp;VALUEID=01201&amp;SDATE=2009&amp;PERIODTYPE=ANN_STD&amp;window=popup_no_bar&amp;width=385&amp;height=120&amp;START_MAXIMIZED=FALSE&amp;creator=factset&amp;display_string=Audit"}</definedName>
    <definedName name="_648__FDSAUDITLINK__" hidden="1">{"fdsup://directions/FAT Viewer?action=UPDATE&amp;creator=factset&amp;DYN_ARGS=TRUE&amp;DOC_NAME=FAT:FQL_AUDITING_CLIENT_TEMPLATE.FAT&amp;display_string=Audit&amp;VAR:KEY=QBONITAXYH&amp;VAR:QUERY=RkZfQ0FQRVgoQU5OLDIwMDksLCwsSUNfQ1VSUkVOQ1lfSVNPKCksTSk=&amp;WINDOW=FIRST_POPUP&amp;HEIGHT=45","0&amp;WIDTH=450&amp;START_MAXIMIZED=FALSE&amp;VAR:CALENDAR=US&amp;VAR:SYMBOL=092528&amp;VAR:INDEX=0"}</definedName>
    <definedName name="_649__FDSAUDITLINK__" hidden="1">{"fdsup://directions/FAT Viewer?action=UPDATE&amp;creator=factset&amp;DYN_ARGS=TRUE&amp;DOC_NAME=FAT:FQL_AUDITING_CLIENT_TEMPLATE.FAT&amp;display_string=Audit&amp;VAR:KEY=KFQLIHEVQZ&amp;VAR:QUERY=RkZfRUJJVERBX09QRVIoQU5OLDIwMTAsLCwsSUNfQ1VSUkVOQ1lfSVNPKCksTSk=&amp;WINDOW=FIRST_POPUP&amp;H","EIGHT=450&amp;WIDTH=450&amp;START_MAXIMIZED=FALSE&amp;VAR:CALENDAR=US&amp;VAR:SYMBOL=B3KHXB&amp;VAR:INDEX=0"}</definedName>
    <definedName name="_65__123Graph_CCHART_8" hidden="1">'[4]Inputs and Calc'!$BG$252:$BK$252</definedName>
    <definedName name="_65__FDSAUDITLINK__" hidden="1">{"fdsup://Directions/FactSet Auditing Viewer?action=AUDIT_VALUE&amp;DB=129&amp;ID1=493757&amp;VALUEID=01001&amp;SDATE=2007&amp;PERIODTYPE=ANN_STD&amp;SCFT=3&amp;window=popup_no_bar&amp;width=385&amp;height=120&amp;START_MAXIMIZED=FALSE&amp;creator=factset&amp;display_string=Audit"}</definedName>
    <definedName name="_650__FDSAUDITLINK__" hidden="1">{"fdsup://directions/FAT Viewer?action=UPDATE&amp;creator=factset&amp;DYN_ARGS=TRUE&amp;DOC_NAME=FAT:FQL_AUDITING_CLIENT_TEMPLATE.FAT&amp;display_string=Audit&amp;VAR:KEY=JYTIFEVWDI&amp;VAR:QUERY=RkZfRUJJVERBX09QRVIoQU5OLDIwMDgsLCwsSUNfQ1VSUkVOQ1lfSVNPKCksTSk=&amp;WINDOW=FIRST_POPUP&amp;H","EIGHT=450&amp;WIDTH=450&amp;START_MAXIMIZED=FALSE&amp;VAR:CALENDAR=US&amp;VAR:SYMBOL=573282&amp;VAR:INDEX=0"}</definedName>
    <definedName name="_651__FDSAUDITLINK__" hidden="1">{"fdsup://directions/FAT Viewer?action=UPDATE&amp;creator=factset&amp;DYN_ARGS=TRUE&amp;DOC_NAME=FAT:FQL_AUDITING_CLIENT_TEMPLATE.FAT&amp;display_string=Audit&amp;VAR:KEY=BGDMFGBYBW&amp;VAR:QUERY=RkZfSU5UX0VYUF9ORVQoTFRNUywwLCwsLElDX0NVUlJFTkNZX0lTTygpKQ==&amp;WINDOW=FIRST_POPUP&amp;HEIGH","T=450&amp;WIDTH=450&amp;START_MAXIMIZED=FALSE&amp;VAR:CALENDAR=US&amp;VAR:SYMBOL=B03MM4&amp;VAR:INDEX=0"}</definedName>
    <definedName name="_652__FDSAUDITLINK__" hidden="1">{"fdsup://Directions/FactSet Auditing Viewer?action=AUDIT_VALUE&amp;DB=129&amp;ID1=B03MM4&amp;VALUEID=03426&amp;SDATE=201004&amp;PERIODTYPE=QTR_STD&amp;window=popup_no_bar&amp;width=385&amp;height=120&amp;START_MAXIMIZED=FALSE&amp;creator=factset&amp;display_string=Audit"}</definedName>
    <definedName name="_653__FDSAUDITLINK__" hidden="1">{"fdsup://Directions/FactSet Auditing Viewer?action=AUDIT_VALUE&amp;DB=129&amp;ID1=092528&amp;VALUEID=01151&amp;SDATE=2007&amp;PERIODTYPE=ANN_STD&amp;window=popup_no_bar&amp;width=385&amp;height=120&amp;START_MAXIMIZED=FALSE&amp;creator=factset&amp;display_string=Audit"}</definedName>
    <definedName name="_654__FDSAUDITLINK__" hidden="1">{"fdsup://directions/FAT Viewer?action=UPDATE&amp;creator=factset&amp;DYN_ARGS=TRUE&amp;DOC_NAME=FAT:FQL_AUDITING_CLIENT_TEMPLATE.FAT&amp;display_string=Audit&amp;VAR:KEY=UTCLIJQPYR&amp;VAR:QUERY=RkZfRVBTX0RJTChBTk4sNDA1NDMsLCwsSUNfQ1VSUkVOQ1lfSVNPKCkp&amp;WINDOW=FIRST_POPUP&amp;HEIGHT=45","0&amp;WIDTH=450&amp;START_MAXIMIZED=FALSE&amp;VAR:CALENDAR=US&amp;VAR:SYMBOL=B03MM4&amp;VAR:INDEX=0"}</definedName>
    <definedName name="_655__FDSAUDITLINK__" hidden="1">{"fdsup://Directions/FactSet Auditing Viewer?action=AUDIT_VALUE&amp;DB=129&amp;ID1=573282&amp;VALUEID=01201&amp;SDATE=2008&amp;PERIODTYPE=ANN_STD&amp;window=popup_no_bar&amp;width=385&amp;height=120&amp;START_MAXIMIZED=FALSE&amp;creator=factset&amp;display_string=Audit"}</definedName>
    <definedName name="_656__FDSAUDITLINK__" hidden="1">{"fdsup://directions/FAT Viewer?action=UPDATE&amp;creator=factset&amp;DYN_ARGS=TRUE&amp;DOC_NAME=FAT:FQL_AUDITING_CLIENT_TEMPLATE.FAT&amp;display_string=Audit&amp;VAR:KEY=UJCXSRWRUZ&amp;VAR:QUERY=RkZfRVBTX0RJTChBTk4sMjAwNywsLCxJQ19DVVJSRU5DWV9JU08oKSk=&amp;WINDOW=FIRST_POPUP&amp;HEIGHT=45","0&amp;WIDTH=450&amp;START_MAXIMIZED=FALSE&amp;VAR:CALENDAR=US&amp;VAR:SYMBOL=092528&amp;VAR:INDEX=0"}</definedName>
    <definedName name="_657__FDSAUDITLINK__" hidden="1">{"fdsup://directions/FAT Viewer?action=UPDATE&amp;creator=factset&amp;DYN_ARGS=TRUE&amp;DOC_NAME=FAT:FQL_AUDITING_CLIENT_TEMPLATE.FAT&amp;display_string=Audit&amp;VAR:KEY=EZAHUDELIJ&amp;VAR:QUERY=RkZfQ0FQRVgoQU5OLDIwMDcsLCwsSUNfQ1VSUkVOQ1lfSVNPKCksTSk=&amp;WINDOW=FIRST_POPUP&amp;HEIGHT=45","0&amp;WIDTH=450&amp;START_MAXIMIZED=FALSE&amp;VAR:CALENDAR=US&amp;VAR:SYMBOL=092528&amp;VAR:INDEX=0"}</definedName>
    <definedName name="_658__FDSAUDITLINK__" hidden="1">{"fdsup://Directions/FactSet Auditing Viewer?action=AUDIT_VALUE&amp;DB=129&amp;ID1=092528&amp;VALUEID=01201&amp;SDATE=2007&amp;PERIODTYPE=ANN_STD&amp;window=popup_no_bar&amp;width=385&amp;height=120&amp;START_MAXIMIZED=FALSE&amp;creator=factset&amp;display_string=Audit"}</definedName>
    <definedName name="_659__FDSAUDITLINK__" hidden="1">{"fdsup://Directions/FactSet Auditing Viewer?action=AUDIT_VALUE&amp;DB=129&amp;ID1=092528&amp;VALUEID=04831&amp;SDATE=2007&amp;PERIODTYPE=ANN_STD&amp;window=popup_no_bar&amp;width=385&amp;height=120&amp;START_MAXIMIZED=FALSE&amp;creator=factset&amp;display_string=Audit"}</definedName>
    <definedName name="_66__123Graph_DCHART_10" hidden="1">'[4]Inputs and Calc'!$BG$259:$BK$259</definedName>
    <definedName name="_66__FDSAUDITLINK__" hidden="1">{"fdsup://Directions/FactSet Auditing Viewer?action=AUDIT_VALUE&amp;DB=129&amp;ID1=664038&amp;VALUEID=01001&amp;SDATE=2009&amp;PERIODTYPE=ANN_STD&amp;SCFT=3&amp;window=popup_no_bar&amp;width=385&amp;height=120&amp;START_MAXIMIZED=FALSE&amp;creator=factset&amp;display_string=Audit"}</definedName>
    <definedName name="_660__FDSAUDITLINK__" hidden="1">{"fdsup://Directions/FactSet Auditing Viewer?action=AUDIT_VALUE&amp;DB=129&amp;ID1=B03MM4&amp;VALUEID=01151&amp;SDATE=2010&amp;PERIODTYPE=ANN_STD&amp;window=popup_no_bar&amp;width=385&amp;height=120&amp;START_MAXIMIZED=FALSE&amp;creator=factset&amp;display_string=Audit"}</definedName>
    <definedName name="_661__FDSAUDITLINK__" hidden="1">{"fdsup://Directions/FactSet Auditing Viewer?action=AUDIT_VALUE&amp;DB=129&amp;ID1=092528&amp;VALUEID=05194&amp;SDATE=2007&amp;PERIODTYPE=ANNR_STD&amp;window=popup_no_bar&amp;width=385&amp;height=120&amp;START_MAXIMIZED=FALSE&amp;creator=factset&amp;display_string=Audit"}</definedName>
    <definedName name="_662__FDSAUDITLINK__" hidden="1">{"fdsup://Directions/FactSet Auditing Viewer?action=AUDIT_VALUE&amp;DB=129&amp;ID1=092528&amp;VALUEID=04831&amp;SDATE=2008&amp;PERIODTYPE=ANN_STD&amp;window=popup_no_bar&amp;width=385&amp;height=120&amp;START_MAXIMIZED=FALSE&amp;creator=factset&amp;display_string=Audit"}</definedName>
    <definedName name="_663__FDSAUDITLINK__" hidden="1">{"fdsup://Directions/FactSet Auditing Viewer?action=AUDIT_VALUE&amp;DB=129&amp;ID1=092528&amp;VALUEID=01201&amp;SDATE=2008&amp;PERIODTYPE=ANN_STD&amp;window=popup_no_bar&amp;width=385&amp;height=120&amp;START_MAXIMIZED=FALSE&amp;creator=factset&amp;display_string=Audit"}</definedName>
    <definedName name="_664__FDSAUDITLINK__" hidden="1">{"fdsup://directions/FAT Viewer?action=UPDATE&amp;creator=factset&amp;DYN_ARGS=TRUE&amp;DOC_NAME=FAT:FQL_AUDITING_CLIENT_TEMPLATE.FAT&amp;display_string=Audit&amp;VAR:KEY=IXOFYBIDSJ&amp;VAR:QUERY=RkZfQ0FQRVgoQU5OLDIwMDgsLCwsSUNfQ1VSUkVOQ1lfSVNPKCksTSk=&amp;WINDOW=FIRST_POPUP&amp;HEIGHT=45","0&amp;WIDTH=450&amp;START_MAXIMIZED=FALSE&amp;VAR:CALENDAR=US&amp;VAR:SYMBOL=092528&amp;VAR:INDEX=0"}</definedName>
    <definedName name="_665__FDSAUDITLINK__" hidden="1">{"fdsup://Directions/FactSet Auditing Viewer?action=AUDIT_VALUE&amp;DB=129&amp;ID1=092528&amp;VALUEID=05194&amp;SDATE=2008&amp;PERIODTYPE=ANNR_STD&amp;window=popup_no_bar&amp;width=385&amp;height=120&amp;START_MAXIMIZED=FALSE&amp;creator=factset&amp;display_string=Audit"}</definedName>
    <definedName name="_666__FDSAUDITLINK__" hidden="1">{"fdsup://directions/FAT Viewer?action=UPDATE&amp;creator=factset&amp;DYN_ARGS=TRUE&amp;DOC_NAME=FAT:FQL_AUDITING_CLIENT_TEMPLATE.FAT&amp;display_string=Audit&amp;VAR:KEY=WLAPMVITEF&amp;VAR:QUERY=RkZfRVBTX0RJTChBTk4sMjAwOCwsLCxJQ19DVVJSRU5DWV9JU08oKSk=&amp;WINDOW=FIRST_POPUP&amp;HEIGHT=45","0&amp;WIDTH=450&amp;START_MAXIMIZED=FALSE&amp;VAR:CALENDAR=US&amp;VAR:SYMBOL=092528&amp;VAR:INDEX=0"}</definedName>
    <definedName name="_667__FDSAUDITLINK__" hidden="1">{"fdsup://directions/FAT Viewer?action=UPDATE&amp;creator=factset&amp;DYN_ARGS=TRUE&amp;DOC_NAME=FAT:FQL_AUDITING_CLIENT_TEMPLATE.FAT&amp;display_string=Audit&amp;VAR:KEY=WPKDOLADWL&amp;VAR:QUERY=RkZfSU5UX0VYUF9ORVQoTFRNUywwLCwsLElDX0NVUlJFTkNZX0lTTygpKQ==&amp;WINDOW=FIRST_POPUP&amp;HEIGH","T=450&amp;WIDTH=450&amp;START_MAXIMIZED=FALSE&amp;VAR:CALENDAR=US&amp;VAR:SYMBOL=092528&amp;VAR:INDEX=0"}</definedName>
    <definedName name="_668__FDSAUDITLINK__" hidden="1">{"fdsup://directions/FAT Viewer?action=UPDATE&amp;creator=factset&amp;DYN_ARGS=TRUE&amp;DOC_NAME=FAT:FQL_AUDITING_CLIENT_TEMPLATE.FAT&amp;display_string=Audit&amp;VAR:KEY=YRWXKVSLSD&amp;VAR:QUERY=RkZfTkVUX0lOQyhMVE1TLDAsLCwsSUNfQ1VSUkVOQ1lfSVNPKCkp&amp;WINDOW=FIRST_POPUP&amp;HEIGHT=450&amp;WI","DTH=450&amp;START_MAXIMIZED=FALSE&amp;VAR:CALENDAR=US&amp;VAR:SYMBOL=092528&amp;VAR:INDEX=0"}</definedName>
    <definedName name="_669__FDSAUDITLINK__" hidden="1">{"fdsup://directions/FAT Viewer?action=UPDATE&amp;creator=factset&amp;DYN_ARGS=TRUE&amp;DOC_NAME=FAT:FQL_AUDITING_CLIENT_TEMPLATE.FAT&amp;display_string=Audit&amp;VAR:KEY=UFGFQNATUT&amp;VAR:QUERY=RkZfRUJJVF9PUEVSKExUTVMsMCwsLCxJQ19DVVJSRU5DWV9JU08oKSk=&amp;WINDOW=FIRST_POPUP&amp;HEIGHT=45","0&amp;WIDTH=450&amp;START_MAXIMIZED=FALSE&amp;VAR:CALENDAR=US&amp;VAR:SYMBOL=092528&amp;VAR:INDEX=0"}</definedName>
    <definedName name="_67__123Graph_DCHART_11" hidden="1">[2]Summary!$BH$202:$BL$202</definedName>
    <definedName name="_67__FDSAUDITLINK__" hidden="1">{"fdsup://Directions/FactSet Auditing Viewer?action=AUDIT_VALUE&amp;DB=129&amp;ID1=663984&amp;VALUEID=01001&amp;SDATE=2009&amp;PERIODTYPE=ANN_STD&amp;SCFT=3&amp;window=popup_no_bar&amp;width=385&amp;height=120&amp;START_MAXIMIZED=FALSE&amp;creator=factset&amp;display_string=Audit"}</definedName>
    <definedName name="_670__FDSAUDITLINK__" hidden="1">{"fdsup://directions/FAT Viewer?action=UPDATE&amp;creator=factset&amp;DYN_ARGS=TRUE&amp;DOC_NAME=FAT:FQL_AUDITING_CLIENT_TEMPLATE.FAT&amp;display_string=Audit&amp;VAR:KEY=CZWXAZOPQX&amp;VAR:QUERY=RkZfRUJJVERBX09QRVIoTFRNUywwLCwsLElDX0NVUlJFTkNZX0lTTygpKQ==&amp;WINDOW=FIRST_POPUP&amp;HEIGH","T=450&amp;WIDTH=450&amp;START_MAXIMIZED=FALSE&amp;VAR:CALENDAR=US&amp;VAR:SYMBOL=092528&amp;VAR:INDEX=0"}</definedName>
    <definedName name="_671__FDSAUDITLINK__" hidden="1">{"fdsup://Directions/FactSet Auditing Viewer?action=AUDIT_VALUE&amp;DB=129&amp;ID1=092528&amp;VALUEID=01250&amp;SDATE=2008&amp;PERIODTYPE=ANN_STD&amp;window=popup_no_bar&amp;width=385&amp;height=120&amp;START_MAXIMIZED=FALSE&amp;creator=factset&amp;display_string=Audit"}</definedName>
    <definedName name="_672__FDSAUDITLINK__" hidden="1">{"fdsup://directions/FAT Viewer?action=UPDATE&amp;creator=factset&amp;DYN_ARGS=TRUE&amp;DOC_NAME=FAT:FQL_AUDITING_CLIENT_TEMPLATE.FAT&amp;display_string=Audit&amp;VAR:KEY=AVQTSFYHYN&amp;VAR:QUERY=RkZfRUJJVF9PUEVSKEFOTiwyMDA4LCwsLElDX0NVUlJFTkNZX0lTTygpLE0p&amp;WINDOW=FIRST_POPUP&amp;HEIGH","T=450&amp;WIDTH=450&amp;START_MAXIMIZED=FALSE&amp;VAR:CALENDAR=US&amp;VAR:SYMBOL=092528&amp;VAR:INDEX=0"}</definedName>
    <definedName name="_673__FDSAUDITLINK__" hidden="1">{"fdsup://Directions/FactSet Auditing Viewer?action=AUDIT_VALUE&amp;DB=129&amp;ID1=092528&amp;VALUEID=01151&amp;SDATE=2008&amp;PERIODTYPE=ANN_STD&amp;window=popup_no_bar&amp;width=385&amp;height=120&amp;START_MAXIMIZED=FALSE&amp;creator=factset&amp;display_string=Audit"}</definedName>
    <definedName name="_674__FDSAUDITLINK__" hidden="1">{"fdsup://Directions/FactSet Auditing Viewer?action=AUDIT_VALUE&amp;DB=129&amp;ID1=B03MM4&amp;VALUEID=01250&amp;SDATE=2010&amp;PERIODTYPE=ANN_STD&amp;window=popup_no_bar&amp;width=385&amp;height=120&amp;START_MAXIMIZED=FALSE&amp;creator=factset&amp;display_string=Audit"}</definedName>
    <definedName name="_675__FDSAUDITLINK__" hidden="1">{"fdsup://directions/FAT Viewer?action=UPDATE&amp;creator=factset&amp;DYN_ARGS=TRUE&amp;DOC_NAME=FAT:FQL_AUDITING_CLIENT_TEMPLATE.FAT&amp;display_string=Audit&amp;VAR:KEY=ERITEZGXID&amp;VAR:QUERY=RkZfRUJJVERBX09QRVIoQU5OLDIwMDgsLCwsSUNfQ1VSUkVOQ1lfSVNPKCksTSk=&amp;WINDOW=FIRST_POPUP&amp;H","EIGHT=450&amp;WIDTH=450&amp;START_MAXIMIZED=FALSE&amp;VAR:CALENDAR=US&amp;VAR:SYMBOL=092528&amp;VAR:INDEX=0"}</definedName>
    <definedName name="_676__FDSAUDITLINK__" hidden="1">{"fdsup://Directions/FactSet Auditing Viewer?action=AUDIT_VALUE&amp;DB=129&amp;ID1=092528&amp;VALUEID=01001&amp;SDATE=2008&amp;PERIODTYPE=ANN_STD&amp;window=popup_no_bar&amp;width=385&amp;height=120&amp;START_MAXIMIZED=FALSE&amp;creator=factset&amp;display_string=Audit"}</definedName>
    <definedName name="_678__FDSAUDITLINK__" hidden="1">{"fdsup://directions/FAT Viewer?action=UPDATE&amp;creator=factset&amp;DYN_ARGS=TRUE&amp;DOC_NAME=FAT:FQL_AUDITING_CLIENT_TEMPLATE.FAT&amp;display_string=Audit&amp;VAR:KEY=YJWNOZGHAJ&amp;VAR:QUERY=RkZfSU5UX0VYUF9ORVQoTFRNUywwLCwsLElDX0NVUlJFTkNZX0lTTygpKQ==&amp;WINDOW=FIRST_POPUP&amp;HEIGH","T=450&amp;WIDTH=450&amp;START_MAXIMIZED=FALSE&amp;VAR:CALENDAR=US&amp;VAR:SYMBOL=B03MM4&amp;VAR:INDEX=0"}</definedName>
    <definedName name="_679__FDSAUDITLINK__" hidden="1">{"fdsup://Directions/FactSet Auditing Viewer?action=AUDIT_VALUE&amp;DB=129&amp;ID1=B03MM4&amp;VALUEID=03426&amp;SDATE=201004&amp;PERIODTYPE=QTR_STD&amp;window=popup_no_bar&amp;width=385&amp;height=120&amp;START_MAXIMIZED=FALSE&amp;creator=factset&amp;display_string=Audit"}</definedName>
    <definedName name="_68__123Graph_DCHART_13" hidden="1">[2]Summary!$BH$195:$BL$195</definedName>
    <definedName name="_68__FDSAUDITLINK__" hidden="1">{"fdsup://Directions/FactSet Auditing Viewer?action=AUDIT_VALUE&amp;DB=129&amp;ID1=24712610&amp;VALUEID=01001&amp;SDATE=2007&amp;PERIODTYPE=ANN_STD&amp;SCFT=3&amp;window=popup_no_bar&amp;width=385&amp;height=120&amp;START_MAXIMIZED=FALSE&amp;creator=factset&amp;display_string=Audit"}</definedName>
    <definedName name="_680__FDSAUDITLINK__" hidden="1">{"fdsup://directions/FAT Viewer?action=UPDATE&amp;creator=factset&amp;DYN_ARGS=TRUE&amp;DOC_NAME=FAT:FQL_AUDITING_CLIENT_TEMPLATE.FAT&amp;display_string=Audit&amp;VAR:KEY=BIFIBQJUPC&amp;VAR:QUERY=RkZfRVBTX0RJTChBTk4sMjAxMCwsLCxJQ19DVVJSRU5DWV9JU08oKSk=&amp;WINDOW=FIRST_POPUP&amp;HEIGHT=45","0&amp;WIDTH=450&amp;START_MAXIMIZED=FALSE&amp;VAR:CALENDAR=US&amp;VAR:SYMBOL=B03MM4&amp;VAR:INDEX=0"}</definedName>
    <definedName name="_681__FDSAUDITLINK__" hidden="1">{"fdsup://directions/FAT Viewer?action=UPDATE&amp;creator=factset&amp;DYN_ARGS=TRUE&amp;DOC_NAME=FAT:FQL_AUDITING_CLIENT_TEMPLATE.FAT&amp;display_string=Audit&amp;VAR:KEY=SLOVUXEPMX&amp;VAR:QUERY=RkZfRUJJVERBX09QRVIoTFRNUywwLCwsLElDX0NVUlJFTkNZX0lTTygpKQ==&amp;WINDOW=FIRST_POPUP&amp;HEIGH","T=450&amp;WIDTH=450&amp;START_MAXIMIZED=FALSE&amp;VAR:CALENDAR=US&amp;VAR:SYMBOL=B3KHXB&amp;VAR:INDEX=0"}</definedName>
    <definedName name="_682__FDSAUDITLINK__" hidden="1">{"fdsup://Directions/FactSet Auditing Viewer?action=AUDIT_VALUE&amp;DB=129&amp;ID1=092528&amp;VALUEID=01151&amp;SDATE=2010&amp;PERIODTYPE=ANN_STD&amp;window=popup_no_bar&amp;width=385&amp;height=120&amp;START_MAXIMIZED=FALSE&amp;creator=factset&amp;display_string=Audit"}</definedName>
    <definedName name="_683__FDSAUDITLINK__" hidden="1">{"fdsup://Directions/FactSet Auditing Viewer?action=AUDIT_VALUE&amp;DB=129&amp;ID1=B03MM4&amp;VALUEID=04831&amp;SDATE=2009&amp;PERIODTYPE=ANN_STD&amp;window=popup_no_bar&amp;width=385&amp;height=120&amp;START_MAXIMIZED=FALSE&amp;creator=factset&amp;display_string=Audit"}</definedName>
    <definedName name="_684__FDSAUDITLINK__" hidden="1">{"fdsup://directions/FAT Viewer?action=UPDATE&amp;creator=factset&amp;DYN_ARGS=TRUE&amp;DOC_NAME=FAT:FQL_AUDITING_CLIENT_TEMPLATE.FAT&amp;display_string=Audit&amp;VAR:KEY=VUHWRWVULE&amp;VAR:QUERY=RkZfRUJJVERBX09QRVIoQU5OLDIwMTAsLCwsSUNfQ1VSUkVOQ1lfSVNPKCksTSk=&amp;WINDOW=FIRST_POPUP&amp;H","EIGHT=450&amp;WIDTH=450&amp;START_MAXIMIZED=FALSE&amp;VAR:CALENDAR=US&amp;VAR:SYMBOL=B03MM4&amp;VAR:INDEX=0"}</definedName>
    <definedName name="_685__FDSAUDITLINK__" hidden="1">{"fdsup://directions/FAT Viewer?action=UPDATE&amp;creator=factset&amp;DYN_ARGS=TRUE&amp;DOC_NAME=FAT:FQL_AUDITING_CLIENT_TEMPLATE.FAT&amp;display_string=Audit&amp;VAR:KEY=MLORELUVOZ&amp;VAR:QUERY=RkZfTkVUX0lOQyhMVE1TLDAsLCwsSUNfQ1VSUkVOQ1lfSVNPKCkp&amp;WINDOW=FIRST_POPUP&amp;HEIGHT=450&amp;WI","DTH=450&amp;START_MAXIMIZED=FALSE&amp;VAR:CALENDAR=US&amp;VAR:SYMBOL=B3KHXB&amp;VAR:INDEX=0"}</definedName>
    <definedName name="_686__FDSAUDITLINK__" hidden="1">{"fdsup://directions/FAT Viewer?action=UPDATE&amp;creator=factset&amp;DYN_ARGS=TRUE&amp;DOC_NAME=FAT:FQL_AUDITING_CLIENT_TEMPLATE.FAT&amp;display_string=Audit&amp;VAR:KEY=FMPWXSJCPA&amp;VAR:QUERY=RkZfTkVUX0lOQyhMVE1TLDAsLCwsSUNfQ1VSUkVOQ1lfSVNPKCkp&amp;WINDOW=FIRST_POPUP&amp;HEIGHT=450&amp;WI","DTH=450&amp;START_MAXIMIZED=FALSE&amp;VAR:CALENDAR=US&amp;VAR:SYMBOL=B03MM4&amp;VAR:INDEX=0"}</definedName>
    <definedName name="_687__FDSAUDITLINK__" hidden="1">{"fdsup://directions/FAT Viewer?action=UPDATE&amp;creator=factset&amp;DYN_ARGS=TRUE&amp;DOC_NAME=FAT:FQL_AUDITING_CLIENT_TEMPLATE.FAT&amp;display_string=Audit&amp;VAR:KEY=LATCDQRGLW&amp;VAR:QUERY=RkZfQ0FQRVgoQU5OLDIwMDksLCwsSUNfQ1VSUkVOQ1lfSVNPKCksTSk=&amp;WINDOW=FIRST_POPUP&amp;HEIGHT=45","0&amp;WIDTH=450&amp;START_MAXIMIZED=FALSE&amp;VAR:CALENDAR=US&amp;VAR:SYMBOL=573282&amp;VAR:INDEX=0"}</definedName>
    <definedName name="_688__FDSAUDITLINK__" hidden="1">{"fdsup://directions/FAT Viewer?action=UPDATE&amp;creator=factset&amp;DYN_ARGS=TRUE&amp;DOC_NAME=FAT:FQL_AUDITING_CLIENT_TEMPLATE.FAT&amp;display_string=Audit&amp;VAR:KEY=UNGFSNUPYB&amp;VAR:QUERY=RkZfQ0FQRVgoQU5OLDIwMTAsLCwsSUNfQ1VSUkVOQ1lfSVNPKCksTSk=&amp;WINDOW=FIRST_POPUP&amp;HEIGHT=45","0&amp;WIDTH=450&amp;START_MAXIMIZED=FALSE&amp;VAR:CALENDAR=US&amp;VAR:SYMBOL=B3KHXB&amp;VAR:INDEX=0"}</definedName>
    <definedName name="_689__FDSAUDITLINK__" hidden="1">{"fdsup://directions/FAT Viewer?action=UPDATE&amp;creator=factset&amp;DYN_ARGS=TRUE&amp;DOC_NAME=FAT:FQL_AUDITING_CLIENT_TEMPLATE.FAT&amp;display_string=Audit&amp;VAR:KEY=PIDGFMBUVO&amp;VAR:QUERY=RkZfRUJJVF9PUEVSKExUTVMsMCwsLCxJQ19DVVJSRU5DWV9JU08oKSk=&amp;WINDOW=FIRST_POPUP&amp;HEIGHT=45","0&amp;WIDTH=450&amp;START_MAXIMIZED=FALSE&amp;VAR:CALENDAR=US&amp;VAR:SYMBOL=B03MM4&amp;VAR:INDEX=0"}</definedName>
    <definedName name="_69__123Graph_DCHART_3" hidden="1">'[4]Inputs and Calc'!$BG$256:$BK$256</definedName>
    <definedName name="_69__FDSAUDITLINK__" hidden="1">{"fdsup://Directions/FactSet Auditing Viewer?action=AUDIT_VALUE&amp;DB=129&amp;ID1=24712610&amp;VALUEID=01001&amp;SDATE=2006&amp;PERIODTYPE=ANN_STD&amp;SCFT=3&amp;window=popup_no_bar&amp;width=385&amp;height=120&amp;START_MAXIMIZED=FALSE&amp;creator=factset&amp;display_string=Audit"}</definedName>
    <definedName name="_690__FDSAUDITLINK__" hidden="1">{"fdsup://directions/FAT Viewer?action=UPDATE&amp;creator=factset&amp;DYN_ARGS=TRUE&amp;DOC_NAME=FAT:FQL_AUDITING_CLIENT_TEMPLATE.FAT&amp;display_string=Audit&amp;VAR:KEY=CFWLCZWJAH&amp;VAR:QUERY=RkZfSU5UX0VYUF9ORVQoTFRNUywwLCwsLElDX0NVUlJFTkNZX0lTTygpKQ==&amp;WINDOW=FIRST_POPUP&amp;HEIGH","T=450&amp;WIDTH=450&amp;START_MAXIMIZED=FALSE&amp;VAR:CALENDAR=US&amp;VAR:SYMBOL=B3KHXB&amp;VAR:INDEX=0"}</definedName>
    <definedName name="_691__FDSAUDITLINK__" hidden="1">{"fdsup://directions/FAT Viewer?action=UPDATE&amp;creator=factset&amp;DYN_ARGS=TRUE&amp;DOC_NAME=FAT:FQL_AUDITING_CLIENT_TEMPLATE.FAT&amp;display_string=Audit&amp;VAR:KEY=XEBAHYFWZW&amp;VAR:QUERY=RkZfQ0FQRVgoQU5OLDIwMTAsLCwsSUNfQ1VSUkVOQ1lfSVNPKCksTSk=&amp;WINDOW=FIRST_POPUP&amp;HEIGHT=45","0&amp;WIDTH=450&amp;START_MAXIMIZED=FALSE&amp;VAR:CALENDAR=US&amp;VAR:SYMBOL=B03MM4&amp;VAR:INDEX=0"}</definedName>
    <definedName name="_692__FDSAUDITLINK__" hidden="1">{"fdsup://Directions/FactSet Auditing Viewer?action=AUDIT_VALUE&amp;DB=129&amp;ID1=092528&amp;VALUEID=01001_YTD&amp;SDATE=201004&amp;PERIODTYPE=QTR_STD&amp;window=popup_no_bar&amp;width=385&amp;height=120&amp;START_MAXIMIZED=FALSE&amp;creator=factset&amp;display_string=Audit"}</definedName>
    <definedName name="_693__FDSAUDITLINK__" hidden="1">{"fdsup://Directions/FactSet Auditing Viewer?action=AUDIT_VALUE&amp;DB=129&amp;ID1=B3KHXB&amp;VALUEID=05194&amp;SDATE=2009&amp;PERIODTYPE=ANNR_STD&amp;window=popup_no_bar&amp;width=385&amp;height=120&amp;START_MAXIMIZED=FALSE&amp;creator=factset&amp;display_string=Audit"}</definedName>
    <definedName name="_694__FDSAUDITLINK__" hidden="1">{"fdsup://directions/FAT Viewer?action=UPDATE&amp;creator=factset&amp;DYN_ARGS=TRUE&amp;DOC_NAME=FAT:FQL_AUDITING_CLIENT_TEMPLATE.FAT&amp;display_string=Audit&amp;VAR:KEY=AXUNIFCBCZ&amp;VAR:QUERY=KCgoRkZfREVCVF9MVChRVFIsMEQsLCwsSUNfQ1VSUkVOQ1lfSVNPKCkpQEZGX0RFQlRfTFQoU0VNSSwwRCwsL","CxJQ19DVVJSRU5DWV9JU08oKSkpQEZGX0RFQlRfTFQoTU9OLDBELCwsLElDX0NVUlJFTkNZX0lTTygpKSlARkZfREVCVF9MVChBTk4sMEQsLCwsSUNfQ1VSUkVOQ1lfSVNPKCkpKQ==&amp;WINDOW=FIRST_POPUP&amp;HEIGHT=450&amp;WIDTH=450&amp;START_MAXIMIZED=FALSE&amp;VAR:CALENDAR=US&amp;VAR:SYMBOL=B03MM4&amp;VAR:INDEX=0"}</definedName>
    <definedName name="_695__FDSAUDITLINK__" hidden="1">{"fdsup://Directions/FactSet Auditing Viewer?action=AUDIT_VALUE&amp;DB=129&amp;ID1=B03MM4&amp;VALUEID=03051&amp;SDATE=201004&amp;PERIODTYPE=QTR_STD&amp;window=popup_no_bar&amp;width=385&amp;height=120&amp;START_MAXIMIZED=FALSE&amp;creator=factset&amp;display_string=Audit"}</definedName>
    <definedName name="_696__FDSAUDITLINK__" hidden="1">{"fdsup://Directions/FactSet Auditing Viewer?action=AUDIT_VALUE&amp;DB=129&amp;ID1=B03MM4&amp;VALUEID=02001&amp;SDATE=201004&amp;PERIODTYPE=QTR_STD&amp;window=popup_no_bar&amp;width=385&amp;height=120&amp;START_MAXIMIZED=FALSE&amp;creator=factset&amp;display_string=Audit"}</definedName>
    <definedName name="_697__FDSAUDITLINK__" hidden="1">{"fdsup://directions/FAT Viewer?action=UPDATE&amp;creator=factset&amp;DYN_ARGS=TRUE&amp;DOC_NAME=FAT:FQL_AUDITING_CLIENT_TEMPLATE.FAT&amp;display_string=Audit&amp;VAR:KEY=AXUNIFCBCZ&amp;VAR:QUERY=KCgoRkZfREVCVF9MVChRVFIsMEQsLCwsSUNfQ1VSUkVOQ1lfSVNPKCkpQEZGX0RFQlRfTFQoU0VNSSwwRCwsL","CxJQ19DVVJSRU5DWV9JU08oKSkpQEZGX0RFQlRfTFQoTU9OLDBELCwsLElDX0NVUlJFTkNZX0lTTygpKSlARkZfREVCVF9MVChBTk4sMEQsLCwsSUNfQ1VSUkVOQ1lfSVNPKCkpKQ==&amp;WINDOW=FIRST_POPUP&amp;HEIGHT=450&amp;WIDTH=450&amp;START_MAXIMIZED=FALSE&amp;VAR:CALENDAR=US&amp;VAR:SYMBOL=B03MM4&amp;VAR:INDEX=0"}</definedName>
    <definedName name="_698__FDSAUDITLINK__" hidden="1">{"fdsup://Directions/FactSet Auditing Viewer?action=AUDIT_VALUE&amp;DB=129&amp;ID1=B03MM4&amp;VALUEID=02001&amp;SDATE=201004&amp;PERIODTYPE=QTR_STD&amp;window=popup_no_bar&amp;width=385&amp;height=120&amp;START_MAXIMIZED=FALSE&amp;creator=factset&amp;display_string=Audit"}</definedName>
    <definedName name="_699__FDSAUDITLINK__" hidden="1">{"fdsup://directions/FAT Viewer?action=UPDATE&amp;creator=factset&amp;DYN_ARGS=TRUE&amp;DOC_NAME=FAT:FQL_AUDITING_CLIENT_TEMPLATE.FAT&amp;display_string=Audit&amp;VAR:KEY=NEPMZURUJG&amp;VAR:QUERY=KCgoRkZfREVCVF9MVChRVFIsMEQsLCwsSUNfQ1VSUkVOQ1lfSVNPKCkpQEZGX0RFQlRfTFQoU0VNSSwwRCwsL","CxJQ19DVVJSRU5DWV9JU08oKSkpQEZGX0RFQlRfTFQoUVRSLDBELTEsLCwsSUNfQ1VSUkVOQ1lfSVNPKCkpKUBGRl9ERUJUX0xUKFNFTUksMEQtMSwsLCxJQ19DVVJSRU5DWV9JU08oKSkp&amp;WINDOW=FIRST_POPUP&amp;HEIGHT=450&amp;WIDTH=450&amp;START_MAXIMIZED=FALSE&amp;VAR:CALENDAR=US&amp;VAR:SYMBOL=B03MM4&amp;VAR:INDEX=0"}</definedName>
    <definedName name="_7__FDSAUDITLINK__" hidden="1">{"fdsup://directions/FAT Viewer?action=UPDATE&amp;creator=factset&amp;DYN_ARGS=TRUE&amp;DOC_NAME=FAT:FQL_AUDITING_CLIENT_TEMPLATE.FAT&amp;display_string=Audit&amp;VAR:KEY=LYFGXOLWJO&amp;VAR:QUERY=RkZfRU5UUlBSX1ZBTF9FQklUX09QRVJfREFJTFkoMCwsLCwsJ0RJTCcp&amp;WINDOW=FIRST_POPUP&amp;HEIGHT=45","0&amp;WIDTH=450&amp;START_MAXIMIZED=FALSE&amp;VAR:CALENDAR=FIVEDAY&amp;VAR:SYMBOL=685876&amp;VAR:INDEX=0"}</definedName>
    <definedName name="_70__123Graph_DCHART_31" hidden="1">'[2]Hrs Wkd Per T'!$G$22:$AP$22</definedName>
    <definedName name="_70__FDSAUDITLINK__" hidden="1">{"fdsup://Directions/FactSet Auditing Viewer?action=AUDIT_VALUE&amp;DB=129&amp;ID1=24712610&amp;VALUEID=01001&amp;SDATE=2005&amp;PERIODTYPE=ANN_STD&amp;SCFT=3&amp;window=popup_no_bar&amp;width=385&amp;height=120&amp;START_MAXIMIZED=FALSE&amp;creator=factset&amp;display_string=Audit"}</definedName>
    <definedName name="_700__FDSAUDITLINK__" hidden="1">{"fdsup://Directions/FactSet Auditing Viewer?action=AUDIT_VALUE&amp;DB=129&amp;ID1=B03MM4&amp;VALUEID=03051&amp;SDATE=201004&amp;PERIODTYPE=QTR_STD&amp;window=popup_no_bar&amp;width=385&amp;height=120&amp;START_MAXIMIZED=FALSE&amp;creator=factset&amp;display_string=Audit"}</definedName>
    <definedName name="_702__FDSAUDITLINK__" hidden="1">{"fdsup://directions/FAT Viewer?action=UPDATE&amp;creator=factset&amp;DYN_ARGS=TRUE&amp;DOC_NAME=FAT:FQL_AUDITING_CLIENT_TEMPLATE.FAT&amp;display_string=Audit&amp;VAR:KEY=KJIVSPCPIF&amp;VAR:QUERY=RkZfRUJJVERBX09QRVIoQU5OLDIwMTAsLCwsSUNfQ1VSUkVOQ1lfSVNPKCksTSk=&amp;WINDOW=FIRST_POPUP&amp;H","EIGHT=450&amp;WIDTH=450&amp;START_MAXIMIZED=FALSE&amp;VAR:CALENDAR=US&amp;VAR:SYMBOL=00282410&amp;VAR:INDEX=0"}</definedName>
    <definedName name="_703__FDSAUDITLINK__" hidden="1">{"fdsup://Directions/FactSet Auditing Viewer?action=AUDIT_VALUE&amp;DB=129&amp;ID1=00282410&amp;VALUEID=01151&amp;SDATE=2010&amp;PERIODTYPE=ANN_STD&amp;window=popup_no_bar&amp;width=385&amp;height=120&amp;START_MAXIMIZED=FALSE&amp;creator=factset&amp;display_string=Audit"}</definedName>
    <definedName name="_704__FDSAUDITLINK__" hidden="1">{"fdsup://directions/FAT Viewer?action=UPDATE&amp;creator=factset&amp;DYN_ARGS=TRUE&amp;DOC_NAME=FAT:FQL_AUDITING_CLIENT_TEMPLATE.FAT&amp;display_string=Audit&amp;VAR:KEY=OXIVUDENUP&amp;VAR:QUERY=RkZfRUJJVF9PUEVSKEFOTiwyMDEwLCwsLElDX0NVUlJFTkNZX0lTTygpLE0p&amp;WINDOW=FIRST_POPUP&amp;HEIGH","T=450&amp;WIDTH=450&amp;START_MAXIMIZED=FALSE&amp;VAR:CALENDAR=US&amp;VAR:SYMBOL=00282410&amp;VAR:INDEX=0"}</definedName>
    <definedName name="_705__FDSAUDITLINK__" hidden="1">{"fdsup://Directions/FactSet Auditing Viewer?action=AUDIT_VALUE&amp;DB=129&amp;ID1=00282410&amp;VALUEID=01250&amp;SDATE=2010&amp;PERIODTYPE=ANN_STD&amp;window=popup_no_bar&amp;width=385&amp;height=120&amp;START_MAXIMIZED=FALSE&amp;creator=factset&amp;display_string=Audit"}</definedName>
    <definedName name="_706__FDSAUDITLINK__" hidden="1">{"fdsup://directions/FAT Viewer?action=UPDATE&amp;creator=factset&amp;DYN_ARGS=TRUE&amp;DOC_NAME=FAT:FQL_AUDITING_CLIENT_TEMPLATE.FAT&amp;display_string=Audit&amp;VAR:KEY=ANAPKTWNAR&amp;VAR:QUERY=RkZfRVBTX0RJTChBTk4sMjAxMCwsLCxJQ19DVVJSRU5DWV9JU08oKSk=&amp;WINDOW=FIRST_POPUP&amp;HEIGHT=45","0&amp;WIDTH=450&amp;START_MAXIMIZED=FALSE&amp;VAR:CALENDAR=US&amp;VAR:SYMBOL=00282410&amp;VAR:INDEX=0"}</definedName>
    <definedName name="_707__FDSAUDITLINK__" hidden="1">{"fdsup://directions/FAT Viewer?action=UPDATE&amp;creator=factset&amp;DYN_ARGS=TRUE&amp;DOC_NAME=FAT:FQL_AUDITING_CLIENT_TEMPLATE.FAT&amp;display_string=Audit&amp;VAR:KEY=QRIXKZCFUJ&amp;VAR:QUERY=RkZfQ0FQRVgoQU5OLDIwMTAsLCwsSUNfQ1VSUkVOQ1lfSVNPKCksTSk=&amp;WINDOW=FIRST_POPUP&amp;HEIGHT=45","0&amp;WIDTH=450&amp;START_MAXIMIZED=FALSE&amp;VAR:CALENDAR=US&amp;VAR:SYMBOL=00282410&amp;VAR:INDEX=0"}</definedName>
    <definedName name="_708__FDSAUDITLINK__" hidden="1">{"fdsup://Directions/FactSet Auditing Viewer?action=AUDIT_VALUE&amp;DB=129&amp;ID1=00282410&amp;VALUEID=01201&amp;SDATE=2010&amp;PERIODTYPE=ANN_STD&amp;window=popup_no_bar&amp;width=385&amp;height=120&amp;START_MAXIMIZED=FALSE&amp;creator=factset&amp;display_string=Audit"}</definedName>
    <definedName name="_709__FDSAUDITLINK__" hidden="1">{"fdsup://Directions/FactSet Auditing Viewer?action=AUDIT_VALUE&amp;DB=129&amp;ID1=00282410&amp;VALUEID=04831&amp;SDATE=2010&amp;PERIODTYPE=ANN_STD&amp;window=popup_no_bar&amp;width=385&amp;height=120&amp;START_MAXIMIZED=FALSE&amp;creator=factset&amp;display_string=Audit"}</definedName>
    <definedName name="_71__123Graph_DCHART_4" hidden="1">'[4]Inputs and Calc'!$BG$257:$BK$257</definedName>
    <definedName name="_71__FDSAUDITLINK__" hidden="1">{"fdsup://Directions/FactSet Auditing Viewer?action=AUDIT_VALUE&amp;DB=129&amp;ID1=455710&amp;VALUEID=01001&amp;SDATE=2010&amp;PERIODTYPE=ANN_STD&amp;SCFT=3&amp;window=popup_no_bar&amp;width=385&amp;height=120&amp;START_MAXIMIZED=FALSE&amp;creator=factset&amp;display_string=Audit"}</definedName>
    <definedName name="_710__FDSAUDITLINK__" hidden="1">{"fdsup://directions/FAT Viewer?action=UPDATE&amp;creator=factset&amp;DYN_ARGS=TRUE&amp;DOC_NAME=FAT:FQL_AUDITING_CLIENT_TEMPLATE.FAT&amp;display_string=Audit&amp;VAR:KEY=ATQPSRQRMB&amp;VAR:QUERY=RkZfSU5UX0VYUF9ORVQoTFRNUywwLCwsLElDX0NVUlJFTkNZX0lTTygpKQ==&amp;WINDOW=FIRST_POPUP&amp;HEIGH","T=450&amp;WIDTH=450&amp;START_MAXIMIZED=FALSE&amp;VAR:CALENDAR=US&amp;VAR:SYMBOL=00282410&amp;VAR:INDEX=0"}</definedName>
    <definedName name="_711__FDSAUDITLINK__" hidden="1">{"fdsup://directions/FAT Viewer?action=UPDATE&amp;creator=factset&amp;DYN_ARGS=TRUE&amp;DOC_NAME=FAT:FQL_AUDITING_CLIENT_TEMPLATE.FAT&amp;display_string=Audit&amp;VAR:KEY=GJQVIRSFYB&amp;VAR:QUERY=RkZfTkVUX0lOQyhMVE1TLDAsLCwsSUNfQ1VSUkVOQ1lfSVNPKCkp&amp;WINDOW=FIRST_POPUP&amp;HEIGHT=450&amp;WI","DTH=450&amp;START_MAXIMIZED=FALSE&amp;VAR:CALENDAR=US&amp;VAR:SYMBOL=00282410&amp;VAR:INDEX=0"}</definedName>
    <definedName name="_712__FDSAUDITLINK__" hidden="1">{"fdsup://directions/FAT Viewer?action=UPDATE&amp;creator=factset&amp;DYN_ARGS=TRUE&amp;DOC_NAME=FAT:FQL_AUDITING_CLIENT_TEMPLATE.FAT&amp;display_string=Audit&amp;VAR:KEY=AJWXSFKZEL&amp;VAR:QUERY=RkZfRUJJVF9PUEVSKExUTVMsMCwsLCxJQ19DVVJSRU5DWV9JU08oKSk=&amp;WINDOW=FIRST_POPUP&amp;HEIGHT=45","0&amp;WIDTH=450&amp;START_MAXIMIZED=FALSE&amp;VAR:CALENDAR=US&amp;VAR:SYMBOL=00282410&amp;VAR:INDEX=0"}</definedName>
    <definedName name="_713__FDSAUDITLINK__" hidden="1">{"fdsup://directions/FAT Viewer?action=UPDATE&amp;creator=factset&amp;DYN_ARGS=TRUE&amp;DOC_NAME=FAT:FQL_AUDITING_CLIENT_TEMPLATE.FAT&amp;display_string=Audit&amp;VAR:KEY=AXCNSNAZGN&amp;VAR:QUERY=RkZfRUJJVERBX09QRVIoTFRNUywwLCwsLElDX0NVUlJFTkNZX0lTTygpKQ==&amp;WINDOW=FIRST_POPUP&amp;HEIGH","T=450&amp;WIDTH=450&amp;START_MAXIMIZED=FALSE&amp;VAR:CALENDAR=US&amp;VAR:SYMBOL=00282410&amp;VAR:INDEX=0"}</definedName>
    <definedName name="_714__FDSAUDITLINK__" hidden="1">{"fdsup://Directions/FactSet Auditing Viewer?action=AUDIT_VALUE&amp;DB=129&amp;ID1=00282410&amp;VALUEID=03426&amp;SDATE=201004&amp;PERIODTYPE=QTR_STD&amp;window=popup_no_bar&amp;width=385&amp;height=120&amp;START_MAXIMIZED=FALSE&amp;creator=factset&amp;display_string=Audit"}</definedName>
    <definedName name="_715__FDSAUDITLINK__" hidden="1">{"fdsup://directions/FAT Viewer?action=UPDATE&amp;creator=factset&amp;DYN_ARGS=TRUE&amp;DOC_NAME=FAT:FQL_AUDITING_CLIENT_TEMPLATE.FAT&amp;display_string=Audit&amp;VAR:KEY=MXUDGLWHKP&amp;VAR:QUERY=KCgoRkZfREVCVF9MVChRVFIsMEQsLCwsSUNfQ1VSUkVOQ1lfSVNPKCkpQEZGX0RFQlRfTFQoU0VNSSwwRCwsL","CxJQ19DVVJSRU5DWV9JU08oKSkpQEZGX0RFQlRfTFQoUVRSLDBELTEsLCwsSUNfQ1VSUkVOQ1lfSVNPKCkpKUBGRl9ERUJUX0xUKFNFTUksMEQtMSwsLCxJQ19DVVJSRU5DWV9JU08oKSkp&amp;WINDOW=FIRST_POPUP&amp;HEIGHT=450&amp;WIDTH=450&amp;START_MAXIMIZED=FALSE&amp;VAR:CALENDAR=US&amp;VAR:SYMBOL=00282410&amp;VAR:INDEX=0"}</definedName>
    <definedName name="_716__FDSAUDITLINK__" hidden="1">{"fdsup://Directions/FactSet Auditing Viewer?action=AUDIT_VALUE&amp;DB=129&amp;ID1=00282410&amp;VALUEID=03051&amp;SDATE=201004&amp;PERIODTYPE=QTR_STD&amp;window=popup_no_bar&amp;width=385&amp;height=120&amp;START_MAXIMIZED=FALSE&amp;creator=factset&amp;display_string=Audit"}</definedName>
    <definedName name="_717__FDSAUDITLINK__" hidden="1">{"fdsup://Directions/FactSet Auditing Viewer?action=AUDIT_VALUE&amp;DB=129&amp;ID1=00282410&amp;VALUEID=02001&amp;SDATE=201004&amp;PERIODTYPE=QTR_STD&amp;window=popup_no_bar&amp;width=385&amp;height=120&amp;START_MAXIMIZED=FALSE&amp;creator=factset&amp;display_string=Audit"}</definedName>
    <definedName name="_718__FDSAUDITLINK__" hidden="1">{"fdsup://directions/FAT Viewer?action=UPDATE&amp;creator=factset&amp;DYN_ARGS=TRUE&amp;DOC_NAME=FAT:FQL_AUDITING_CLIENT_TEMPLATE.FAT&amp;display_string=Audit&amp;VAR:KEY=OFQDMRKJOX&amp;VAR:QUERY=RkZfSU5UX0VYUF9ORVQoTFRNUywwLCwsLElDX0NVUlJFTkNZX0lTTygpKQ==&amp;WINDOW=FIRST_POPUP&amp;HEIGH","T=450&amp;WIDTH=450&amp;START_MAXIMIZED=FALSE&amp;VAR:CALENDAR=US&amp;VAR:SYMBOL=B£KHXB&amp;VAR:INDEX=0"}</definedName>
    <definedName name="_719__FDSAUDITLINK__" hidden="1">{"fdsup://directions/FAT Viewer?action=UPDATE&amp;creator=factset&amp;DYN_ARGS=TRUE&amp;DOC_NAME=FAT:FQL_AUDITING_CLIENT_TEMPLATE.FAT&amp;display_string=Audit&amp;VAR:KEY=YXUDMZQRQF&amp;VAR:QUERY=RkZfTkVUX0lOQyhMVE1TLDAsLCwsSUNfQ1VSUkVOQ1lfSVNPKCkp&amp;WINDOW=FIRST_POPUP&amp;HEIGHT=450&amp;WI","DTH=450&amp;START_MAXIMIZED=FALSE&amp;VAR:CALENDAR=US&amp;VAR:SYMBOL=B£KHXB&amp;VAR:INDEX=0"}</definedName>
    <definedName name="_72__123Graph_DCHART_5" hidden="1">'[4]Inputs and Calc'!$F$320:$I$320</definedName>
    <definedName name="_72__FDSAUDITLINK__" hidden="1">{"fdsup://Directions/FactSet Auditing Viewer?action=AUDIT_VALUE&amp;DB=129&amp;ID1=455710&amp;VALUEID=01001&amp;SDATE=2006&amp;PERIODTYPE=ANN_STD&amp;SCFT=3&amp;window=popup_no_bar&amp;width=385&amp;height=120&amp;START_MAXIMIZED=FALSE&amp;creator=factset&amp;display_string=Audit"}</definedName>
    <definedName name="_720__FDSAUDITLINK__" hidden="1">{"fdsup://directions/FAT Viewer?action=UPDATE&amp;creator=factset&amp;DYN_ARGS=TRUE&amp;DOC_NAME=FAT:FQL_AUDITING_CLIENT_TEMPLATE.FAT&amp;display_string=Audit&amp;VAR:KEY=OBMXCNQVQX&amp;VAR:QUERY=RkZfRUJJVF9PUEVSKExUTVMsMCwsLCxJQ19DVVJSRU5DWV9JU08oKSk=&amp;WINDOW=FIRST_POPUP&amp;HEIGHT=45","0&amp;WIDTH=450&amp;START_MAXIMIZED=FALSE&amp;VAR:CALENDAR=US&amp;VAR:SYMBOL=B£KHXB&amp;VAR:INDEX=0"}</definedName>
    <definedName name="_721__FDSAUDITLINK__" hidden="1">{"fdsup://directions/FAT Viewer?action=UPDATE&amp;creator=factset&amp;DYN_ARGS=TRUE&amp;DOC_NAME=FAT:FQL_AUDITING_CLIENT_TEMPLATE.FAT&amp;display_string=Audit&amp;VAR:KEY=SPINQPUTGZ&amp;VAR:QUERY=RkZfRUJJVERBX09QRVIoTFRNUywwLCwsLElDX0NVUlJFTkNZX0lTTygpKQ==&amp;WINDOW=FIRST_POPUP&amp;HEIGH","T=450&amp;WIDTH=450&amp;START_MAXIMIZED=FALSE&amp;VAR:CALENDAR=US&amp;VAR:SYMBOL=B£KHXB&amp;VAR:INDEX=0"}</definedName>
    <definedName name="_722__FDSAUDITLINK__" hidden="1">{"fdsup://directions/FAT Viewer?action=UPDATE&amp;creator=factset&amp;DYN_ARGS=TRUE&amp;DOC_NAME=FAT:FQL_AUDITING_CLIENT_TEMPLATE.FAT&amp;display_string=Audit&amp;VAR:KEY=CNUFWNEVON&amp;VAR:QUERY=KCgoRkZfREVCVF9MVChRVFIsMEQsLCwsSUNfQ1VSUkVOQ1lfSVNPKCkpQEZGX0RFQlRfTFQoU0VNSSwwRCwsL","CxJQ19DVVJSRU5DWV9JU08oKSkpQEZGX0RFQlRfTFQoUVRSLDBELTEsLCwsSUNfQ1VSUkVOQ1lfSVNPKCkpKUBGRl9ERUJUX0xUKFNFTUksMEQtMSwsLCxJQ19DVVJSRU5DWV9JU08oKSkp&amp;WINDOW=FIRST_POPUP&amp;HEIGHT=450&amp;WIDTH=450&amp;START_MAXIMIZED=FALSE&amp;VAR:CALENDAR=US&amp;VAR:SYMBOL=B£KHXB&amp;VAR:INDEX=0"}</definedName>
    <definedName name="_723__FDSAUDITLINK__" hidden="1">{"fdsup://directions/FAT Viewer?action=UPDATE&amp;creator=factset&amp;DYN_ARGS=TRUE&amp;DOC_NAME=FAT:FQL_AUDITING_CLIENT_TEMPLATE.FAT&amp;display_string=Audit&amp;VAR:KEY=YPIXYJWFQX&amp;VAR:QUERY=KCgoRkZfREVCVF9MVChRVFIsMEQsLCwsSUNfQ1VSUkVOQ1lfSVNPKCkpQEZGX0RFQlRfTFQoU0VNSSwwRCwsL","CxJQ19DVVJSRU5DWV9JU08oKSkpQEZGX0RFQlRfTFQoUVRSLDBELTEsLCwsSUNfQ1VSUkVOQ1lfSVNPKCkpKUBGRl9ERUJUX0xUKFNFTUksMEQtMSwsLCxJQ19DVVJSRU5DWV9JU08oKSkp&amp;WINDOW=FIRST_POPUP&amp;HEIGHT=450&amp;WIDTH=450&amp;START_MAXIMIZED=FALSE&amp;VAR:CALENDAR=US&amp;VAR:SYMBOL=B3KHXB&amp;VAR:INDEX=0"}</definedName>
    <definedName name="_724__FDSAUDITLINK__" hidden="1">{"fdsup://Directions/FactSet Auditing Viewer?action=AUDIT_VALUE&amp;DB=129&amp;ID1=B3KHXB&amp;VALUEID=03051&amp;SDATE=201001&amp;PERIODTYPE=SEMI_STD&amp;window=popup_no_bar&amp;width=385&amp;height=120&amp;START_MAXIMIZED=FALSE&amp;creator=factset&amp;display_string=Audit"}</definedName>
    <definedName name="_725__FDSAUDITLINK__" hidden="1">{"fdsup://Directions/FactSet Auditing Viewer?action=AUDIT_VALUE&amp;DB=129&amp;ID1=B3KHXB&amp;VALUEID=02001&amp;SDATE=201001&amp;PERIODTYPE=SEMI_STD&amp;window=popup_no_bar&amp;width=385&amp;height=120&amp;START_MAXIMIZED=FALSE&amp;creator=factset&amp;display_string=Audit"}</definedName>
    <definedName name="_726__FDSAUDITLINK__" hidden="1">{"fdsup://directions/FAT Viewer?action=UPDATE&amp;creator=factset&amp;DYN_ARGS=TRUE&amp;DOC_NAME=FAT:FQL_AUDITING_CLIENT_TEMPLATE.FAT&amp;display_string=Audit&amp;VAR:KEY=WDKXSDYJWZ&amp;VAR:QUERY=RkZfQ0FQRVgoQU5OLDQwMTc4LCwsLElDX0NVUlJFTkNZX0lTTygpLE0p&amp;WINDOW=FIRST_POPUP&amp;HEIGHT=45","0&amp;WIDTH=450&amp;START_MAXIMIZED=FALSE&amp;VAR:CALENDAR=US&amp;VAR:SYMBOL=00282410&amp;VAR:INDEX=0"}</definedName>
    <definedName name="_727__FDSAUDITLINK__" hidden="1">{"fdsup://Directions/FactSet Auditing Viewer?action=AUDIT_VALUE&amp;DB=129&amp;ID1=572797&amp;VALUEID=01001&amp;SDATE=2010&amp;PERIODTYPE=ANN_STD&amp;window=popup_no_bar&amp;width=385&amp;height=120&amp;START_MAXIMIZED=FALSE&amp;creator=factset&amp;display_string=Audit"}</definedName>
    <definedName name="_728__FDSAUDITLINK__" hidden="1">{"fdsup://Directions/FactSet Auditing Viewer?action=AUDIT_VALUE&amp;DB=129&amp;ID1=00282410&amp;VALUEID=01151&amp;SDATE=2008&amp;PERIODTYPE=ANN_STD&amp;window=popup_no_bar&amp;width=385&amp;height=120&amp;START_MAXIMIZED=FALSE&amp;creator=factset&amp;display_string=Audit"}</definedName>
    <definedName name="_729__FDSAUDITLINK__" hidden="1">{"fdsup://directions/FAT Viewer?action=UPDATE&amp;creator=factset&amp;DYN_ARGS=TRUE&amp;DOC_NAME=FAT:FQL_AUDITING_CLIENT_TEMPLATE.FAT&amp;display_string=Audit&amp;VAR:KEY=ABAPMXCFGX&amp;VAR:QUERY=RkZfRUJJVF9PUEVSKEFOTiwzOTgxMywsLCxJQ19DVVJSRU5DWV9JU08oKSxNKQ==&amp;WINDOW=FIRST_POPUP&amp;H","EIGHT=450&amp;WIDTH=450&amp;START_MAXIMIZED=FALSE&amp;VAR:CALENDAR=US&amp;VAR:SYMBOL=00282410&amp;VAR:INDEX=0"}</definedName>
    <definedName name="_73__FDSAUDITLINK__" hidden="1">{"fdsup://Directions/FactSet Auditing Viewer?action=AUDIT_VALUE&amp;DB=129&amp;ID1=78463510&amp;VALUEID=01001&amp;SDATE=2009&amp;PERIODTYPE=ANN_STD&amp;SCFT=3&amp;window=popup_no_bar&amp;width=385&amp;height=120&amp;START_MAXIMIZED=FALSE&amp;creator=factset&amp;display_string=Audit"}</definedName>
    <definedName name="_730__FDSAUDITLINK__" hidden="1">{"fdsup://Directions/FactSet Auditing Viewer?action=AUDIT_VALUE&amp;DB=129&amp;ID1=00282410&amp;VALUEID=01250&amp;SDATE=2008&amp;PERIODTYPE=ANN_STD&amp;window=popup_no_bar&amp;width=385&amp;height=120&amp;START_MAXIMIZED=FALSE&amp;creator=factset&amp;display_string=Audit"}</definedName>
    <definedName name="_731__FDSAUDITLINK__" hidden="1">{"fdsup://directions/FAT Viewer?action=UPDATE&amp;creator=factset&amp;DYN_ARGS=TRUE&amp;DOC_NAME=FAT:FQL_AUDITING_CLIENT_TEMPLATE.FAT&amp;display_string=Audit&amp;VAR:KEY=IBKJIVOBGX&amp;VAR:QUERY=RkZfRVBTX0RJTChBTk4sMzk4MTMsLCwsSUNfQ1VSUkVOQ1lfSVNPKCkp&amp;WINDOW=FIRST_POPUP&amp;HEIGHT=45","0&amp;WIDTH=450&amp;START_MAXIMIZED=FALSE&amp;VAR:CALENDAR=US&amp;VAR:SYMBOL=00282410&amp;VAR:INDEX=0"}</definedName>
    <definedName name="_732__FDSAUDITLINK__" hidden="1">{"fdsup://Directions/FactSet Auditing Viewer?action=AUDIT_VALUE&amp;DB=129&amp;ID1=00282410&amp;VALUEID=05194&amp;SDATE=2008&amp;PERIODTYPE=ANNR_STD&amp;window=popup_no_bar&amp;width=385&amp;height=120&amp;START_MAXIMIZED=FALSE&amp;creator=factset&amp;display_string=Audit"}</definedName>
    <definedName name="_733__FDSAUDITLINK__" hidden="1">{"fdsup://directions/FAT Viewer?action=UPDATE&amp;creator=factset&amp;DYN_ARGS=TRUE&amp;DOC_NAME=FAT:FQL_AUDITING_CLIENT_TEMPLATE.FAT&amp;display_string=Audit&amp;VAR:KEY=DWPGNYLGHY&amp;VAR:QUERY=RkZfQ0FQRVgoQU5OLDIwMTAsLCwsSUNfQ1VSUkVOQ1lfSVNPKCksTSk=&amp;WINDOW=FIRST_POPUP&amp;HEIGHT=45","0&amp;WIDTH=450&amp;START_MAXIMIZED=FALSE&amp;VAR:CALENDAR=US&amp;VAR:SYMBOL=572797&amp;VAR:INDEX=0"}</definedName>
    <definedName name="_734__FDSAUDITLINK__" hidden="1">{"fdsup://directions/FAT Viewer?action=UPDATE&amp;creator=factset&amp;DYN_ARGS=TRUE&amp;DOC_NAME=FAT:FQL_AUDITING_CLIENT_TEMPLATE.FAT&amp;display_string=Audit&amp;VAR:KEY=SPQRQBGBYL&amp;VAR:QUERY=RkZfQ0FQRVgoQU5OLDM5ODEzLCwsLElDX0NVUlJFTkNZX0lTTygpLE0p&amp;WINDOW=FIRST_POPUP&amp;HEIGHT=45","0&amp;WIDTH=450&amp;START_MAXIMIZED=FALSE&amp;VAR:CALENDAR=US&amp;VAR:SYMBOL=00282410&amp;VAR:INDEX=0"}</definedName>
    <definedName name="_735__FDSAUDITLINK__" hidden="1">{"fdsup://Directions/FactSet Auditing Viewer?action=AUDIT_VALUE&amp;DB=129&amp;ID1=572797&amp;VALUEID=04831&amp;SDATE=2010&amp;PERIODTYPE=ANN_STD&amp;window=popup_no_bar&amp;width=385&amp;height=120&amp;START_MAXIMIZED=FALSE&amp;creator=factset&amp;display_string=Audit"}</definedName>
    <definedName name="_736__FDSAUDITLINK__" hidden="1">{"fdsup://Directions/FactSet Auditing Viewer?action=AUDIT_VALUE&amp;DB=129&amp;ID1=00282410&amp;VALUEID=01201&amp;SDATE=2008&amp;PERIODTYPE=ANN_STD&amp;window=popup_no_bar&amp;width=385&amp;height=120&amp;START_MAXIMIZED=FALSE&amp;creator=factset&amp;display_string=Audit"}</definedName>
    <definedName name="_737__FDSAUDITLINK__" hidden="1">{"fdsup://Directions/FactSet Auditing Viewer?action=AUDIT_VALUE&amp;DB=129&amp;ID1=00282410&amp;VALUEID=04831&amp;SDATE=2008&amp;PERIODTYPE=ANN_STD&amp;window=popup_no_bar&amp;width=385&amp;height=120&amp;START_MAXIMIZED=FALSE&amp;creator=factset&amp;display_string=Audit"}</definedName>
    <definedName name="_738__FDSAUDITLINK__" hidden="1">{"fdsup://Directions/FactSet Auditing Viewer?action=AUDIT_VALUE&amp;DB=129&amp;ID1=00282410&amp;VALUEID=01001&amp;SDATE=2009&amp;PERIODTYPE=ANN_STD&amp;window=popup_no_bar&amp;width=385&amp;height=120&amp;START_MAXIMIZED=FALSE&amp;creator=factset&amp;display_string=Audit"}</definedName>
    <definedName name="_739__FDSAUDITLINK__" hidden="1">{"fdsup://directions/FAT Viewer?action=UPDATE&amp;creator=factset&amp;DYN_ARGS=TRUE&amp;DOC_NAME=FAT:FQL_AUDITING_CLIENT_TEMPLATE.FAT&amp;display_string=Audit&amp;VAR:KEY=KHWJMDSRED&amp;VAR:QUERY=RkZfRUJJVERBX09QRVIoQU5OLDQwMTc4LCwsLElDX0NVUlJFTkNZX0lTTygpLE0p&amp;WINDOW=FIRST_POPUP&amp;H","EIGHT=450&amp;WIDTH=450&amp;START_MAXIMIZED=FALSE&amp;VAR:CALENDAR=US&amp;VAR:SYMBOL=00282410&amp;VAR:INDEX=0"}</definedName>
    <definedName name="_74__123Graph_DCHART_7" hidden="1">'[4]Inputs and Calc'!$BG$255:$BK$255</definedName>
    <definedName name="_74__FDSAUDITLINK__" hidden="1">{"fdsup://Directions/FactSet Auditing Viewer?action=AUDIT_VALUE&amp;DB=129&amp;ID1=78463510&amp;VALUEID=01001&amp;SDATE=2008&amp;PERIODTYPE=ANN_STD&amp;SCFT=3&amp;window=popup_no_bar&amp;width=385&amp;height=120&amp;START_MAXIMIZED=FALSE&amp;creator=factset&amp;display_string=Audit"}</definedName>
    <definedName name="_740__FDSAUDITLINK__" hidden="1">{"fdsup://Directions/FactSet Auditing Viewer?action=AUDIT_VALUE&amp;DB=129&amp;ID1=572797&amp;VALUEID=03426&amp;SDATE=201101&amp;PERIODTYPE=QTR_STD&amp;window=popup_no_bar&amp;width=385&amp;height=120&amp;START_MAXIMIZED=FALSE&amp;creator=factset&amp;display_string=Audit"}</definedName>
    <definedName name="_741__FDSAUDITLINK__" hidden="1">{"fdsup://Directions/FactSet Auditing Viewer?action=AUDIT_VALUE&amp;DB=129&amp;ID1=00282410&amp;VALUEID=01151&amp;SDATE=2009&amp;PERIODTYPE=ANN_STD&amp;window=popup_no_bar&amp;width=385&amp;height=120&amp;START_MAXIMIZED=FALSE&amp;creator=factset&amp;display_string=Audit"}</definedName>
    <definedName name="_742__FDSAUDITLINK__" hidden="1">{"fdsup://directions/FAT Viewer?action=UPDATE&amp;creator=factset&amp;DYN_ARGS=TRUE&amp;DOC_NAME=FAT:FQL_AUDITING_CLIENT_TEMPLATE.FAT&amp;display_string=Audit&amp;VAR:KEY=QPETUHOLQX&amp;VAR:QUERY=RkZfRUJJVF9PUEVSKEFOTiw0MDE3OCwsLCxJQ19DVVJSRU5DWV9JU08oKSxNKQ==&amp;WINDOW=FIRST_POPUP&amp;H","EIGHT=450&amp;WIDTH=450&amp;START_MAXIMIZED=FALSE&amp;VAR:CALENDAR=US&amp;VAR:SYMBOL=00282410&amp;VAR:INDEX=0"}</definedName>
    <definedName name="_743__FDSAUDITLINK__" hidden="1">{"fdsup://Directions/FactSet Auditing Viewer?action=AUDIT_VALUE&amp;DB=129&amp;ID1=00282410&amp;VALUEID=01250&amp;SDATE=2009&amp;PERIODTYPE=ANN_STD&amp;window=popup_no_bar&amp;width=385&amp;height=120&amp;START_MAXIMIZED=FALSE&amp;creator=factset&amp;display_string=Audit"}</definedName>
    <definedName name="_744__FDSAUDITLINK__" hidden="1">{"fdsup://directions/FAT Viewer?action=UPDATE&amp;creator=factset&amp;DYN_ARGS=TRUE&amp;DOC_NAME=FAT:FQL_AUDITING_CLIENT_TEMPLATE.FAT&amp;display_string=Audit&amp;VAR:KEY=GRKPMREBUB&amp;VAR:QUERY=RkZfRVBTX0RJTChBTk4sNDAxNzgsLCwsSUNfQ1VSUkVOQ1lfSVNPKCkp&amp;WINDOW=FIRST_POPUP&amp;HEIGHT=45","0&amp;WIDTH=450&amp;START_MAXIMIZED=FALSE&amp;VAR:CALENDAR=US&amp;VAR:SYMBOL=00282410&amp;VAR:INDEX=0"}</definedName>
    <definedName name="_745__FDSAUDITLINK__" hidden="1">{"fdsup://directions/FAT Viewer?action=UPDATE&amp;creator=factset&amp;DYN_ARGS=TRUE&amp;DOC_NAME=FAT:FQL_AUDITING_CLIENT_TEMPLATE.FAT&amp;display_string=Audit&amp;VAR:KEY=GFOHITGTCT&amp;VAR:QUERY=RkZfRUJJVERBX09QRVIoQU5OLDQwNTQzLCwsLElDX0NVUlJFTkNZX0lTTygpLE0p&amp;WINDOW=FIRST_POPUP&amp;H","EIGHT=450&amp;WIDTH=450&amp;START_MAXIMIZED=FALSE&amp;VAR:CALENDAR=US&amp;VAR:SYMBOL=B03MM4&amp;VAR:INDEX=0"}</definedName>
    <definedName name="_746__FDSAUDITLINK__" hidden="1">{"fdsup://directions/FAT Viewer?action=UPDATE&amp;creator=factset&amp;DYN_ARGS=TRUE&amp;DOC_NAME=FAT:FQL_AUDITING_CLIENT_TEMPLATE.FAT&amp;display_string=Audit&amp;VAR:KEY=YRWXOHGVYR&amp;VAR:QUERY=RkZfQ0FQRVgoQU5OLDQwNTQzLCwsLElDX0NVUlJFTkNZX0lTTygpLE0p&amp;WINDOW=FIRST_POPUP&amp;HEIGHT=45","0&amp;WIDTH=450&amp;START_MAXIMIZED=FALSE&amp;VAR:CALENDAR=US&amp;VAR:SYMBOL=B03MM4&amp;VAR:INDEX=0"}</definedName>
    <definedName name="_747__FDSAUDITLINK__" hidden="1">{"fdsup://directions/FAT Viewer?action=UPDATE&amp;creator=factset&amp;DYN_ARGS=TRUE&amp;DOC_NAME=FAT:FQL_AUDITING_CLIENT_TEMPLATE.FAT&amp;display_string=Audit&amp;VAR:KEY=QJQTQNWTMT&amp;VAR:QUERY=RkZfRUJJVERBX09QRVIoTFRNUywwLCwsLElDX0NVUlJFTkNZX0lTTygpKQ==&amp;WINDOW=FIRST_POPUP&amp;HEIGH","T=450&amp;WIDTH=450&amp;START_MAXIMIZED=FALSE&amp;VAR:CALENDAR=US&amp;VAR:SYMBOL=B03MM4&amp;VAR:INDEX=0"}</definedName>
    <definedName name="_748__FDSAUDITLINK__" hidden="1">{"fdsup://directions/FAT Viewer?action=UPDATE&amp;creator=factset&amp;DYN_ARGS=TRUE&amp;DOC_NAME=FAT:FQL_AUDITING_CLIENT_TEMPLATE.FAT&amp;display_string=Audit&amp;VAR:KEY=WDGPUFGVQX&amp;VAR:QUERY=KCgoRkZfREVCVF9MVChRVFIsMEQsLCwsSUNfQ1VSUkVOQ1lfSVNPKCkpQEZGX0RFQlRfTFQoU0VNSSwwRCwsL","CxJQ19DVVJSRU5DWV9JU08oKSkpQEZGX0RFQlRfTFQoUVRSLDBELTEsLCwsSUNfQ1VSUkVOQ1lfSVNPKCkpKUBGRl9ERUJUX0xUKFNFTUksMEQtMSwsLCxJQ19DVVJSRU5DWV9JU08oKSkp&amp;WINDOW=FIRST_POPUP&amp;HEIGHT=450&amp;WIDTH=450&amp;START_MAXIMIZED=FALSE&amp;VAR:CALENDAR=US&amp;VAR:SYMBOL=B03MM4&amp;VAR:INDEX=0"}</definedName>
    <definedName name="_749__FDSAUDITLINK__" hidden="1">{"fdsup://directions/FAT Viewer?action=UPDATE&amp;creator=factset&amp;DYN_ARGS=TRUE&amp;DOC_NAME=FAT:FQL_AUDITING_CLIENT_TEMPLATE.FAT&amp;display_string=Audit&amp;VAR:KEY=KHYJGJINEN&amp;VAR:QUERY=RkZfQ0FQRVgoQU5OLDM5OTMzLCwsLElDX0NVUlJFTkNZX0lTTygpLE0p&amp;WINDOW=FIRST_POPUP&amp;HEIGHT=45","0&amp;WIDTH=450&amp;START_MAXIMIZED=FALSE&amp;VAR:CALENDAR=US&amp;VAR:SYMBOL=B3KHXB&amp;VAR:INDEX=0"}</definedName>
    <definedName name="_75__123Graph_DCHART_8" hidden="1">'[4]Inputs and Calc'!$BG$258:$BK$258</definedName>
    <definedName name="_75__FDSAUDITLINK__" hidden="1">{"fdsup://Directions/FactSet Auditing Viewer?action=AUDIT_VALUE&amp;DB=129&amp;ID1=78463510&amp;VALUEID=01001&amp;SDATE=2007&amp;PERIODTYPE=ANN_STD&amp;SCFT=3&amp;window=popup_no_bar&amp;width=385&amp;height=120&amp;START_MAXIMIZED=FALSE&amp;creator=factset&amp;display_string=Audit"}</definedName>
    <definedName name="_750__FDSAUDITLINK__" hidden="1">{"fdsup://Directions/FactSet Auditing Viewer?action=AUDIT_VALUE&amp;DB=129&amp;ID1=573282&amp;VALUEID=01001&amp;SDATE=2010&amp;PERIODTYPE=ANN_STD&amp;window=popup_no_bar&amp;width=385&amp;height=120&amp;START_MAXIMIZED=FALSE&amp;creator=factset&amp;display_string=Audit"}</definedName>
    <definedName name="_751__FDSAUDITLINK__" hidden="1">{"fdsup://Directions/FactSet Auditing Viewer?action=AUDIT_VALUE&amp;DB=129&amp;ID1=00282410&amp;VALUEID=04831&amp;SDATE=2009&amp;PERIODTYPE=ANN_STD&amp;window=popup_no_bar&amp;width=385&amp;height=120&amp;START_MAXIMIZED=FALSE&amp;creator=factset&amp;display_string=Audit"}</definedName>
    <definedName name="_752__FDSAUDITLINK__" hidden="1">{"fdsup://Directions/FactSet Auditing Viewer?action=AUDIT_VALUE&amp;DB=129&amp;ID1=573282&amp;VALUEID=01151&amp;SDATE=2010&amp;PERIODTYPE=ANN_STD&amp;window=popup_no_bar&amp;width=385&amp;height=120&amp;START_MAXIMIZED=FALSE&amp;creator=factset&amp;display_string=Audit"}</definedName>
    <definedName name="_753__FDSAUDITLINK__" hidden="1">{"fdsup://Directions/FactSet Auditing Viewer?action=AUDIT_VALUE&amp;DB=129&amp;ID1=B03MM4&amp;VALUEID=01250&amp;SDATE=2010&amp;PERIODTYPE=ANN_STD&amp;window=popup_no_bar&amp;width=385&amp;height=120&amp;START_MAXIMIZED=FALSE&amp;creator=factset&amp;display_string=Audit"}</definedName>
    <definedName name="_754__FDSAUDITLINK__" hidden="1">{"fdsup://Directions/FactSet Auditing Viewer?action=AUDIT_VALUE&amp;DB=129&amp;ID1=573282&amp;VALUEID=01250&amp;SDATE=2010&amp;PERIODTYPE=ANN_STD&amp;window=popup_no_bar&amp;width=385&amp;height=120&amp;START_MAXIMIZED=FALSE&amp;creator=factset&amp;display_string=Audit"}</definedName>
    <definedName name="_755__FDSAUDITLINK__" hidden="1">{"fdsup://directions/FAT Viewer?action=UPDATE&amp;creator=factset&amp;DYN_ARGS=TRUE&amp;DOC_NAME=FAT:FQL_AUDITING_CLIENT_TEMPLATE.FAT&amp;display_string=Audit&amp;VAR:KEY=HCXCTGNARK&amp;VAR:QUERY=RkZfRVBTX0RJTChBTk4sMjAxMCwsLCxJQ19DVVJSRU5DWV9JU08oKSk=&amp;WINDOW=FIRST_POPUP&amp;HEIGHT=45","0&amp;WIDTH=450&amp;START_MAXIMIZED=FALSE&amp;VAR:CALENDAR=US&amp;VAR:SYMBOL=573282&amp;VAR:INDEX=0"}</definedName>
    <definedName name="_756__FDSAUDITLINK__" hidden="1">{"fdsup://directions/FAT Viewer?action=UPDATE&amp;creator=factset&amp;DYN_ARGS=TRUE&amp;DOC_NAME=FAT:FQL_AUDITING_CLIENT_TEMPLATE.FAT&amp;display_string=Audit&amp;VAR:KEY=OBQLODWDGH&amp;VAR:QUERY=RkZfRUJJVF9PUEVSKExUTVMsMCwsLCxJQ19DVVJSRU5DWV9JU08oKSk=&amp;WINDOW=FIRST_POPUP&amp;HEIGHT=45","0&amp;WIDTH=450&amp;START_MAXIMIZED=FALSE&amp;VAR:CALENDAR=US&amp;VAR:SYMBOL=B03MM4&amp;VAR:INDEX=0"}</definedName>
    <definedName name="_76__123Graph_ECHART_10" hidden="1">'[4]Inputs and Calc'!$BG$265:$BK$265</definedName>
    <definedName name="_76__FDSAUDITLINK__" hidden="1">{"fdsup://Directions/FactSet Auditing Viewer?action=AUDIT_VALUE&amp;DB=129&amp;ID1=78463510&amp;VALUEID=01001&amp;SDATE=2005&amp;PERIODTYPE=ANN_STD&amp;SCFT=3&amp;window=popup_no_bar&amp;width=385&amp;height=120&amp;START_MAXIMIZED=FALSE&amp;creator=factset&amp;display_string=Audit"}</definedName>
    <definedName name="_760__FDSAUDITLINK__" hidden="1">{"fdsup://directions/FAT Viewer?action=UPDATE&amp;creator=factset&amp;DYN_ARGS=TRUE&amp;DOC_NAME=FAT:FQL_AUDITING_CLIENT_TEMPLATE.FAT&amp;display_string=Audit&amp;VAR:KEY=NQNEVWPAVE&amp;VAR:QUERY=RkZfRUJJVF9PUEVSKExUTVMsMCwsLCxJQ19DVVJSRU5DWV9JU08oKSk=&amp;WINDOW=FIRST_POPUP&amp;HEIGHT=45","0&amp;WIDTH=450&amp;START_MAXIMIZED=FALSE&amp;VAR:CALENDAR=US&amp;VAR:SYMBOL=573282&amp;VAR:INDEX=0"}</definedName>
    <definedName name="_762__FDSAUDITLINK__" hidden="1">{"fdsup://directions/FAT Viewer?action=UPDATE&amp;creator=factset&amp;DYN_ARGS=TRUE&amp;DOC_NAME=FAT:FQL_AUDITING_CLIENT_TEMPLATE.FAT&amp;display_string=Audit&amp;VAR:KEY=TEPSNSHWVM&amp;VAR:QUERY=KCgoRkZfREVCVF9MVChRVFIsMEQsLCwsSUNfQ1VSUkVOQ1lfSVNPKCkpQEZGX0RFQlRfTFQoU0VNSSwwRCwsL","CxJQ19DVVJSRU5DWV9JU08oKSkpQEZGX0RFQlRfTFQoUVRSLDBELTEsLCwsSUNfQ1VSUkVOQ1lfSVNPKCkpKUBGRl9ERUJUX0xUKFNFTUksMEQtMSwsLCxJQ19DVVJSRU5DWV9JU08oKSkp&amp;WINDOW=FIRST_POPUP&amp;HEIGHT=450&amp;WIDTH=450&amp;START_MAXIMIZED=FALSE&amp;VAR:CALENDAR=US&amp;VAR:SYMBOL=573282&amp;VAR:INDEX=0"}</definedName>
    <definedName name="_765__FDSAUDITLINK__" hidden="1">{"fdsup://Directions/FactSet Auditing Viewer?action=AUDIT_VALUE&amp;DB=129&amp;ID1=B03MM4&amp;VALUEID=03051&amp;SDATE=201004&amp;PERIODTYPE=QTR_STD&amp;window=popup_no_bar&amp;width=385&amp;height=120&amp;START_MAXIMIZED=FALSE&amp;creator=factset&amp;display_string=Audit"}</definedName>
    <definedName name="_766__FDSAUDITLINK__" hidden="1">{"fdsup://directions/FAT Viewer?action=UPDATE&amp;creator=factset&amp;DYN_ARGS=TRUE&amp;DOC_NAME=FAT:FQL_AUDITING_CLIENT_TEMPLATE.FAT&amp;display_string=Audit&amp;VAR:KEY=AREXAZKVEN&amp;VAR:QUERY=RkZfRUJJVERBX09QRVIoQU5OLDM5NTY4LCwsLElDX0NVUlJFTkNZX0lTTygpLE0p&amp;WINDOW=FIRST_POPUP&amp;H","EIGHT=450&amp;WIDTH=450&amp;START_MAXIMIZED=FALSE&amp;VAR:CALENDAR=US&amp;VAR:SYMBOL=B3KHXB&amp;VAR:INDEX=0"}</definedName>
    <definedName name="_767__FDSAUDITLINK__" hidden="1">{"fdsup://Directions/FactSet Auditing Viewer?action=AUDIT_VALUE&amp;DB=129&amp;ID1=B3KHXB&amp;VALUEID=04831&amp;SDATE=2009&amp;PERIODTYPE=ANN_STD&amp;window=popup_no_bar&amp;width=385&amp;height=120&amp;START_MAXIMIZED=FALSE&amp;creator=factset&amp;display_string=Audit"}</definedName>
    <definedName name="_768__FDSAUDITLINK__" hidden="1">{"fdsup://directions/FAT Viewer?action=UPDATE&amp;creator=factset&amp;DYN_ARGS=TRUE&amp;DOC_NAME=FAT:FQL_AUDITING_CLIENT_TEMPLATE.FAT&amp;display_string=Audit&amp;VAR:KEY=AZINCZCLKZ&amp;VAR:QUERY=RkZfRUJJVF9PUEVSKEFOTiwzOTU2OCwsLCxJQ19DVVJSRU5DWV9JU08oKSxNKQ==&amp;WINDOW=FIRST_POPUP&amp;H","EIGHT=450&amp;WIDTH=450&amp;START_MAXIMIZED=FALSE&amp;VAR:CALENDAR=US&amp;VAR:SYMBOL=B3KHXB&amp;VAR:INDEX=0"}</definedName>
    <definedName name="_769__FDSAUDITLINK__" hidden="1">{"fdsup://Directions/FactSet Auditing Viewer?action=AUDIT_VALUE&amp;DB=129&amp;ID1=B3KHXB&amp;VALUEID=01151&amp;SDATE=2009&amp;PERIODTYPE=ANN_STD&amp;window=popup_no_bar&amp;width=385&amp;height=120&amp;START_MAXIMIZED=FALSE&amp;creator=factset&amp;display_string=Audit"}</definedName>
    <definedName name="_77__123Graph_ECHART_11" hidden="1">[2]Summary!$BH$212:$BL$212</definedName>
    <definedName name="_77__FDSAUDITLINK__" hidden="1">{"fdsup://Directions/FactSet Auditing Viewer?action=AUDIT_VALUE&amp;DB=129&amp;ID1=29101110&amp;VALUEID=01001&amp;SDATE=2010&amp;PERIODTYPE=ANN_STD&amp;SCFT=3&amp;window=popup_no_bar&amp;width=385&amp;height=120&amp;START_MAXIMIZED=FALSE&amp;creator=factset&amp;display_string=Audit"}</definedName>
    <definedName name="_770__FDSAUDITLINK__" hidden="1">{"fdsup://directions/FAT Viewer?action=UPDATE&amp;creator=factset&amp;DYN_ARGS=TRUE&amp;DOC_NAME=FAT:FQL_AUDITING_CLIENT_TEMPLATE.FAT&amp;display_string=Audit&amp;VAR:KEY=ANQJERORAZ&amp;VAR:QUERY=RkZfRVBTX0RJTChBTk4sMzk1NjgsLCwsSUNfQ1VSUkVOQ1lfSVNPKCkp&amp;WINDOW=FIRST_POPUP&amp;HEIGHT=45","0&amp;WIDTH=450&amp;START_MAXIMIZED=FALSE&amp;VAR:CALENDAR=US&amp;VAR:SYMBOL=B3KHXB&amp;VAR:INDEX=0"}</definedName>
    <definedName name="_771__FDSAUDITLINK__" hidden="1">{"fdsup://Directions/FactSet Auditing Viewer?action=AUDIT_VALUE&amp;DB=129&amp;ID1=B3KHXB&amp;VALUEID=01250&amp;SDATE=2009&amp;PERIODTYPE=ANN_STD&amp;window=popup_no_bar&amp;width=385&amp;height=120&amp;START_MAXIMIZED=FALSE&amp;creator=factset&amp;display_string=Audit"}</definedName>
    <definedName name="_772__FDSAUDITLINK__" hidden="1">{"fdsup://directions/FAT Viewer?action=UPDATE&amp;creator=factset&amp;DYN_ARGS=TRUE&amp;DOC_NAME=FAT:FQL_AUDITING_CLIENT_TEMPLATE.FAT&amp;display_string=Audit&amp;VAR:KEY=KHEHYPMLGJ&amp;VAR:QUERY=RkZfQ0FQRVgoQU5OLDM5NTY4LCwsLElDX0NVUlJFTkNZX0lTTygpLE0p&amp;WINDOW=FIRST_POPUP&amp;HEIGHT=45","0&amp;WIDTH=450&amp;START_MAXIMIZED=FALSE&amp;VAR:CALENDAR=US&amp;VAR:SYMBOL=B3KHXB&amp;VAR:INDEX=0"}</definedName>
    <definedName name="_773__FDSAUDITLINK__" hidden="1">{"fdsup://directions/FAT Viewer?action=UPDATE&amp;creator=factset&amp;DYN_ARGS=TRUE&amp;DOC_NAME=FAT:FQL_AUDITING_CLIENT_TEMPLATE.FAT&amp;display_string=Audit&amp;VAR:KEY=MPGVWPOBEJ&amp;VAR:QUERY=RkZfRUJJVERBX09QRVIoQU5OLDM5OTMzLCwsLElDX0NVUlJFTkNZX0lTTygpLE0p&amp;WINDOW=FIRST_POPUP&amp;H","EIGHT=450&amp;WIDTH=450&amp;START_MAXIMIZED=FALSE&amp;VAR:CALENDAR=US&amp;VAR:SYMBOL=B3KHXB&amp;VAR:INDEX=0"}</definedName>
    <definedName name="_774__FDSAUDITLINK__" hidden="1">{"fdsup://directions/FAT Viewer?action=UPDATE&amp;creator=factset&amp;DYN_ARGS=TRUE&amp;DOC_NAME=FAT:FQL_AUDITING_CLIENT_TEMPLATE.FAT&amp;display_string=Audit&amp;VAR:KEY=GNUPWBEJSJ&amp;VAR:QUERY=RkZfRUJJVF9PUEVSKEFOTiwzOTkzMywsLCxJQ19DVVJSRU5DWV9JU08oKSxNKQ==&amp;WINDOW=FIRST_POPUP&amp;H","EIGHT=450&amp;WIDTH=450&amp;START_MAXIMIZED=FALSE&amp;VAR:CALENDAR=US&amp;VAR:SYMBOL=B3KHXB&amp;VAR:INDEX=0"}</definedName>
    <definedName name="_775__FDSAUDITLINK__" hidden="1">{"fdsup://Directions/FactSet Auditing Viewer?action=AUDIT_VALUE&amp;DB=129&amp;ID1=B3KHXB&amp;VALUEID=05194&amp;SDATE=2009&amp;PERIODTYPE=ANNR_STD&amp;window=popup_no_bar&amp;width=385&amp;height=120&amp;START_MAXIMIZED=FALSE&amp;creator=factset&amp;display_string=Audit"}</definedName>
    <definedName name="_776__FDSAUDITLINK__" hidden="1">{"fdsup://directions/FAT Viewer?action=UPDATE&amp;creator=factset&amp;DYN_ARGS=TRUE&amp;DOC_NAME=FAT:FQL_AUDITING_CLIENT_TEMPLATE.FAT&amp;display_string=Audit&amp;VAR:KEY=SDKREXSPUF&amp;VAR:QUERY=RkZfRVBTX0RJTChBTk4sMzk5MzMsLCwsSUNfQ1VSUkVOQ1lfSVNPKCkp&amp;WINDOW=FIRST_POPUP&amp;HEIGHT=45","0&amp;WIDTH=450&amp;START_MAXIMIZED=FALSE&amp;VAR:CALENDAR=US&amp;VAR:SYMBOL=B3KHXB&amp;VAR:INDEX=0"}</definedName>
    <definedName name="_777__FDSAUDITLINK__" hidden="1">{"fdsup://directions/FAT Viewer?action=UPDATE&amp;creator=factset&amp;DYN_ARGS=TRUE&amp;DOC_NAME=FAT:FQL_AUDITING_CLIENT_TEMPLATE.FAT&amp;display_string=Audit&amp;VAR:KEY=EVENUNOTQZ&amp;VAR:QUERY=RkZfTkVUX0lOQyhMVE1TLDAsLCwsSUNfQ1VSUkVOQ1lfSVNPKCkp&amp;WINDOW=FIRST_POPUP&amp;HEIGHT=450&amp;WI","DTH=450&amp;START_MAXIMIZED=FALSE&amp;VAR:CALENDAR=US&amp;VAR:SYMBOL=B3KHXB&amp;VAR:INDEX=0"}</definedName>
    <definedName name="_778__FDSAUDITLINK__" hidden="1">{"fdsup://Directions/FactSet Auditing Viewer?action=AUDIT_VALUE&amp;DB=129&amp;ID1=B3KHXB&amp;VALUEID=01201&amp;SDATE=2009&amp;PERIODTYPE=ANN_STD&amp;window=popup_no_bar&amp;width=385&amp;height=120&amp;START_MAXIMIZED=FALSE&amp;creator=factset&amp;display_string=Audit"}</definedName>
    <definedName name="_779__FDSAUDITLINK__" hidden="1">{"fdsup://directions/FAT Viewer?action=UPDATE&amp;creator=factset&amp;DYN_ARGS=TRUE&amp;DOC_NAME=FAT:FQL_AUDITING_CLIENT_TEMPLATE.FAT&amp;display_string=Audit&amp;VAR:KEY=SLCNKXANKX&amp;VAR:QUERY=RkZfQ0FQRVgoQU5OLDQwMjk4LCwsLElDX0NVUlJFTkNZX0lTTygpLE0p&amp;WINDOW=FIRST_POPUP&amp;HEIGHT=45","0&amp;WIDTH=450&amp;START_MAXIMIZED=FALSE&amp;VAR:CALENDAR=US&amp;VAR:SYMBOL=B3KHXB&amp;VAR:INDEX=0"}</definedName>
    <definedName name="_78__123Graph_ECHART_13" hidden="1">[2]Summary!$BH$205:$BL$205</definedName>
    <definedName name="_78__FDSAUDITLINK__" hidden="1">{"fdsup://Directions/FactSet Auditing Viewer?action=AUDIT_VALUE&amp;DB=129&amp;ID1=29101110&amp;VALUEID=01001&amp;SDATE=2009&amp;PERIODTYPE=ANN_STD&amp;SCFT=3&amp;window=popup_no_bar&amp;width=385&amp;height=120&amp;START_MAXIMIZED=FALSE&amp;creator=factset&amp;display_string=Audit"}</definedName>
    <definedName name="_780__FDSAUDITLINK__" hidden="1">{"fdsup://directions/FAT Viewer?action=UPDATE&amp;creator=factset&amp;DYN_ARGS=TRUE&amp;DOC_NAME=FAT:FQL_AUDITING_CLIENT_TEMPLATE.FAT&amp;display_string=Audit&amp;VAR:KEY=KVENWXSLQR&amp;VAR:QUERY=RkZfSU5UX0VYUF9ORVQoTFRNUywwLCwsLElDX0NVUlJFTkNZX0lTTygpKQ==&amp;WINDOW=FIRST_POPUP&amp;HEIGH","T=450&amp;WIDTH=450&amp;START_MAXIMIZED=FALSE&amp;VAR:CALENDAR=US&amp;VAR:SYMBOL=B3KHXB&amp;VAR:INDEX=0"}</definedName>
    <definedName name="_781__FDSAUDITLINK__" hidden="1">{"fdsup://Directions/FactSet Auditing Viewer?action=AUDIT_VALUE&amp;DB=129&amp;ID1=B3KHXB&amp;VALUEID=01001&amp;SDATE=2009&amp;PERIODTYPE=ANN_STD&amp;window=popup_no_bar&amp;width=385&amp;height=120&amp;START_MAXIMIZED=FALSE&amp;creator=factset&amp;display_string=Audit"}</definedName>
    <definedName name="_782__FDSAUDITLINK__" hidden="1">{"fdsup://directions/FAT Viewer?action=UPDATE&amp;creator=factset&amp;DYN_ARGS=TRUE&amp;DOC_NAME=FAT:FQL_AUDITING_CLIENT_TEMPLATE.FAT&amp;display_string=Audit&amp;VAR:KEY=WHURUBSNSB&amp;VAR:QUERY=RkZfRUJJVERBX09QRVIoQU5OLDQwMjk4LCwsLElDX0NVUlJFTkNZX0lTTygpLE0p&amp;WINDOW=FIRST_POPUP&amp;H","EIGHT=450&amp;WIDTH=450&amp;START_MAXIMIZED=FALSE&amp;VAR:CALENDAR=US&amp;VAR:SYMBOL=B3KHXB&amp;VAR:INDEX=0"}</definedName>
    <definedName name="_783__FDSAUDITLINK__" hidden="1">{"fdsup://Directions/FactSet Auditing Viewer?action=AUDIT_VALUE&amp;DB=129&amp;ID1=B03MM4&amp;VALUEID=02001&amp;SDATE=201004&amp;PERIODTYPE=QTR_STD&amp;window=popup_no_bar&amp;width=385&amp;height=120&amp;START_MAXIMIZED=FALSE&amp;creator=factset&amp;display_string=Audit"}</definedName>
    <definedName name="_786__FDSAUDITLINK__" hidden="1">{"fdsup://Directions/FactSet Auditing Viewer?action=AUDIT_VALUE&amp;DB=129&amp;ID1=573282&amp;VALUEID=01250&amp;SDATE=2010&amp;PERIODTYPE=ANN_STD&amp;window=popup_no_bar&amp;width=385&amp;height=120&amp;START_MAXIMIZED=FALSE&amp;creator=factset&amp;display_string=Audit"}</definedName>
    <definedName name="_789__FDSAUDITLINK__" hidden="1">{"fdsup://directions/FAT Viewer?action=UPDATE&amp;creator=factset&amp;DYN_ARGS=TRUE&amp;DOC_NAME=FAT:FQL_AUDITING_CLIENT_TEMPLATE.FAT&amp;display_string=Audit&amp;VAR:KEY=SLQXKLWNER&amp;VAR:QUERY=RkZfRUJJVF9PUEVSKEFOTiw0MDI5OCwsLCxJQ19DVVJSRU5DWV9JU08oKSxNKQ==&amp;WINDOW=FIRST_POPUP&amp;H","EIGHT=450&amp;WIDTH=450&amp;START_MAXIMIZED=FALSE&amp;VAR:CALENDAR=US&amp;VAR:SYMBOL=B3KHXB&amp;VAR:INDEX=0"}</definedName>
    <definedName name="_79__123Graph_ECHART_3" hidden="1">'[4]Inputs and Calc'!$BG$262:$BK$262</definedName>
    <definedName name="_79__FDSAUDITLINK__" hidden="1">{"fdsup://Directions/FactSet Auditing Viewer?action=AUDIT_VALUE&amp;DB=129&amp;ID1=29101110&amp;VALUEID=01001&amp;SDATE=2008&amp;PERIODTYPE=ANN_STD&amp;SCFT=3&amp;window=popup_no_bar&amp;width=385&amp;height=120&amp;START_MAXIMIZED=FALSE&amp;creator=factset&amp;display_string=Audit"}</definedName>
    <definedName name="_792__FDSAUDITLINK__" hidden="1">{"fdsup://Directions/FactSet Auditing Viewer?action=AUDIT_VALUE&amp;DB=129&amp;ID1=B03MM4&amp;VALUEID=01151&amp;SDATE=2010&amp;PERIODTYPE=ANN_STD&amp;window=popup_no_bar&amp;width=385&amp;height=120&amp;START_MAXIMIZED=FALSE&amp;creator=factset&amp;display_string=Audit"}</definedName>
    <definedName name="_798__FDSAUDITLINK__" hidden="1">{"fdsup://directions/FAT Viewer?action=UPDATE&amp;creator=factset&amp;DYN_ARGS=TRUE&amp;DOC_NAME=FAT:FQL_AUDITING_CLIENT_TEMPLATE.FAT&amp;display_string=Audit&amp;VAR:KEY=UTUHCNMRQT&amp;VAR:QUERY=RkZfTkVUX0lOQyhMVE1TLDAsLCwsSUNfQ1VSUkVOQ1lfSVNPKCkp&amp;WINDOW=FIRST_POPUP&amp;HEIGHT=450&amp;WI","DTH=450&amp;START_MAXIMIZED=FALSE&amp;VAR:CALENDAR=US&amp;VAR:SYMBOL=B03MM4&amp;VAR:INDEX=0"}</definedName>
    <definedName name="_8__123Graph_ACHART_18" hidden="1">[2]Summary!$D$401:$BC$401</definedName>
    <definedName name="_8__FDSAUDITLINK__" hidden="1">{"fdsup://directions/FAT Viewer?action=UPDATE&amp;creator=factset&amp;DYN_ARGS=TRUE&amp;DOC_NAME=FAT:FQL_AUDITING_CLIENT_TEMPLATE.FAT&amp;display_string=Audit&amp;VAR:KEY=LAPMBKLSPO&amp;VAR:QUERY=RkZfRU5UUlBSX1ZBTF9FQklUREFfT1BFUl9EQUlMWSgwLCwsLCwnRElMJyk=&amp;WINDOW=FIRST_POPUP&amp;HEIGH","T=450&amp;WIDTH=450&amp;START_MAXIMIZED=FALSE&amp;VAR:CALENDAR=FIVEDAY&amp;VAR:SYMBOL=685876&amp;VAR:INDEX=0"}</definedName>
    <definedName name="_80__123Graph_ECHART_31" hidden="1">'[2]Hrs Wkd Per T'!$G$26:$AP$26</definedName>
    <definedName name="_80__FDSAUDITLINK__" hidden="1">{"fdsup://Directions/FactSet Auditing Viewer?action=AUDIT_VALUE&amp;DB=129&amp;ID1=29101110&amp;VALUEID=01001&amp;SDATE=2006&amp;PERIODTYPE=ANN_STD&amp;SCFT=3&amp;window=popup_no_bar&amp;width=385&amp;height=120&amp;START_MAXIMIZED=FALSE&amp;creator=factset&amp;display_string=Audit"}</definedName>
    <definedName name="_800__FDSAUDITLINK__" hidden="1">{"fdsup://directions/FAT Viewer?action=UPDATE&amp;creator=factset&amp;DYN_ARGS=TRUE&amp;DOC_NAME=FAT:FQL_AUDITING_CLIENT_TEMPLATE.FAT&amp;display_string=Audit&amp;VAR:KEY=WZUZERQJWJ&amp;VAR:QUERY=RkZfRUJJVERBX09QRVIoTFRNUywwLCwsLElDX0NVUlJFTkNZX0lTTygpKQ==&amp;WINDOW=FIRST_POPUP&amp;HEIGH","T=450&amp;WIDTH=450&amp;START_MAXIMIZED=FALSE&amp;VAR:CALENDAR=US&amp;VAR:SYMBOL=B03MM4&amp;VAR:INDEX=0"}</definedName>
    <definedName name="_805__FDSAUDITLINK__" hidden="1">{"fdsup://Directions/FactSet Auditing Viewer?action=AUDIT_VALUE&amp;DB=129&amp;ID1=58958410&amp;VALUEID=01001&amp;SDATE=2010&amp;PERIODTYPE=ANN_STD&amp;window=popup_no_bar&amp;width=385&amp;height=120&amp;START_MAXIMIZED=FALSE&amp;creator=factset&amp;display_string=Audit"}</definedName>
    <definedName name="_81__123Graph_ECHART_32" hidden="1">'[2]Hrs Wkd Per T'!$G$20:$AP$20</definedName>
    <definedName name="_81__FDSAUDITLINK__" hidden="1">{"fdsup://Directions/FactSet Auditing Viewer?action=AUDIT_VALUE&amp;DB=129&amp;ID1=38455610&amp;VALUEID=01001&amp;SDATE=2009&amp;PERIODTYPE=ANN_STD&amp;SCFT=3&amp;window=popup_no_bar&amp;width=385&amp;height=120&amp;START_MAXIMIZED=FALSE&amp;creator=factset&amp;display_string=Audit"}</definedName>
    <definedName name="_811__FDSAUDITLINK__" hidden="1">{"fdsup://directions/FAT Viewer?action=UPDATE&amp;creator=factset&amp;DYN_ARGS=TRUE&amp;DOC_NAME=FAT:FQL_AUDITING_CLIENT_TEMPLATE.FAT&amp;display_string=Audit&amp;VAR:KEY=YLORUBAZMD&amp;VAR:QUERY=RkZfQ0FQRVgoQU5OLDQwNDUxLCwsLElDX0NVUlJFTkNZX0lTTygpLE0p&amp;WINDOW=FIRST_POPUP&amp;HEIGHT=45","0&amp;WIDTH=450&amp;START_MAXIMIZED=FALSE&amp;VAR:CALENDAR=US&amp;VAR:SYMBOL=58958410&amp;VAR:INDEX=0"}</definedName>
    <definedName name="_813__FDSAUDITLINK__" hidden="1">{"fdsup://Directions/FactSet Auditing Viewer?action=AUDIT_VALUE&amp;DB=129&amp;ID1=58958410&amp;VALUEID=04831&amp;SDATE=2010&amp;PERIODTYPE=ANN_STD&amp;window=popup_no_bar&amp;width=385&amp;height=120&amp;START_MAXIMIZED=FALSE&amp;creator=factset&amp;display_string=Audit"}</definedName>
    <definedName name="_814__FDSAUDITLINK__" hidden="1">{"fdsup://directions/FAT Viewer?action=UPDATE&amp;creator=factset&amp;DYN_ARGS=TRUE&amp;DOC_NAME=FAT:FQL_AUDITING_CLIENT_TEMPLATE.FAT&amp;display_string=Audit&amp;VAR:KEY=MVEZKDYLSD&amp;VAR:QUERY=RkZfSU5UX0VYUF9ORVQoTFRNUywwLCwsLElDX0NVUlJFTkNZX0lTTygpKQ==&amp;WINDOW=FIRST_POPUP&amp;HEIGH","T=450&amp;WIDTH=450&amp;START_MAXIMIZED=FALSE&amp;VAR:CALENDAR=US&amp;VAR:SYMBOL=58958410&amp;VAR:INDEX=0"}</definedName>
    <definedName name="_816__FDSAUDITLINK__" hidden="1">{"fdsup://directions/FAT Viewer?action=UPDATE&amp;creator=factset&amp;DYN_ARGS=TRUE&amp;DOC_NAME=FAT:FQL_AUDITING_CLIENT_TEMPLATE.FAT&amp;display_string=Audit&amp;VAR:KEY=AJIZGTUDAJ&amp;VAR:QUERY=RkZfRUJJVF9PUEVSKExUTVMsMCwsLCxJQ19DVVJSRU5DWV9JU08oKSk=&amp;WINDOW=FIRST_POPUP&amp;HEIGHT=45","0&amp;WIDTH=450&amp;START_MAXIMIZED=FALSE&amp;VAR:CALENDAR=US&amp;VAR:SYMBOL=58958410&amp;VAR:INDEX=0"}</definedName>
    <definedName name="_818__FDSAUDITLINK__" hidden="1">{"fdsup://directions/FAT Viewer?action=UPDATE&amp;creator=factset&amp;DYN_ARGS=TRUE&amp;DOC_NAME=FAT:FQL_AUDITING_CLIENT_TEMPLATE.FAT&amp;display_string=Audit&amp;VAR:KEY=SXMTUFCHCJ&amp;VAR:QUERY=KCgoRkZfREVCVF9MVChRVFIsMEQsLCwsSUNfQ1VSUkVOQ1lfSVNPKCkpQEZGX0RFQlRfTFQoU0VNSSwwRCwsL","CxJQ19DVVJSRU5DWV9JU08oKSkpQEZGX0RFQlRfTFQoUVRSLDBELTEsLCwsSUNfQ1VSUkVOQ1lfSVNPKCkpKUBGRl9ERUJUX0xUKFNFTUksMEQtMSwsLCxJQ19DVVJSRU5DWV9JU08oKSkp&amp;WINDOW=FIRST_POPUP&amp;HEIGHT=450&amp;WIDTH=450&amp;START_MAXIMIZED=FALSE&amp;VAR:CALENDAR=US&amp;VAR:SYMBOL=58958410&amp;VAR:INDEX=0"}</definedName>
    <definedName name="_82__123Graph_ECHART_33" hidden="1">'[2]Hrs Wkd Per T'!$G$30:$AP$30</definedName>
    <definedName name="_82__FDSAUDITLINK__" hidden="1">{"fdsup://Directions/FactSet Auditing Viewer?action=AUDIT_VALUE&amp;DB=129&amp;ID1=38455610&amp;VALUEID=01001&amp;SDATE=2008&amp;PERIODTYPE=ANN_STD&amp;SCFT=3&amp;window=popup_no_bar&amp;width=385&amp;height=120&amp;START_MAXIMIZED=FALSE&amp;creator=factset&amp;display_string=Audit"}</definedName>
    <definedName name="_820__FDSAUDITLINK__" hidden="1">{"fdsup://directions/FAT Viewer?action=UPDATE&amp;creator=factset&amp;DYN_ARGS=TRUE&amp;DOC_NAME=FAT:FQL_AUDITING_CLIENT_TEMPLATE.FAT&amp;display_string=Audit&amp;VAR:KEY=IBABIPGFCH&amp;VAR:QUERY=RkZfRUJJVERBX09QRVIoTFRNUywwLCwsLElDX0NVUlJFTkNZX0lTTygpKQ==&amp;WINDOW=FIRST_POPUP&amp;HEIGH","T=450&amp;WIDTH=450&amp;START_MAXIMIZED=FALSE&amp;VAR:CALENDAR=US&amp;VAR:SYMBOL=B3KHXB&amp;VAR:INDEX=0"}</definedName>
    <definedName name="_821__FDSAUDITLINK__" hidden="1">{"fdsup://Directions/FactSet Auditing Viewer?action=AUDIT_VALUE&amp;DB=129&amp;ID1=B3KHXB&amp;VALUEID=03451&amp;SDATE=201001&amp;PERIODTYPE=SEMI_STD&amp;window=popup_no_bar&amp;width=385&amp;height=120&amp;START_MAXIMIZED=FALSE&amp;creator=factset&amp;display_string=Audit"}</definedName>
    <definedName name="_822__FDSAUDITLINK__" hidden="1">{"fdsup://directions/FAT Viewer?action=UPDATE&amp;creator=factset&amp;DYN_ARGS=TRUE&amp;DOC_NAME=FAT:FQL_AUDITING_CLIENT_TEMPLATE.FAT&amp;display_string=Audit&amp;VAR:KEY=CNULCJCRGV&amp;VAR:QUERY=KCgoRkZfREVCVF9MVChRVFIsMEQsLCwsSUNfQ1VSUkVOQ1lfSVNPKCkpQEZGX0RFQlRfTFQoU0VNSSwwRCwsL","CxJQ19DVVJSRU5DWV9JU08oKSkpQEZGX0RFQlRfTFQoUVRSLDBELTEsLCwsSUNfQ1VSUkVOQ1lfSVNPKCkpKUBGRl9ERUJUX0xUKFNFTUksMEQtMSwsLCxJQ19DVVJSRU5DWV9JU08oKSkp&amp;WINDOW=FIRST_POPUP&amp;HEIGHT=450&amp;WIDTH=450&amp;START_MAXIMIZED=FALSE&amp;VAR:CALENDAR=US&amp;VAR:SYMBOL=B3KHXB&amp;VAR:INDEX=0"}</definedName>
    <definedName name="_823__FDSAUDITLINK__" hidden="1">{"fdsup://Directions/FactSet Auditing Viewer?action=AUDIT_VALUE&amp;DB=129&amp;ID1=B3KHXB&amp;VALUEID=03051&amp;SDATE=201001&amp;PERIODTYPE=SEMI_STD&amp;window=popup_no_bar&amp;width=385&amp;height=120&amp;START_MAXIMIZED=FALSE&amp;creator=factset&amp;display_string=Audit"}</definedName>
    <definedName name="_824__FDSAUDITLINK__" hidden="1">{"fdsup://Directions/FactSet Auditing Viewer?action=AUDIT_VALUE&amp;DB=129&amp;ID1=B3KHXB&amp;VALUEID=02001&amp;SDATE=201001&amp;PERIODTYPE=SEMI_STD&amp;window=popup_no_bar&amp;width=385&amp;height=120&amp;START_MAXIMIZED=FALSE&amp;creator=factset&amp;display_string=Audit"}</definedName>
    <definedName name="_825__FDSAUDITLINK__" hidden="1">{"fdsup://Directions/FactSet Auditing Viewer?action=AUDIT_VALUE&amp;DB=129&amp;ID1=07588710&amp;VALUEID=01001&amp;SDATE=2010&amp;PERIODTYPE=ANN_STD&amp;window=popup_no_bar&amp;width=385&amp;height=120&amp;START_MAXIMIZED=FALSE&amp;creator=factset&amp;display_string=Audit"}</definedName>
    <definedName name="_826__FDSAUDITLINK__" hidden="1">{"fdsup://directions/FAT Viewer?action=UPDATE&amp;creator=factset&amp;DYN_ARGS=TRUE&amp;DOC_NAME=FAT:FQL_AUDITING_CLIENT_TEMPLATE.FAT&amp;display_string=Audit&amp;VAR:KEY=LYFELUTUDK&amp;VAR:QUERY=RkZfRUJJVERBX09QRVIoQU5OLDQwNDUxLCwsLElDX0NVUlJFTkNZX0lTTygpLE0p&amp;WINDOW=FIRST_POPUP&amp;H","EIGHT=450&amp;WIDTH=450&amp;START_MAXIMIZED=FALSE&amp;VAR:CALENDAR=US&amp;VAR:SYMBOL=07588710&amp;VAR:INDEX=0"}</definedName>
    <definedName name="_827__FDSAUDITLINK__" hidden="1">{"fdsup://Directions/FactSet Auditing Viewer?action=AUDIT_VALUE&amp;DB=129&amp;ID1=07588710&amp;VALUEID=01151&amp;SDATE=2010&amp;PERIODTYPE=ANN_STD&amp;window=popup_no_bar&amp;width=385&amp;height=120&amp;START_MAXIMIZED=FALSE&amp;creator=factset&amp;display_string=Audit"}</definedName>
    <definedName name="_828__FDSAUDITLINK__" hidden="1">{"fdsup://directions/FAT Viewer?action=UPDATE&amp;creator=factset&amp;DYN_ARGS=TRUE&amp;DOC_NAME=FAT:FQL_AUDITING_CLIENT_TEMPLATE.FAT&amp;display_string=Audit&amp;VAR:KEY=BCZGJQNGDI&amp;VAR:QUERY=RkZfRUJJVF9PUEVSKEFOTiw0MDQ1MSwsLCxJQ19DVVJSRU5DWV9JU08oKSxNKQ==&amp;WINDOW=FIRST_POPUP&amp;H","EIGHT=450&amp;WIDTH=450&amp;START_MAXIMIZED=FALSE&amp;VAR:CALENDAR=US&amp;VAR:SYMBOL=07588710&amp;VAR:INDEX=0"}</definedName>
    <definedName name="_829__FDSAUDITLINK__" hidden="1">{"fdsup://Directions/FactSet Auditing Viewer?action=AUDIT_VALUE&amp;DB=129&amp;ID1=07588710&amp;VALUEID=01250&amp;SDATE=2010&amp;PERIODTYPE=ANN_STD&amp;window=popup_no_bar&amp;width=385&amp;height=120&amp;START_MAXIMIZED=FALSE&amp;creator=factset&amp;display_string=Audit"}</definedName>
    <definedName name="_83__123Graph_ECHART_34" hidden="1">'[2]Hrs Wkd Per T'!$G$44:$AP$44</definedName>
    <definedName name="_83__FDSAUDITLINK__" hidden="1">{"fdsup://Directions/FactSet Auditing Viewer?action=AUDIT_VALUE&amp;DB=129&amp;ID1=38455610&amp;VALUEID=01001&amp;SDATE=2007&amp;PERIODTYPE=ANN_STD&amp;SCFT=3&amp;window=popup_no_bar&amp;width=385&amp;height=120&amp;START_MAXIMIZED=FALSE&amp;creator=factset&amp;display_string=Audit"}</definedName>
    <definedName name="_830__FDSAUDITLINK__" hidden="1">{"fdsup://directions/FAT Viewer?action=UPDATE&amp;creator=factset&amp;DYN_ARGS=TRUE&amp;DOC_NAME=FAT:FQL_AUDITING_CLIENT_TEMPLATE.FAT&amp;display_string=Audit&amp;VAR:KEY=DELOTEJKXM&amp;VAR:QUERY=RkZfRVBTX0RJTChBTk4sNDA0NTEsLCwsSUNfQ1VSUkVOQ1lfSVNPKCkp&amp;WINDOW=FIRST_POPUP&amp;HEIGHT=45","0&amp;WIDTH=450&amp;START_MAXIMIZED=FALSE&amp;VAR:CALENDAR=US&amp;VAR:SYMBOL=07588710&amp;VAR:INDEX=0"}</definedName>
    <definedName name="_831__FDSAUDITLINK__" hidden="1">{"fdsup://Directions/FactSet Auditing Viewer?action=AUDIT_VALUE&amp;DB=129&amp;ID1=07588710&amp;VALUEID=05194&amp;SDATE=2010&amp;PERIODTYPE=ANNR_STD&amp;window=popup_no_bar&amp;width=385&amp;height=120&amp;START_MAXIMIZED=FALSE&amp;creator=factset&amp;display_string=Audit"}</definedName>
    <definedName name="_832__FDSAUDITLINK__" hidden="1">{"fdsup://directions/FAT Viewer?action=UPDATE&amp;creator=factset&amp;DYN_ARGS=TRUE&amp;DOC_NAME=FAT:FQL_AUDITING_CLIENT_TEMPLATE.FAT&amp;display_string=Audit&amp;VAR:KEY=ZAPOJGHMPG&amp;VAR:QUERY=RkZfQ0FQRVgoQU5OLDQwNDUxLCwsLElDX0NVUlJFTkNZX0lTTygpLE0p&amp;WINDOW=FIRST_POPUP&amp;HEIGHT=45","0&amp;WIDTH=450&amp;START_MAXIMIZED=FALSE&amp;VAR:CALENDAR=US&amp;VAR:SYMBOL=07588710&amp;VAR:INDEX=0"}</definedName>
    <definedName name="_833__FDSAUDITLINK__" hidden="1">{"fdsup://Directions/FactSet Auditing Viewer?action=AUDIT_VALUE&amp;DB=129&amp;ID1=07588710&amp;VALUEID=01201&amp;SDATE=2010&amp;PERIODTYPE=ANN_STD&amp;window=popup_no_bar&amp;width=385&amp;height=120&amp;START_MAXIMIZED=FALSE&amp;creator=factset&amp;display_string=Audit"}</definedName>
    <definedName name="_834__FDSAUDITLINK__" hidden="1">{"fdsup://Directions/FactSet Auditing Viewer?action=AUDIT_VALUE&amp;DB=129&amp;ID1=07588710&amp;VALUEID=04831&amp;SDATE=2010&amp;PERIODTYPE=ANN_STD&amp;window=popup_no_bar&amp;width=385&amp;height=120&amp;START_MAXIMIZED=FALSE&amp;creator=factset&amp;display_string=Audit"}</definedName>
    <definedName name="_835__FDSAUDITLINK__" hidden="1">{"fdsup://directions/FAT Viewer?action=UPDATE&amp;creator=factset&amp;DYN_ARGS=TRUE&amp;DOC_NAME=FAT:FQL_AUDITING_CLIENT_TEMPLATE.FAT&amp;display_string=Audit&amp;VAR:KEY=JCTWNKPSHQ&amp;VAR:QUERY=RkZfSU5UX0VYUF9ORVQoTFRNUywwLCwsLElDX0NVUlJFTkNZX0lTTygpKQ==&amp;WINDOW=FIRST_POPUP&amp;HEIGH","T=450&amp;WIDTH=450&amp;START_MAXIMIZED=FALSE&amp;VAR:CALENDAR=US&amp;VAR:SYMBOL=07588710&amp;VAR:INDEX=0"}</definedName>
    <definedName name="_836__FDSAUDITLINK__" hidden="1">{"fdsup://directions/FAT Viewer?action=UPDATE&amp;creator=factset&amp;DYN_ARGS=TRUE&amp;DOC_NAME=FAT:FQL_AUDITING_CLIENT_TEMPLATE.FAT&amp;display_string=Audit&amp;VAR:KEY=NQXSVOZAHO&amp;VAR:QUERY=RkZfTkVUX0lOQyhMVE1TLDAsLCwsSUNfQ1VSUkVOQ1lfSVNPKCkp&amp;WINDOW=FIRST_POPUP&amp;HEIGHT=450&amp;WI","DTH=450&amp;START_MAXIMIZED=FALSE&amp;VAR:CALENDAR=US&amp;VAR:SYMBOL=07588710&amp;VAR:INDEX=0"}</definedName>
    <definedName name="_837__FDSAUDITLINK__" hidden="1">{"fdsup://directions/FAT Viewer?action=UPDATE&amp;creator=factset&amp;DYN_ARGS=TRUE&amp;DOC_NAME=FAT:FQL_AUDITING_CLIENT_TEMPLATE.FAT&amp;display_string=Audit&amp;VAR:KEY=TWLQZUDWJU&amp;VAR:QUERY=RkZfRUJJVF9PUEVSKExUTVMsMCwsLCxJQ19DVVJSRU5DWV9JU08oKSk=&amp;WINDOW=FIRST_POPUP&amp;HEIGHT=45","0&amp;WIDTH=450&amp;START_MAXIMIZED=FALSE&amp;VAR:CALENDAR=US&amp;VAR:SYMBOL=07588710&amp;VAR:INDEX=0"}</definedName>
    <definedName name="_838__FDSAUDITLINK__" hidden="1">{"fdsup://directions/FAT Viewer?action=UPDATE&amp;creator=factset&amp;DYN_ARGS=TRUE&amp;DOC_NAME=FAT:FQL_AUDITING_CLIENT_TEMPLATE.FAT&amp;display_string=Audit&amp;VAR:KEY=FAXMHERQPU&amp;VAR:QUERY=RkZfRUJJVERBX09QRVIoTFRNUywwLCwsLElDX0NVUlJFTkNZX0lTTygpKQ==&amp;WINDOW=FIRST_POPUP&amp;HEIGH","T=450&amp;WIDTH=450&amp;START_MAXIMIZED=FALSE&amp;VAR:CALENDAR=US&amp;VAR:SYMBOL=07588710&amp;VAR:INDEX=0"}</definedName>
    <definedName name="_839__FDSAUDITLINK__" hidden="1">{"fdsup://directions/FAT Viewer?action=UPDATE&amp;creator=factset&amp;DYN_ARGS=TRUE&amp;DOC_NAME=FAT:FQL_AUDITING_CLIENT_TEMPLATE.FAT&amp;display_string=Audit&amp;VAR:KEY=JIBYBIFKPI&amp;VAR:QUERY=KCgoRkZfREVCVF9MVChRVFIsMEQsLCwsSUNfQ1VSUkVOQ1lfSVNPKCkpQEZGX0RFQlRfTFQoU0VNSSwwRCwsL","CxJQ19DVVJSRU5DWV9JU08oKSkpQEZGX0RFQlRfTFQoUVRSLDBELTEsLCwsSUNfQ1VSUkVOQ1lfSVNPKCkpKUBGRl9ERUJUX0xUKFNFTUksMEQtMSwsLCxJQ19DVVJSRU5DWV9JU08oKSkp&amp;WINDOW=FIRST_POPUP&amp;HEIGHT=450&amp;WIDTH=450&amp;START_MAXIMIZED=FALSE&amp;VAR:CALENDAR=US&amp;VAR:SYMBOL=07588710&amp;VAR:INDEX=0"}</definedName>
    <definedName name="_84__123Graph_ECHART_4" hidden="1">'[4]Inputs and Calc'!$BG$263:$BK$263</definedName>
    <definedName name="_84__FDSAUDITLINK__" hidden="1">{"fdsup://Directions/FactSet Auditing Viewer?action=AUDIT_VALUE&amp;DB=129&amp;ID1=38455610&amp;VALUEID=01001&amp;SDATE=2005&amp;PERIODTYPE=ANN_STD&amp;SCFT=3&amp;window=popup_no_bar&amp;width=385&amp;height=120&amp;START_MAXIMIZED=FALSE&amp;creator=factset&amp;display_string=Audit"}</definedName>
    <definedName name="_840__FDSAUDITLINK__" hidden="1">{"fdsup://Directions/FactSet Auditing Viewer?action=AUDIT_VALUE&amp;DB=129&amp;ID1=07588710&amp;VALUEID=03051&amp;SDATE=201101&amp;PERIODTYPE=QTR_STD&amp;window=popup_no_bar&amp;width=385&amp;height=120&amp;START_MAXIMIZED=FALSE&amp;creator=factset&amp;display_string=Audit"}</definedName>
    <definedName name="_841__FDSAUDITLINK__" hidden="1">{"fdsup://Directions/FactSet Auditing Viewer?action=AUDIT_VALUE&amp;DB=129&amp;ID1=07588710&amp;VALUEID=02001&amp;SDATE=201101&amp;PERIODTYPE=QTR_STD&amp;window=popup_no_bar&amp;width=385&amp;height=120&amp;START_MAXIMIZED=FALSE&amp;creator=factset&amp;display_string=Audit"}</definedName>
    <definedName name="_842__FDSAUDITLINK__" hidden="1">{"fdsup://Directions/FactSet Auditing Viewer?action=AUDIT_VALUE&amp;DB=129&amp;ID1=00282410&amp;VALUEID=01001&amp;SDATE=2010&amp;PERIODTYPE=ANN_STD&amp;window=popup_no_bar&amp;width=385&amp;height=120&amp;START_MAXIMIZED=FALSE&amp;creator=factset&amp;display_string=Audit"}</definedName>
    <definedName name="_843__FDSAUDITLINK__" hidden="1">{"fdsup://directions/FAT Viewer?action=UPDATE&amp;creator=factset&amp;DYN_ARGS=TRUE&amp;DOC_NAME=FAT:FQL_AUDITING_CLIENT_TEMPLATE.FAT&amp;display_string=Audit&amp;VAR:KEY=YDMXYHALIV&amp;VAR:QUERY=RkZfRUJJVERBX09QRVIoQU5OLDQwNTQzLCwsLElDX0NVUlJFTkNZX0lTTygpLE0p&amp;WINDOW=FIRST_POPUP&amp;H","EIGHT=450&amp;WIDTH=450&amp;START_MAXIMIZED=FALSE&amp;VAR:CALENDAR=US&amp;VAR:SYMBOL=00282410&amp;VAR:INDEX=0"}</definedName>
    <definedName name="_844__FDSAUDITLINK__" hidden="1">{"fdsup://Directions/FactSet Auditing Viewer?action=AUDIT_VALUE&amp;DB=129&amp;ID1=00282410&amp;VALUEID=01151&amp;SDATE=2010&amp;PERIODTYPE=ANN_STD&amp;window=popup_no_bar&amp;width=385&amp;height=120&amp;START_MAXIMIZED=FALSE&amp;creator=factset&amp;display_string=Audit"}</definedName>
    <definedName name="_845__FDSAUDITLINK__" hidden="1">{"fdsup://directions/FAT Viewer?action=UPDATE&amp;creator=factset&amp;DYN_ARGS=TRUE&amp;DOC_NAME=FAT:FQL_AUDITING_CLIENT_TEMPLATE.FAT&amp;display_string=Audit&amp;VAR:KEY=OXQJIVGNAV&amp;VAR:QUERY=RkZfRUJJVF9PUEVSKEFOTiw0MDU0MywsLCxJQ19DVVJSRU5DWV9JU08oKSxNKQ==&amp;WINDOW=FIRST_POPUP&amp;H","EIGHT=450&amp;WIDTH=450&amp;START_MAXIMIZED=FALSE&amp;VAR:CALENDAR=US&amp;VAR:SYMBOL=00282410&amp;VAR:INDEX=0"}</definedName>
    <definedName name="_846__FDSAUDITLINK__" hidden="1">{"fdsup://Directions/FactSet Auditing Viewer?action=AUDIT_VALUE&amp;DB=129&amp;ID1=00282410&amp;VALUEID=01250&amp;SDATE=2010&amp;PERIODTYPE=ANN_STD&amp;window=popup_no_bar&amp;width=385&amp;height=120&amp;START_MAXIMIZED=FALSE&amp;creator=factset&amp;display_string=Audit"}</definedName>
    <definedName name="_847__FDSAUDITLINK__" hidden="1">{"fdsup://directions/FAT Viewer?action=UPDATE&amp;creator=factset&amp;DYN_ARGS=TRUE&amp;DOC_NAME=FAT:FQL_AUDITING_CLIENT_TEMPLATE.FAT&amp;display_string=Audit&amp;VAR:KEY=MRQNIXUVYD&amp;VAR:QUERY=RkZfRVBTX0RJTChBTk4sNDA1NDMsLCwsSUNfQ1VSUkVOQ1lfSVNPKCkp&amp;WINDOW=FIRST_POPUP&amp;HEIGHT=45","0&amp;WIDTH=450&amp;START_MAXIMIZED=FALSE&amp;VAR:CALENDAR=US&amp;VAR:SYMBOL=00282410&amp;VAR:INDEX=0"}</definedName>
    <definedName name="_848__FDSAUDITLINK__" hidden="1">{"fdsup://directions/FAT Viewer?action=UPDATE&amp;creator=factset&amp;DYN_ARGS=TRUE&amp;DOC_NAME=FAT:FQL_AUDITING_CLIENT_TEMPLATE.FAT&amp;display_string=Audit&amp;VAR:KEY=KLSBWPWXUL&amp;VAR:QUERY=RkZfQ0FQRVgoQU5OLDQwNTQzLCwsLElDX0NVUlJFTkNZX0lTTygpLE0p&amp;WINDOW=FIRST_POPUP&amp;HEIGHT=45","0&amp;WIDTH=450&amp;START_MAXIMIZED=FALSE&amp;VAR:CALENDAR=US&amp;VAR:SYMBOL=00282410&amp;VAR:INDEX=0"}</definedName>
    <definedName name="_849__FDSAUDITLINK__" hidden="1">{"fdsup://Directions/FactSet Auditing Viewer?action=AUDIT_VALUE&amp;DB=129&amp;ID1=00282410&amp;VALUEID=01201&amp;SDATE=2010&amp;PERIODTYPE=ANN_STD&amp;window=popup_no_bar&amp;width=385&amp;height=120&amp;START_MAXIMIZED=FALSE&amp;creator=factset&amp;display_string=Audit"}</definedName>
    <definedName name="_85__123Graph_ECHART_5" hidden="1">'[4]Inputs and Calc'!$F$322:$I$322</definedName>
    <definedName name="_85__FDSAUDITLINK__" hidden="1">{"fdsup://Directions/FactSet Auditing Viewer?action=AUDIT_VALUE&amp;DB=129&amp;ID1=733268&amp;VALUEID=01001&amp;SDATE=2010&amp;PERIODTYPE=ANN_STD&amp;SCFT=3&amp;window=popup_no_bar&amp;width=385&amp;height=120&amp;START_MAXIMIZED=FALSE&amp;creator=factset&amp;display_string=Audit"}</definedName>
    <definedName name="_850__FDSAUDITLINK__" hidden="1">{"fdsup://Directions/FactSet Auditing Viewer?action=AUDIT_VALUE&amp;DB=129&amp;ID1=00282410&amp;VALUEID=04831&amp;SDATE=2010&amp;PERIODTYPE=ANN_STD&amp;window=popup_no_bar&amp;width=385&amp;height=120&amp;START_MAXIMIZED=FALSE&amp;creator=factset&amp;display_string=Audit"}</definedName>
    <definedName name="_851__FDSAUDITLINK__" hidden="1">{"fdsup://directions/FAT Viewer?action=UPDATE&amp;creator=factset&amp;DYN_ARGS=TRUE&amp;DOC_NAME=FAT:FQL_AUDITING_CLIENT_TEMPLATE.FAT&amp;display_string=Audit&amp;VAR:KEY=MZGJADKBKR&amp;VAR:QUERY=RkZfSU5UX0VYUF9ORVQoTFRNUywwLCwsLElDX0NVUlJFTkNZX0lTTygpKQ==&amp;WINDOW=FIRST_POPUP&amp;HEIGH","T=450&amp;WIDTH=450&amp;START_MAXIMIZED=FALSE&amp;VAR:CALENDAR=US&amp;VAR:SYMBOL=00282410&amp;VAR:INDEX=0"}</definedName>
    <definedName name="_852__FDSAUDITLINK__" hidden="1">{"fdsup://directions/FAT Viewer?action=UPDATE&amp;creator=factset&amp;DYN_ARGS=TRUE&amp;DOC_NAME=FAT:FQL_AUDITING_CLIENT_TEMPLATE.FAT&amp;display_string=Audit&amp;VAR:KEY=WROFURGLML&amp;VAR:QUERY=RkZfTkVUX0lOQyhMVE1TLDAsLCwsSUNfQ1VSUkVOQ1lfSVNPKCkp&amp;WINDOW=FIRST_POPUP&amp;HEIGHT=450&amp;WI","DTH=450&amp;START_MAXIMIZED=FALSE&amp;VAR:CALENDAR=US&amp;VAR:SYMBOL=00282410&amp;VAR:INDEX=0"}</definedName>
    <definedName name="_853__FDSAUDITLINK__" hidden="1">{"fdsup://directions/FAT Viewer?action=UPDATE&amp;creator=factset&amp;DYN_ARGS=TRUE&amp;DOC_NAME=FAT:FQL_AUDITING_CLIENT_TEMPLATE.FAT&amp;display_string=Audit&amp;VAR:KEY=ONSZIHCNWP&amp;VAR:QUERY=RkZfRUJJVF9PUEVSKExUTVMsMCwsLCxJQ19DVVJSRU5DWV9JU08oKSk=&amp;WINDOW=FIRST_POPUP&amp;HEIGHT=45","0&amp;WIDTH=450&amp;START_MAXIMIZED=FALSE&amp;VAR:CALENDAR=US&amp;VAR:SYMBOL=00282410&amp;VAR:INDEX=0"}</definedName>
    <definedName name="_854__FDSAUDITLINK__" hidden="1">{"fdsup://directions/FAT Viewer?action=UPDATE&amp;creator=factset&amp;DYN_ARGS=TRUE&amp;DOC_NAME=FAT:FQL_AUDITING_CLIENT_TEMPLATE.FAT&amp;display_string=Audit&amp;VAR:KEY=IZYTQNEXEJ&amp;VAR:QUERY=RkZfRUJJVERBX09QRVIoTFRNUywwLCwsLElDX0NVUlJFTkNZX0lTTygpKQ==&amp;WINDOW=FIRST_POPUP&amp;HEIGH","T=450&amp;WIDTH=450&amp;START_MAXIMIZED=FALSE&amp;VAR:CALENDAR=US&amp;VAR:SYMBOL=00282410&amp;VAR:INDEX=0"}</definedName>
    <definedName name="_855__FDSAUDITLINK__" hidden="1">{"fdsup://Directions/FactSet Auditing Viewer?action=AUDIT_VALUE&amp;DB=129&amp;ID1=00282410&amp;VALUEID=03426&amp;SDATE=201004&amp;PERIODTYPE=QTR_STD&amp;window=popup_no_bar&amp;width=385&amp;height=120&amp;START_MAXIMIZED=FALSE&amp;creator=factset&amp;display_string=Audit"}</definedName>
    <definedName name="_86__FDSAUDITLINK__" hidden="1">{"fdsup://Directions/FactSet Auditing Viewer?action=AUDIT_VALUE&amp;DB=129&amp;ID1=733268&amp;VALUEID=01001&amp;SDATE=2009&amp;PERIODTYPE=ANN_STD&amp;SCFT=3&amp;window=popup_no_bar&amp;width=385&amp;height=120&amp;START_MAXIMIZED=FALSE&amp;creator=factset&amp;display_string=Audit"}</definedName>
    <definedName name="_87__123Graph_ECHART_7" hidden="1">'[4]Inputs and Calc'!$BG$261:$BK$261</definedName>
    <definedName name="_87__FDSAUDITLINK__" hidden="1">{"fdsup://Directions/FactSet Auditing Viewer?action=AUDIT_VALUE&amp;DB=129&amp;ID1=733268&amp;VALUEID=01001&amp;SDATE=2008&amp;PERIODTYPE=ANN_STD&amp;SCFT=3&amp;window=popup_no_bar&amp;width=385&amp;height=120&amp;START_MAXIMIZED=FALSE&amp;creator=factset&amp;display_string=Audit"}</definedName>
    <definedName name="_88__123Graph_ECHART_8" hidden="1">'[4]Inputs and Calc'!$BG$264:$BK$264</definedName>
    <definedName name="_88__FDSAUDITLINK__" hidden="1">{"fdsup://Directions/FactSet Auditing Viewer?action=AUDIT_VALUE&amp;DB=129&amp;ID1=733268&amp;VALUEID=01001&amp;SDATE=2006&amp;PERIODTYPE=ANN_STD&amp;SCFT=3&amp;window=popup_no_bar&amp;width=385&amp;height=120&amp;START_MAXIMIZED=FALSE&amp;creator=factset&amp;display_string=Audit"}</definedName>
    <definedName name="_89__123Graph_FCHART_10" hidden="1">'[4]Inputs and Calc'!$BG$271:$BK$271</definedName>
    <definedName name="_89__FDSAUDITLINK__" hidden="1">{"fdsup://Directions/FactSet Auditing Viewer?action=AUDIT_VALUE&amp;DB=129&amp;ID1=65542W10&amp;VALUEID=01001&amp;SDATE=2008&amp;PERIODTYPE=ANN_STD&amp;SCFT=3&amp;window=popup_no_bar&amp;width=385&amp;height=120&amp;START_MAXIMIZED=FALSE&amp;creator=factset&amp;display_string=Audit"}</definedName>
    <definedName name="_9__123Graph_ACHART_19" hidden="1">[2]Summary!$P$363:$AA$363</definedName>
    <definedName name="_9__FDSAUDITLINK__" hidden="1">{"fdsup://directions/FAT Viewer?action=UPDATE&amp;creator=factset&amp;DYN_ARGS=TRUE&amp;DOC_NAME=FAT:FQL_AUDITING_CLIENT_TEMPLATE.FAT&amp;display_string=Audit&amp;VAR:KEY=FCPAHQRUFG&amp;VAR:QUERY=RkZfRU5UUlBSX1ZBTF9TQUxFU19EQUlMWSgwLCwsLCwnRElMJyk=&amp;WINDOW=FIRST_POPUP&amp;HEIGHT=450&amp;WI","DTH=450&amp;START_MAXIMIZED=FALSE&amp;VAR:CALENDAR=FIVEDAY&amp;VAR:SYMBOL=685876&amp;VAR:INDEX=0"}</definedName>
    <definedName name="_90__123Graph_FCHART_11" hidden="1">[2]Summary!$BH$222:$BL$222</definedName>
    <definedName name="_90__FDSAUDITLINK__" hidden="1">{"fdsup://directions/FAT Viewer?action=UPDATE&amp;creator=factset&amp;DYN_ARGS=TRUE&amp;DOC_NAME=FAT:FQL_AUDITING_CLIENT_TEMPLATE.FAT&amp;display_string=Audit&amp;VAR:KEY=NWPIFGBYLG&amp;VAR:QUERY=RkZfRUJJVF9PUEVSKExUTSwwKQ==&amp;WINDOW=FIRST_POPUP&amp;HEIGHT=450&amp;WIDTH=450&amp;START_MAXIMIZED=","FALSE&amp;VAR:CALENDAR=FIVEDAY&amp;VAR:SYMBOL=B0N9WZ&amp;VAR:INDEX=0"}</definedName>
    <definedName name="_91__123Graph_FCHART_13" hidden="1">[2]Summary!$BH$215:$BL$215</definedName>
    <definedName name="_91__FDSAUDITLINK__" hidden="1">{"fdsup://Directions/FactSet Auditing Viewer?action=AUDIT_VALUE&amp;DB=129&amp;ID1=B12T3J&amp;VALUEID=05194&amp;SDATE=2009&amp;PERIODTYPE=ANNR_STD&amp;window=popup_no_bar&amp;width=385&amp;height=120&amp;START_MAXIMIZED=FALSE&amp;creator=factset&amp;display_string=Audit"}</definedName>
    <definedName name="_92__123Graph_FCHART_3" hidden="1">'[4]Inputs and Calc'!$BG$268:$BK$268</definedName>
    <definedName name="_92__FDSAUDITLINK__" hidden="1">{"fdsup://directions/FAT Viewer?action=UPDATE&amp;creator=factset&amp;DYN_ARGS=TRUE&amp;DOC_NAME=FAT:FQL_AUDITING_CLIENT_TEMPLATE.FAT&amp;display_string=Audit&amp;VAR:KEY=IPGPGJOBKN&amp;VAR:QUERY=RkZfQ0FQRVgoQU5OX1IsNDAxNzgsLCwsLE0p&amp;WINDOW=FIRST_POPUP&amp;HEIGHT=450&amp;WIDTH=450&amp;START_MA","XIMIZED=FALSE&amp;VAR:CALENDAR=US&amp;VAR:SYMBOL=B12T3J&amp;VAR:INDEX=0"}</definedName>
    <definedName name="_93__123Graph_FCHART_31" hidden="1">'[2]Hrs Wkd Per T'!$G$28:$AP$28</definedName>
    <definedName name="_93__FDSAUDITLINK__" hidden="1">{"fdsup://Directions/FactSet Auditing Viewer?action=AUDIT_VALUE&amp;DB=129&amp;ID1=B12T3J&amp;VALUEID=01201&amp;SDATE=2009&amp;PERIODTYPE=ANNR_STD&amp;window=popup_no_bar&amp;width=385&amp;height=120&amp;START_MAXIMIZED=FALSE&amp;creator=factset&amp;display_string=Audit"}</definedName>
    <definedName name="_94__123Graph_FCHART_4" hidden="1">'[4]Inputs and Calc'!$BG$269:$BK$269</definedName>
    <definedName name="_94__FDSAUDITLINK__" hidden="1">{"fdsup://directions/FAT Viewer?action=UPDATE&amp;creator=factset&amp;DYN_ARGS=TRUE&amp;DOC_NAME=FAT:FQL_AUDITING_CLIENT_TEMPLATE.FAT&amp;display_string=Audit&amp;VAR:KEY=ZMZIRGRQDQ&amp;VAR:QUERY=RkZfRUJJVF9PUEVSKEFOTl9SLDM5ODEzLCwsLCxNKQ==&amp;WINDOW=FIRST_POPUP&amp;HEIGHT=450&amp;WIDTH=450&amp;","START_MAXIMIZED=FALSE&amp;VAR:CALENDAR=US&amp;VAR:SYMBOL=B03MM4&amp;VAR:INDEX=0"}</definedName>
    <definedName name="_95__123Graph_FCHART_5" hidden="1">'[4]Inputs and Calc'!$F$323:$I$323</definedName>
    <definedName name="_95__FDSAUDITLINK__" hidden="1">{"fdsup://directions/FAT Viewer?action=UPDATE&amp;creator=factset&amp;DYN_ARGS=TRUE&amp;DOC_NAME=FAT:FQL_AUDITING_CLIENT_TEMPLATE.FAT&amp;display_string=Audit&amp;VAR:KEY=FAZYZAZOHS&amp;VAR:QUERY=RkZfRUJJVERBX09QRVIoQU5OX1IsMzk4MTMsLCwsLE0p&amp;WINDOW=FIRST_POPUP&amp;HEIGHT=450&amp;WIDTH=450&amp;","START_MAXIMIZED=FALSE&amp;VAR:CALENDAR=US&amp;VAR:SYMBOL=B03MM4&amp;VAR:INDEX=0"}</definedName>
    <definedName name="_96__123Graph_FCHART_6" hidden="1">[2]Summary!$D$380:$AA$380</definedName>
    <definedName name="_96__FDSAUDITLINK__" hidden="1">{"fdsup://directions/FAT Viewer?action=UPDATE&amp;creator=factset&amp;DYN_ARGS=TRUE&amp;DOC_NAME=FAT:FQL_AUDITING_CLIENT_TEMPLATE.FAT&amp;display_string=Audit&amp;VAR:KEY=DWHUFCHOVA&amp;VAR:QUERY=RkZfRVBTX0RJTF9CRUZfVU5VU1VBTChBTk5fUiw0MDE3OCk=&amp;WINDOW=FIRST_POPUP&amp;HEIGHT=450&amp;WIDTH=","450&amp;START_MAXIMIZED=FALSE&amp;VAR:CALENDAR=US&amp;VAR:SYMBOL=B03MM4&amp;VAR:INDEX=0"}</definedName>
    <definedName name="_97__123Graph_FCHART_7" hidden="1">'[4]Inputs and Calc'!$BG$267:$BK$267</definedName>
    <definedName name="_97__FDSAUDITLINK__" hidden="1">{"fdsup://directions/FAT Viewer?action=UPDATE&amp;creator=factset&amp;DYN_ARGS=TRUE&amp;DOC_NAME=FAT:FQL_AUDITING_CLIENT_TEMPLATE.FAT&amp;display_string=Audit&amp;VAR:KEY=SZGJYLIREF&amp;VAR:QUERY=RkZfRVBTX0RJTF9CRUZfVU5VU1VBTChBTk5fUiwzOTgxMyk=&amp;WINDOW=FIRST_POPUP&amp;HEIGHT=450&amp;WIDTH=","450&amp;START_MAXIMIZED=FALSE&amp;VAR:CALENDAR=US&amp;VAR:SYMBOL=B12T3J&amp;VAR:INDEX=0"}</definedName>
    <definedName name="_98__123Graph_FCHART_8" hidden="1">'[4]Inputs and Calc'!$BG$270:$BK$270</definedName>
    <definedName name="_98__FDSAUDITLINK__" hidden="1">{"fdsup://directions/FAT Viewer?action=UPDATE&amp;creator=factset&amp;DYN_ARGS=TRUE&amp;DOC_NAME=FAT:FQL_AUDITING_CLIENT_TEMPLATE.FAT&amp;display_string=Audit&amp;VAR:KEY=UVYXOHYHMH&amp;VAR:QUERY=RkZfRUJJVF9PUEVSKEFOTl9SLDQwMTc4LCwsLCxNKQ==&amp;WINDOW=FIRST_POPUP&amp;HEIGHT=450&amp;WIDTH=450&amp;","START_MAXIMIZED=FALSE&amp;VAR:CALENDAR=FIVEDAY&amp;VAR:SYMBOL=B12T3J&amp;VAR:INDEX=0"}</definedName>
    <definedName name="_99__FDSAUDITLINK__" hidden="1">{"fdsup://directions/FAT Viewer?action=UPDATE&amp;creator=factset&amp;DYN_ARGS=TRUE&amp;DOC_NAME=FAT:FQL_AUDITING_CLIENT_TEMPLATE.FAT&amp;display_string=Audit&amp;VAR:KEY=GNGREPKHQV&amp;VAR:QUERY=RkZfRUJJVF9PUEVSKEFOTl9SLDQwMTc4LCwsLCxNKQ==&amp;WINDOW=FIRST_POPUP&amp;HEIGHT=450&amp;WIDTH=450&amp;","START_MAXIMIZED=FALSE&amp;VAR:CALENDAR=FIVEDAY&amp;VAR:SYMBOL=066504&amp;VAR:INDEX=0"}</definedName>
    <definedName name="_a1" hidden="1">{"mgmt forecast",#N/A,FALSE,"Mgmt Forecast";"dcf table",#N/A,FALSE,"Mgmt Forecast";"sensitivity",#N/A,FALSE,"Mgmt Forecast";"table inputs",#N/A,FALSE,"Mgmt Forecast";"calculations",#N/A,FALSE,"Mgmt Forecast"}</definedName>
    <definedName name="_a2" hidden="1">{"mgmt forecast",#N/A,FALSE,"Mgmt Forecast";"dcf table",#N/A,FALSE,"Mgmt Forecast";"sensitivity",#N/A,FALSE,"Mgmt Forecast";"table inputs",#N/A,FALSE,"Mgmt Forecast";"calculations",#N/A,FALSE,"Mgmt Forecast"}</definedName>
    <definedName name="_a8" hidden="1">{#N/A,#N/A,FALSE,"Partnership Splits";#N/A,#N/A,FALSE,"Condensed Financials-Endo";#N/A,#N/A,FALSE,"Condensed Financials-Partner";#N/A,#N/A,FALSE,"P&amp;L Detail";#N/A,#N/A,FALSE,"Payments";#N/A,#N/A,FALSE,"Selling &amp; Mktg Summary (3)"}</definedName>
    <definedName name="_ACTUAL" hidden="1">[5]Data!$A$3:$Y$306</definedName>
    <definedName name="_ACTUALYTD" hidden="1">[6]DataYTD!$A$12:$JD$304</definedName>
    <definedName name="_as2" hidden="1">"AS2DocumentEdit"</definedName>
    <definedName name="_bdm.06D8C80DEFC0409E89007FF297520E83.edm" hidden="1">'[7]DCF_SOTP_Case 2'!$A:$IV</definedName>
    <definedName name="_bdm.08D9EEF043A744F7AE00322B36288401.edm" hidden="1">[7]Lexington_AVP!$A:$IV</definedName>
    <definedName name="_bdm.08E9C45BAD1244189744C9C13A85BCB2.edm" hidden="1">[7]Strat_Plan_Output!$A:$IV</definedName>
    <definedName name="_bdm.08f4b86873b7410ba2f7378efb65d5e3.edm" hidden="1" xml:space="preserve">                                         '[8]Evercore Backlog Analysis'!$1:$1048576</definedName>
    <definedName name="_bdm.0ED6833A96FA4C59BA7469D5708C0B83.edm" hidden="1">[7]UK_Total_Comp_Foot_Field!$A:$IV</definedName>
    <definedName name="_bdm.10f1016064dc4f2f9cf42dee5250b0a5.edm" hidden="1" xml:space="preserve">                                 '[9]FY15 Build-Up'!$1:$1048576</definedName>
    <definedName name="_bdm.11F1AC465C9A448FA7D23D525DCC7700.edm" hidden="1">[7]CAvS_Comp_Foot_Field_Out_FI!$A:$IV</definedName>
    <definedName name="_bdm.16839627976040A7B9ACA8D5A16E7FAB.edm" hidden="1">[7]UK_Total_LBO!$A:$IV</definedName>
    <definedName name="_bdm.18A767CA967443AE86E5A13FB7800223.edm" hidden="1">[7]UK_Total_Financials_OUT!$A:$IV</definedName>
    <definedName name="_bdm.22232B893B6749ACB0333B0D2E4E69EF.edm" hidden="1">[7]Aus_Comp_Foot_Field_Out_MI!$A:$IV</definedName>
    <definedName name="_bdm.248c01983ef840f598b055c2780836b7.edm" hidden="1" xml:space="preserve">           '[9]FY15 Build-Up'!$1:$1048576</definedName>
    <definedName name="_bdm.27026860FBEE4BA9A427EED679013230.edm" hidden="1">[7]CAvS_DCF_Out!$A:$IV</definedName>
    <definedName name="_bdm.27397CAEF1CA4891BA5DDBA69C607B92.edm" hidden="1">[7]UK_Total_DCF!$A:$IV</definedName>
    <definedName name="_bdm.2cc097c40aca4a6d92f7e5329ed4c86c.edm" hidden="1" xml:space="preserve">                                                 '[9]FY15 Build-Up'!$1:$1048576</definedName>
    <definedName name="_bdm.2CCA61B47BAC44C9B07C702C8C2A9C2D.edm" hidden="1">[10]Football!$A:$IV</definedName>
    <definedName name="_bdm.3225C5D78B504A05B0F101545E980CBB.edm" hidden="1">[7]Coral_Group!$A:$IV</definedName>
    <definedName name="_bdm.327CC7496AFE4C7DBE2472105AF91F0A.edm" hidden="1">[7]Aus_Foot_Field_FI!$A:$IV</definedName>
    <definedName name="_bdm.33C4FCADD03446659CD12976D8497A31.edm" hidden="1">[7]Aus_Summary_Financials!$A:$IV</definedName>
    <definedName name="_bdm.33eb2d3781b9472c8d85e10af5c6be74.edm" hidden="1" xml:space="preserve">                       '[9]FY15 Build-Up'!$1:$1048576</definedName>
    <definedName name="_bdm.3D086949FA76491186CC95F845910E07.edm" hidden="1">[7]UK_Total_DCF_Out!$A:$IV</definedName>
    <definedName name="_bdm.3E214644E44149D488353945170C5DCD.edm" hidden="1">[7]CAvS_DCF!$A:$IV</definedName>
    <definedName name="_bdm.3f4ae476a8524961bff402fc19a79b94.edm" hidden="1" xml:space="preserve">                     '[9]FY15 Build-Up'!$1:$1048576</definedName>
    <definedName name="_bdm.44AFEF3C8B9F48779F973D0117BE6BD9.edm" hidden="1">#REF!</definedName>
    <definedName name="_bdm.4F0C441B0B25495C9AFECD53069A51F7.edm" hidden="1">[11]EPS_Forecast!$A:$IV</definedName>
    <definedName name="_bdm.4F619EE5720C4C5395FA2390AFB84021.edm" hidden="1">[7]UK_Total_Foot_Field!$A:$IV</definedName>
    <definedName name="_bdm.526C794A8BE443E09396D817AE403912.edm" hidden="1">'[7]Aus_Financials_MLA£'!$A:$IV</definedName>
    <definedName name="_bdm.561A29366F8F47FCA522C43ECE9404E0.edm" hidden="1">[12]SwissQual_IS!$A:$IV</definedName>
    <definedName name="_bdm.5687ca1f74d54c6b8ddffebdce31d1ca.edm" hidden="1" xml:space="preserve">                                   '[9]FY15 Build-Up'!$1:$1048576</definedName>
    <definedName name="_bdm.5E617A1FE5674D9E8D678CD3EB663B6E.edm" hidden="1">[7]PF_Impact_UK!$A:$IV</definedName>
    <definedName name="_bdm.5EA5DD3C0A5F41D1BF6AC01B1B33E728.edm" hidden="1">[7]CAvS_LBO_MI!$A:$IV</definedName>
    <definedName name="_bdm.62255513a9974e119d1ade9c359aea3c.edm" hidden="1" xml:space="preserve">                                           '[9]FY15 Build-Up'!$1:$1048576</definedName>
    <definedName name="_bdm.62A0CC933FE044E8AC129CE60E6F1E01.edm" hidden="1">[7]Aus_LBO_MI!$A:$IV</definedName>
    <definedName name="_bdm.69800AE010BF4520BDBF9497B3113322.edm" hidden="1">[7]Aus_DCF!$A:$IV</definedName>
    <definedName name="_bdm.6A2615186D2D406488EE901AE7CC46D6.edm" hidden="1">[7]CAvS_Foot_Field_FI_BoD!$A:$IV</definedName>
    <definedName name="_bdm.6de012b9c4ce46589d260b2b633c1c68.edm" hidden="1" xml:space="preserve">             '[9]FY15 Build-Up'!$1:$1048576</definedName>
    <definedName name="_bdm.78DD944E506B4CCDBF3A85D3366F879F.edm" hidden="1">[7]Aus_Foot_Field_MI!$A:$IV</definedName>
    <definedName name="_bdm.7e9d37ac067e4137a699a98c05b26b42.edm" hidden="1" xml:space="preserve">                                        '[9]FY15 Build-Up'!$1:$1048576</definedName>
    <definedName name="_bdm.7FA694B4478A477F88FBFC4EC5050B17.edm" hidden="1">[10]Handset!$A:$IV</definedName>
    <definedName name="_bdm.85ad06de2c9d4da7952a01fb4582dd16.edm" hidden="1" xml:space="preserve">                                                     '[9]FY15 Build-Up'!$1:$1048576</definedName>
    <definedName name="_bdm.86fc5ddd3d8349e5a9fc08c4682d216f.edm" hidden="1" xml:space="preserve">                   '[9]FY15 Build-Up'!$1:$1048576</definedName>
    <definedName name="_bdm.8A34D12AEC544BFFBE16FD2CD745D4DA.edm" hidden="1">[7]CAvS_Comp_Foot_Field!$A:$IV</definedName>
    <definedName name="_bdm.8F2022C101BB429BB36BFC6BF7C3C209.edm" hidden="1">[11]Analyst_Coverage!$A:$IV</definedName>
    <definedName name="_bdm.8fdc8254b24d4c20bb7b68b53663087e.edm" hidden="1" xml:space="preserve">                                                   '[9]FY15 Build-Up'!$1:$1048576</definedName>
    <definedName name="_bdm.8FDEEE10620E4A449590C5605A618CC0.edm" hidden="1">'[13]Stacked Bar'!$A:$IV</definedName>
    <definedName name="_bdm.93DEF60375314414B32CCFC89291417B.edm" hidden="1">[11]SPG!$A:$IV</definedName>
    <definedName name="_bdm.94FFD1996C924F148FFE79D5CD924548.edm" hidden="1">[11]Crude_v_BBA!$A:$IV</definedName>
    <definedName name="_bdm.9579525ec18c4830b167680f7c081fd0.edm" hidden="1" xml:space="preserve">                           '[9]FY15 Build-Up'!$1:$1048576</definedName>
    <definedName name="_bdm.96D160A7341E4CBCB7C244E9FC00A4A4.edm" hidden="1">[7]PF_Impact_All!$A:$IV</definedName>
    <definedName name="_bdm.972D276C63F34A32A6ECFDC90347E0D7.edm" hidden="1">[7]Coral_AVP!$A:$IV</definedName>
    <definedName name="_bdm.97CD58B3C1A84AE7B830B59C57C4DC02.edm" hidden="1">[7]UK_Total_Comp_Foot_Field_Out_MI!$A:$IV</definedName>
    <definedName name="_bdm.9A12710DDCBC46ABA98FFF6F9FD7CCA1.edm" hidden="1">[7]Aus_DCF_Out!$A:$IV</definedName>
    <definedName name="_bdm.9a7f631879fb49489247dc49be24464b.edm" hidden="1" xml:space="preserve">                                                                                                                                                                                           '[9]FY15 Build-Up'!$1:$1048576</definedName>
    <definedName name="_bdm.9e0893dd29d04334a3c34be33493ad45.edm" hidden="1">#REF!</definedName>
    <definedName name="_bdm.9E67A9FC8F004D408CA016296C4FBA51.edm" hidden="1">[7]Aus_LBO_FI!$A:$IV</definedName>
    <definedName name="_bdm.9EB33955F07A470493F6C67E47092C4B.edm" hidden="1">[10]Trading!$A:$IV</definedName>
    <definedName name="_bdm.A212FFCDEF71494188FD1AFED742D42C.edm" hidden="1">[7]CAvS_Foot_Field_MI!$A:$IV</definedName>
    <definedName name="_bdm.A4DE8B076E41474185EAF63A22EC4FC8.edm" hidden="1">[7]UK_Total_Comp_Foot_Field_Out_FI!$A:$IV</definedName>
    <definedName name="_bdm.ace3d27dadb9416280229192b1575a83.edm" hidden="1" xml:space="preserve">   '[9]FY15 Build-Up'!$1:$1048576</definedName>
    <definedName name="_bdm.acfe0bd3d7bd4269a45cb97737a5b17a.edm" hidden="1" xml:space="preserve">                             '[9]FY15 Build-Up'!$1:$1048576</definedName>
    <definedName name="_bdm.ad2855007fde4e84b1fe667b7c818f9a.edm" hidden="1">#REF!</definedName>
    <definedName name="_bdm.AE82895928304374B0E026069DB266B6.edm" hidden="1">[7]Fairfax_AVP_BoD!$A:$IV</definedName>
    <definedName name="_bdm.ae8558a92b6e46f1afeb88a79196e688.edm" hidden="1" xml:space="preserve">                    '[8]Evercore Backlog Analysis'!$1:$1048576</definedName>
    <definedName name="_bdm.b30431d6479e410fb8c127817f068b1c.edm" hidden="1">#REF!</definedName>
    <definedName name="_bdm.B41CE4CF724D4CD480CAB3CE34C97AB9.edm" hidden="1">[7]CAvS_LBO_FI!$A:$IV</definedName>
    <definedName name="_bdm.bd63e22f76c14befbc48c96aa8bee07a.edm" hidden="1">#REF!</definedName>
    <definedName name="_bdm.BDD4A0D602484F38A3F8A848F79D5A3D.edm" hidden="1">[7]Strat_Plan!$A:$IV</definedName>
    <definedName name="_bdm.BDEE59FFCFF141F981D472D9CBF6DCE3.edm" hidden="1">[7]Tx_Comps!$A:$IV</definedName>
    <definedName name="_bdm.C3060911EBCB4AB393AA43171776CF70.edm" hidden="1">[7]Aus_Comp_Foot_Field!$A:$IV</definedName>
    <definedName name="_bdm.d92c85c55892401285c343b45a143110.edm" hidden="1" xml:space="preserve">                               '[9]FY15 Build-Up'!$1:$1048576</definedName>
    <definedName name="_bdm.D99BCECF6A844A8B8F66A975F354F14D.edm" hidden="1">[7]SOTP_Analysis!$A:$IV</definedName>
    <definedName name="_bdm.da4a1eac196e499ba34c8c5a531f03a4.edm" hidden="1" xml:space="preserve">                                        '[8]Evercore Backlog Analysis'!$1:$1048576</definedName>
    <definedName name="_bdm.da966d92166741599b539311877330d7.edm" hidden="1">#REF!</definedName>
    <definedName name="_bdm.dbc283217300457fa2056e25ac4c862f.edm" hidden="1" xml:space="preserve">                                                                                     '[9]FY15 Build-Up'!$1:$1048576</definedName>
    <definedName name="_bdm.df0c1045cb134a7e8ab77cf87767e986.edm" hidden="1" xml:space="preserve">       '[9]FY15 Build-Up'!$1:$1048576</definedName>
    <definedName name="_bdm.DAA314C50859487F85ACE88FAB277D0A.edm" hidden="1">[7]CAvS_Foot_Field_FI!$A:$IV</definedName>
    <definedName name="_bdm.E910E5BDEC9C4CCEA210802E48AE8FD8.edm" hidden="1">[7]Aus_AVP!$A:$IV</definedName>
    <definedName name="_bdm.ea86b45187024c9585cbb51ad7e0d294.edm" hidden="1" xml:space="preserve">                                               '[9]FY15 Build-Up'!$1:$1048576</definedName>
    <definedName name="_bdm.EDE5453BADB743B7A7A2D824227F5342.edm" hidden="1">[7]CAvS_Comp_Foot_Field_Out_MI!$A:$IV</definedName>
    <definedName name="_bdm.EED50D1F516A456AAE98E0AE17B0B198.edm" hidden="1">'[7]Aus_Financials_MLA$'!$A:$IV</definedName>
    <definedName name="_bdm.f6db96e5c8204c03963349c52732a0d8.edm" hidden="1" xml:space="preserve">                                         '[9]FY15 Build-Up'!$1:$1048576</definedName>
    <definedName name="_bdm.FastTrackBookmark.1_21_2016_12_48_57_PM.edm" hidden="1">#REF!</definedName>
    <definedName name="_bdm.FastTrackBookmark.3_2_2016_5_14_24_PM.edm" hidden="1">#REF!</definedName>
    <definedName name="_bdm.FastTrackBookmark.5_18_2016_1_24_35_PM.edm" hidden="1">#REF!</definedName>
    <definedName name="_bdm.FastTrackBookmark.5_23_2015_9_14_50_AM.edm" hidden="1">#REF!</definedName>
    <definedName name="_bdm.FastTrackBookmark.8_20_2015_4_19_38_PM.edm" hidden="1">#REF!</definedName>
    <definedName name="_bdm.FastTrackBookmark.9_22_2015_3_26_41_PM.edm" hidden="1">#REF!</definedName>
    <definedName name="_bdm.FastTrackBookmark.9_22_2015_3_39_10_PM.edm" hidden="1">#REF!</definedName>
    <definedName name="_bdm.FD6D8B8ABDA8476C9364A66506CE20DA.edm" hidden="1">[7]Aus_Comp_Foot_Field_Out_FI!$A:$IV</definedName>
    <definedName name="_bdm.fdbe8d51f82b4f1da81e3e9438b3741c.edm" hidden="1" xml:space="preserve">                    '[8]Evercore Backlog Analysis'!$1:$1048576</definedName>
    <definedName name="_bdm.FE7EB7EC3A7A4DD3866F7EF18D5AB448.edm" hidden="1">'[7]All Lex_AVP'!$A:$IV</definedName>
    <definedName name="_bdm.FEB88A0738654692A83A99460C52DD7C.edm" hidden="1">[12]Output!$A:$IV</definedName>
    <definedName name="_BUDGET" hidden="1">[6]DataBudget!$A$12:$JC$12</definedName>
    <definedName name="_BUDGETYTD" hidden="1">[6]DataBudgetYTD!$A$12:$JC$12</definedName>
    <definedName name="_DATAMONTH2" hidden="1">10</definedName>
    <definedName name="_DATATYPE" hidden="1">"REA/REA"</definedName>
    <definedName name="_DATAUPDATE" hidden="1">TRUE</definedName>
    <definedName name="_DATAYEAR1" hidden="1">2010</definedName>
    <definedName name="_DATAYEAR2" hidden="1">2009</definedName>
    <definedName name="_DIM1" hidden="1">"DIM1=;DIM2=;DIM3=;DIM4=;DIM5=;DIM6=;DIM7=;DIM8=;DIM9=;"</definedName>
    <definedName name="_DIM2" hidden="1">" "</definedName>
    <definedName name="_DIM3" hidden="1">" "</definedName>
    <definedName name="_DIM4" hidden="1">" "</definedName>
    <definedName name="_djn1" hidden="1">{#N/A,#N/A,TRUE,"Goal";#N/A,#N/A,TRUE,"About";#N/A,#N/A,TRUE,"Linking";#N/A,#N/A,TRUE,"Compliance";#N/A,#N/A,TRUE,"Competitive";#N/A,#N/A,TRUE,"Proactive";#N/A,#N/A,TRUE,"Challenging";#N/A,#N/A,TRUE,"Development"}</definedName>
    <definedName name="_Fill" hidden="1">#REF!</definedName>
    <definedName name="_xlnm._FilterDatabase" hidden="1">#REF!</definedName>
    <definedName name="_GSRATES_1" hidden="1">"CT300001Latest          "</definedName>
    <definedName name="_GSRATES_COUNT" hidden="1">1</definedName>
    <definedName name="_GSRATESR_1" hidden="1">[14]Financials!#REF!</definedName>
    <definedName name="_Key1" hidden="1">#REF!</definedName>
    <definedName name="_key2" hidden="1">#REF!</definedName>
    <definedName name="_LASTYEAR" hidden="1">[6]Data!$JE$12:$TG$12</definedName>
    <definedName name="_LASTYEARYTD" hidden="1">[6]DataYTD!$JE$12:$TG$12</definedName>
    <definedName name="_Order1" hidden="1">255</definedName>
    <definedName name="_Order2" hidden="1">255</definedName>
    <definedName name="_PERIODE" hidden="1">FALSE</definedName>
    <definedName name="_PROGNOSIS" hidden="1">[6]DataBudget!$JE$12:$TG$12</definedName>
    <definedName name="_PROGNOSISYTD" hidden="1">[6]DataBudgetYTD!$JE$12:$TG$12</definedName>
    <definedName name="_Regression_Int" hidden="1">1</definedName>
    <definedName name="_s3" hidden="1">{#N/A,#N/A,FALSE,"Aging Summary";#N/A,#N/A,FALSE,"Ratio Analysis";#N/A,#N/A,FALSE,"Test 120 Day Accts";#N/A,#N/A,FALSE,"Tickmarks"}</definedName>
    <definedName name="_s4" hidden="1">{#N/A,#N/A,FALSE,"Aging Summary";#N/A,#N/A,FALSE,"Ratio Analysis";#N/A,#N/A,FALSE,"Test 120 Day Accts";#N/A,#N/A,FALSE,"Tickmarks"}</definedName>
    <definedName name="_Sort" hidden="1">#REF!</definedName>
    <definedName name="_Table1_In1" hidden="1">#REF!</definedName>
    <definedName name="_TRANSLATE" hidden="1">[15]language!$B$2:$G$52</definedName>
    <definedName name="_wrn1" hidden="1">{"mgmt forecast",#N/A,FALSE,"Mgmt Forecast";"dcf table",#N/A,FALSE,"Mgmt Forecast";"sensitivity",#N/A,FALSE,"Mgmt Forecast";"table inputs",#N/A,FALSE,"Mgmt Forecast";"calculations",#N/A,FALSE,"Mgmt Forecast"}</definedName>
    <definedName name="a" hidden="1">{"mgmt forecast",#N/A,FALSE,"Mgmt Forecast";"dcf table",#N/A,FALSE,"Mgmt Forecast";"sensitivity",#N/A,FALSE,"Mgmt Forecast";"table inputs",#N/A,FALSE,"Mgmt Forecast";"calculations",#N/A,FALSE,"Mgmt Forecast"}</definedName>
    <definedName name="ad" hidden="1">{"TITLE_PAGE",#N/A,FALSE,"MODEL";"DEP_SCHED",#N/A,FALSE,"MODEL";"DCF",#N/A,FALSE,"MODEL"}</definedName>
    <definedName name="adf" localSheetId="5" hidden="1">[16]!GotoInf_fromNo8</definedName>
    <definedName name="adf" localSheetId="6" hidden="1">[16]!GotoInf_fromNo8</definedName>
    <definedName name="adf" localSheetId="7" hidden="1">[16]!GotoInf_fromNo8</definedName>
    <definedName name="adf" localSheetId="8" hidden="1">[16]!GotoInf_fromNo8</definedName>
    <definedName name="adf" localSheetId="9" hidden="1">[16]!GotoInf_fromNo8</definedName>
    <definedName name="adf" localSheetId="10" hidden="1">[16]!GotoInf_fromNo8</definedName>
    <definedName name="adf" localSheetId="13" hidden="1">[16]!GotoInf_fromNo8</definedName>
    <definedName name="adf" localSheetId="15" hidden="1">[16]!GotoInf_fromNo8</definedName>
    <definedName name="adf" localSheetId="17" hidden="1">[16]!GotoInf_fromNo8</definedName>
    <definedName name="adf" localSheetId="18" hidden="1">[16]!GotoInf_fromNo8</definedName>
    <definedName name="adf" localSheetId="19" hidden="1">[16]!GotoInf_fromNo8</definedName>
    <definedName name="adf" localSheetId="20" hidden="1">[16]!GotoInf_fromNo8</definedName>
    <definedName name="adf" localSheetId="21" hidden="1">[16]!GotoInf_fromNo8</definedName>
    <definedName name="adf" localSheetId="22" hidden="1">[16]!GotoInf_fromNo8</definedName>
    <definedName name="adf" localSheetId="0" hidden="1">[16]!GotoInf_fromNo8</definedName>
    <definedName name="adf" localSheetId="23" hidden="1">[16]!GotoInf_fromNo8</definedName>
    <definedName name="adf" localSheetId="25" hidden="1">[16]!GotoInf_fromNo8</definedName>
    <definedName name="adf" localSheetId="24" hidden="1">[16]!GotoInf_fromNo8</definedName>
    <definedName name="adf" localSheetId="4" hidden="1">[16]!GotoInf_fromNo8</definedName>
    <definedName name="adf" localSheetId="3" hidden="1">[16]!GotoInf_fromNo8</definedName>
    <definedName name="adf" hidden="1">[16]!GotoInf_fromNo8</definedName>
    <definedName name="adfdasd" hidden="1">{#N/A,#N/A,TRUE,"Goal";#N/A,#N/A,TRUE,"About";#N/A,#N/A,TRUE,"Linking";#N/A,#N/A,TRUE,"Compliance";#N/A,#N/A,TRUE,"Competitive";#N/A,#N/A,TRUE,"Proactive";#N/A,#N/A,TRUE,"Challenging";#N/A,#N/A,TRUE,"Development"}</definedName>
    <definedName name="ADM_1" hidden="1">"ADM_CODE1001"</definedName>
    <definedName name="ADM_10" hidden="1">"ADM_CODE1010"</definedName>
    <definedName name="ADM_100" hidden="1">"ADM_CODE1264"</definedName>
    <definedName name="ADM_101" hidden="1">"ADM_CODE1266"</definedName>
    <definedName name="ADM_102" hidden="1">"ADM_CODE1270"</definedName>
    <definedName name="ADM_103" hidden="1">"ADM_CODE1272"</definedName>
    <definedName name="ADM_11" hidden="1">"ADM_CODE1011"</definedName>
    <definedName name="ADM_12" hidden="1">"ADM_CODE1015"</definedName>
    <definedName name="ADM_13" hidden="1">"ADM_CODE1016"</definedName>
    <definedName name="ADM_14" hidden="1">"ADM_CODE1017"</definedName>
    <definedName name="ADM_15" hidden="1">"ADM_CODE1018"</definedName>
    <definedName name="ADM_16" hidden="1">"ADM_CODE1019"</definedName>
    <definedName name="ADM_17" hidden="1">"ADM_CODE1021"</definedName>
    <definedName name="ADM_18" hidden="1">"ADM_CODE1022"</definedName>
    <definedName name="ADM_19" hidden="1">"ADM_CODE1023"</definedName>
    <definedName name="ADM_2" hidden="1">"ADM_CODE1002"</definedName>
    <definedName name="ADM_20" hidden="1">"ADM_CODE1024"</definedName>
    <definedName name="ADM_21" hidden="1">"ADM_CODE1026"</definedName>
    <definedName name="ADM_22" hidden="1">"ADM_CODE1040"</definedName>
    <definedName name="ADM_23" hidden="1">"ADM_CODE1041"</definedName>
    <definedName name="ADM_24" hidden="1">"ADM_CODE1045"</definedName>
    <definedName name="ADM_25" hidden="1">"ADM_CODE1050"</definedName>
    <definedName name="ADM_26" hidden="1">"ADM_CODE1052"</definedName>
    <definedName name="ADM_27" hidden="1">"ADM_CODE1054"</definedName>
    <definedName name="ADM_28" hidden="1">"ADM_CODE1055"</definedName>
    <definedName name="ADM_29" hidden="1">"ADM_CODE1056"</definedName>
    <definedName name="ADM_3" hidden="1">"ADM_CODE1003"</definedName>
    <definedName name="ADM_30" hidden="1">"ADM_CODE1057"</definedName>
    <definedName name="ADM_31" hidden="1">"ADM_CODE1058"</definedName>
    <definedName name="ADM_32" hidden="1">"ADM_CODE1059"</definedName>
    <definedName name="ADM_33" hidden="1">"ADM_CODE1060"</definedName>
    <definedName name="ADM_34" hidden="1">"ADM_CODE1064"</definedName>
    <definedName name="ADM_35" hidden="1">"ADM_CODE1066"</definedName>
    <definedName name="ADM_36" hidden="1">"ADM_CODE1070"</definedName>
    <definedName name="ADM_37" hidden="1">"ADM_CODE1072"</definedName>
    <definedName name="ADM_38" hidden="1">"ADM_CODE1110"</definedName>
    <definedName name="ADM_39" hidden="1">"ADM_CODE1111"</definedName>
    <definedName name="ADM_4" hidden="1">"ADM_CODE1004"</definedName>
    <definedName name="ADM_40" hidden="1">"ADM_CODE1116"</definedName>
    <definedName name="ADM_41" hidden="1">"ADM_CODE1117"</definedName>
    <definedName name="ADM_42" hidden="1">"ADM_CODE1118"</definedName>
    <definedName name="ADM_43" hidden="1">"ADM_CODE1119"</definedName>
    <definedName name="ADM_44" hidden="1">"ADM_CODE1121"</definedName>
    <definedName name="ADM_45" hidden="1">"ADM_CODE1122"</definedName>
    <definedName name="ADM_46" hidden="1">"ADM_CODE1123"</definedName>
    <definedName name="ADM_47" hidden="1">"ADM_CODE1124"</definedName>
    <definedName name="ADM_48" hidden="1">"ADM_CODE1126"</definedName>
    <definedName name="ADM_49" hidden="1">"ADM_CODE1140"</definedName>
    <definedName name="ADM_5" hidden="1">"ADM_CODE1005"</definedName>
    <definedName name="ADM_50" hidden="1">"ADM_CODE1141"</definedName>
    <definedName name="ADM_51" hidden="1">"ADM_CODE1145"</definedName>
    <definedName name="ADM_52" hidden="1">"ADM_CODE1146"</definedName>
    <definedName name="ADM_53" hidden="1">"ADM_CODE1150"</definedName>
    <definedName name="ADM_54" hidden="1">"ADM_CODE1152"</definedName>
    <definedName name="ADM_55" hidden="1">"ADM_CODE1154"</definedName>
    <definedName name="ADM_56" hidden="1">"ADM_CODE1155"</definedName>
    <definedName name="ADM_57" hidden="1">"ADM_CODE1156"</definedName>
    <definedName name="ADM_58" hidden="1">"ADM_CODE1201"</definedName>
    <definedName name="ADM_59" hidden="1">"ADM_CODE1202"</definedName>
    <definedName name="ADM_6" hidden="1">"ADM_CODE1006"</definedName>
    <definedName name="ADM_60" hidden="1">"ADM_CODE1203"</definedName>
    <definedName name="ADM_61" hidden="1">"ADM_CODE1204"</definedName>
    <definedName name="ADM_62" hidden="1">"ADM_CODE1205"</definedName>
    <definedName name="ADM_63" hidden="1">"ADM_CODE1206"</definedName>
    <definedName name="ADM_64" hidden="1">"ADM_CODE1206A"</definedName>
    <definedName name="ADM_65" hidden="1">"ADM_CODE1206B"</definedName>
    <definedName name="ADM_66" hidden="1">"ADM_CODE1206C"</definedName>
    <definedName name="ADM_67" hidden="1">"ADM_CODE1206E"</definedName>
    <definedName name="ADM_68" hidden="1">"ADM_CODE1206G"</definedName>
    <definedName name="ADM_69" hidden="1">"ADM_CODE1206H"</definedName>
    <definedName name="ADM_7" hidden="1">"ADM_CODE1007"</definedName>
    <definedName name="ADM_70" hidden="1">"ADM_CODE1207"</definedName>
    <definedName name="ADM_71" hidden="1">"ADM_CODE1208"</definedName>
    <definedName name="ADM_72" hidden="1">"ADM_CODE1209"</definedName>
    <definedName name="ADM_73" hidden="1">"ADM_CODE1210"</definedName>
    <definedName name="ADM_74" hidden="1">"ADM_CODE1211"</definedName>
    <definedName name="ADM_75" hidden="1">"ADM_CODE1216"</definedName>
    <definedName name="ADM_76" hidden="1">"ADM_CODE1217"</definedName>
    <definedName name="ADM_77" hidden="1">"ADM_CODE1218"</definedName>
    <definedName name="ADM_78" hidden="1">"ADM_CODE1219"</definedName>
    <definedName name="ADM_79" hidden="1">"ADM_CODE1221"</definedName>
    <definedName name="ADM_8" hidden="1">"ADM_CODE1008"</definedName>
    <definedName name="ADM_80" hidden="1">"ADM_CODE1222"</definedName>
    <definedName name="ADM_81" hidden="1">"ADM_CODE1223"</definedName>
    <definedName name="ADM_82" hidden="1">"ADM_CODE1224"</definedName>
    <definedName name="ADM_83" hidden="1">"ADM_CODE1226"</definedName>
    <definedName name="ADM_84" hidden="1">"ADM_CODE1229"</definedName>
    <definedName name="ADM_85" hidden="1">"ADM_CODE1239"</definedName>
    <definedName name="ADM_86" hidden="1">"ADM_CODE1240"</definedName>
    <definedName name="ADM_87" hidden="1">"ADM_CODE1241"</definedName>
    <definedName name="ADM_88" hidden="1">"ADM_CODE1245"</definedName>
    <definedName name="ADM_89" hidden="1">"ADM_CODE1246"</definedName>
    <definedName name="ADM_9" hidden="1">"ADM_CODE1009"</definedName>
    <definedName name="ADM_90" hidden="1">"ADM_CODE1250"</definedName>
    <definedName name="ADM_91" hidden="1">"ADM_CODE1252"</definedName>
    <definedName name="ADM_92" hidden="1">"ADM_CODE1254"</definedName>
    <definedName name="ADM_93" hidden="1">"ADM_CODE1255"</definedName>
    <definedName name="ADM_94" hidden="1">"ADM_CODE1256"</definedName>
    <definedName name="ADM_95" hidden="1">"ADM_CODE1257"</definedName>
    <definedName name="ADM_96" hidden="1">"ADM_CODE1258"</definedName>
    <definedName name="ADM_97" hidden="1">"ADM_CODE1259"</definedName>
    <definedName name="ADM_98" hidden="1">"ADM_CODE1260"</definedName>
    <definedName name="ADM_99" hidden="1">"ADM_CODE1263"</definedName>
    <definedName name="ADM_boekee_ADM_PRF_1" hidden="1">TRUE</definedName>
    <definedName name="ADM_boekee_ADM_PRF_10" hidden="1">TRUE</definedName>
    <definedName name="ADM_boekee_ADM_PRF_100" hidden="1">TRUE</definedName>
    <definedName name="ADM_boekee_ADM_PRF_101" hidden="1">TRUE</definedName>
    <definedName name="ADM_boekee_ADM_PRF_102" hidden="1">TRUE</definedName>
    <definedName name="ADM_boekee_ADM_PRF_103" hidden="1">TRUE</definedName>
    <definedName name="ADM_boekee_ADM_PRF_11" hidden="1">TRUE</definedName>
    <definedName name="ADM_boekee_ADM_PRF_12" hidden="1">TRUE</definedName>
    <definedName name="ADM_boekee_ADM_PRF_13" hidden="1">TRUE</definedName>
    <definedName name="ADM_boekee_ADM_PRF_14" hidden="1">TRUE</definedName>
    <definedName name="ADM_boekee_ADM_PRF_15" hidden="1">TRUE</definedName>
    <definedName name="ADM_boekee_ADM_PRF_16" hidden="1">TRUE</definedName>
    <definedName name="ADM_boekee_ADM_PRF_17" hidden="1">TRUE</definedName>
    <definedName name="ADM_boekee_ADM_PRF_18" hidden="1">TRUE</definedName>
    <definedName name="ADM_boekee_ADM_PRF_19" hidden="1">TRUE</definedName>
    <definedName name="ADM_boekee_ADM_PRF_2" hidden="1">TRUE</definedName>
    <definedName name="ADM_boekee_ADM_PRF_20" hidden="1">TRUE</definedName>
    <definedName name="ADM_boekee_ADM_PRF_21" hidden="1">TRUE</definedName>
    <definedName name="ADM_boekee_ADM_PRF_22" hidden="1">TRUE</definedName>
    <definedName name="ADM_boekee_ADM_PRF_23" hidden="1">TRUE</definedName>
    <definedName name="ADM_boekee_ADM_PRF_24" hidden="1">TRUE</definedName>
    <definedName name="ADM_boekee_ADM_PRF_25" hidden="1">TRUE</definedName>
    <definedName name="ADM_boekee_ADM_PRF_26" hidden="1">TRUE</definedName>
    <definedName name="ADM_boekee_ADM_PRF_27" hidden="1">TRUE</definedName>
    <definedName name="ADM_boekee_ADM_PRF_28" hidden="1">TRUE</definedName>
    <definedName name="ADM_boekee_ADM_PRF_29" hidden="1">TRUE</definedName>
    <definedName name="ADM_boekee_ADM_PRF_3" hidden="1">TRUE</definedName>
    <definedName name="ADM_boekee_ADM_PRF_30" hidden="1">TRUE</definedName>
    <definedName name="ADM_boekee_ADM_PRF_31" hidden="1">TRUE</definedName>
    <definedName name="ADM_boekee_ADM_PRF_32" hidden="1">TRUE</definedName>
    <definedName name="ADM_boekee_ADM_PRF_33" hidden="1">TRUE</definedName>
    <definedName name="ADM_boekee_ADM_PRF_34" hidden="1">TRUE</definedName>
    <definedName name="ADM_boekee_ADM_PRF_35" hidden="1">TRUE</definedName>
    <definedName name="ADM_boekee_ADM_PRF_36" hidden="1">TRUE</definedName>
    <definedName name="ADM_boekee_ADM_PRF_37" hidden="1">TRUE</definedName>
    <definedName name="ADM_boekee_ADM_PRF_38" hidden="1">TRUE</definedName>
    <definedName name="ADM_boekee_ADM_PRF_39" hidden="1">TRUE</definedName>
    <definedName name="ADM_boekee_ADM_PRF_4" hidden="1">TRUE</definedName>
    <definedName name="ADM_boekee_ADM_PRF_40" hidden="1">TRUE</definedName>
    <definedName name="ADM_boekee_ADM_PRF_41" hidden="1">TRUE</definedName>
    <definedName name="ADM_boekee_ADM_PRF_42" hidden="1">TRUE</definedName>
    <definedName name="ADM_boekee_ADM_PRF_43" hidden="1">TRUE</definedName>
    <definedName name="ADM_boekee_ADM_PRF_44" hidden="1">TRUE</definedName>
    <definedName name="ADM_boekee_ADM_PRF_45" hidden="1">TRUE</definedName>
    <definedName name="ADM_boekee_ADM_PRF_46" hidden="1">TRUE</definedName>
    <definedName name="ADM_boekee_ADM_PRF_47" hidden="1">TRUE</definedName>
    <definedName name="ADM_boekee_ADM_PRF_48" hidden="1">TRUE</definedName>
    <definedName name="ADM_boekee_ADM_PRF_49" hidden="1">TRUE</definedName>
    <definedName name="ADM_boekee_ADM_PRF_5" hidden="1">TRUE</definedName>
    <definedName name="ADM_boekee_ADM_PRF_50" hidden="1">TRUE</definedName>
    <definedName name="ADM_boekee_ADM_PRF_51" hidden="1">TRUE</definedName>
    <definedName name="ADM_boekee_ADM_PRF_52" hidden="1">TRUE</definedName>
    <definedName name="ADM_boekee_ADM_PRF_53" hidden="1">TRUE</definedName>
    <definedName name="ADM_boekee_ADM_PRF_54" hidden="1">TRUE</definedName>
    <definedName name="ADM_boekee_ADM_PRF_55" hidden="1">TRUE</definedName>
    <definedName name="ADM_boekee_ADM_PRF_56" hidden="1">TRUE</definedName>
    <definedName name="ADM_boekee_ADM_PRF_57" hidden="1">TRUE</definedName>
    <definedName name="ADM_boekee_ADM_PRF_58" hidden="1">TRUE</definedName>
    <definedName name="ADM_boekee_ADM_PRF_59" hidden="1">TRUE</definedName>
    <definedName name="ADM_boekee_ADM_PRF_6" hidden="1">TRUE</definedName>
    <definedName name="ADM_boekee_ADM_PRF_60" hidden="1">TRUE</definedName>
    <definedName name="ADM_boekee_ADM_PRF_61" hidden="1">TRUE</definedName>
    <definedName name="ADM_boekee_ADM_PRF_62" hidden="1">TRUE</definedName>
    <definedName name="ADM_boekee_ADM_PRF_63" hidden="1">TRUE</definedName>
    <definedName name="ADM_boekee_ADM_PRF_64" hidden="1">TRUE</definedName>
    <definedName name="ADM_boekee_ADM_PRF_65" hidden="1">TRUE</definedName>
    <definedName name="ADM_boekee_ADM_PRF_66" hidden="1">TRUE</definedName>
    <definedName name="ADM_boekee_ADM_PRF_67" hidden="1">TRUE</definedName>
    <definedName name="ADM_boekee_ADM_PRF_68" hidden="1">TRUE</definedName>
    <definedName name="ADM_boekee_ADM_PRF_69" hidden="1">TRUE</definedName>
    <definedName name="ADM_boekee_ADM_PRF_7" hidden="1">TRUE</definedName>
    <definedName name="ADM_boekee_ADM_PRF_70" hidden="1">TRUE</definedName>
    <definedName name="ADM_boekee_ADM_PRF_71" hidden="1">TRUE</definedName>
    <definedName name="ADM_boekee_ADM_PRF_72" hidden="1">TRUE</definedName>
    <definedName name="ADM_boekee_ADM_PRF_73" hidden="1">TRUE</definedName>
    <definedName name="ADM_boekee_ADM_PRF_74" hidden="1">TRUE</definedName>
    <definedName name="ADM_boekee_ADM_PRF_75" hidden="1">TRUE</definedName>
    <definedName name="ADM_boekee_ADM_PRF_76" hidden="1">TRUE</definedName>
    <definedName name="ADM_boekee_ADM_PRF_77" hidden="1">TRUE</definedName>
    <definedName name="ADM_boekee_ADM_PRF_78" hidden="1">TRUE</definedName>
    <definedName name="ADM_boekee_ADM_PRF_79" hidden="1">TRUE</definedName>
    <definedName name="ADM_boekee_ADM_PRF_8" hidden="1">TRUE</definedName>
    <definedName name="ADM_boekee_ADM_PRF_80" hidden="1">TRUE</definedName>
    <definedName name="ADM_boekee_ADM_PRF_81" hidden="1">TRUE</definedName>
    <definedName name="ADM_boekee_ADM_PRF_82" hidden="1">TRUE</definedName>
    <definedName name="ADM_boekee_ADM_PRF_83" hidden="1">TRUE</definedName>
    <definedName name="ADM_boekee_ADM_PRF_84" hidden="1">TRUE</definedName>
    <definedName name="ADM_boekee_ADM_PRF_85" hidden="1">TRUE</definedName>
    <definedName name="ADM_boekee_ADM_PRF_86" hidden="1">TRUE</definedName>
    <definedName name="ADM_boekee_ADM_PRF_87" hidden="1">TRUE</definedName>
    <definedName name="ADM_boekee_ADM_PRF_88" hidden="1">TRUE</definedName>
    <definedName name="ADM_boekee_ADM_PRF_89" hidden="1">TRUE</definedName>
    <definedName name="ADM_boekee_ADM_PRF_9" hidden="1">TRUE</definedName>
    <definedName name="ADM_boekee_ADM_PRF_90" hidden="1">TRUE</definedName>
    <definedName name="ADM_boekee_ADM_PRF_91" hidden="1">TRUE</definedName>
    <definedName name="ADM_boekee_ADM_PRF_92" hidden="1">TRUE</definedName>
    <definedName name="ADM_boekee_ADM_PRF_93" hidden="1">TRUE</definedName>
    <definedName name="ADM_boekee_ADM_PRF_94" hidden="1">TRUE</definedName>
    <definedName name="ADM_boekee_ADM_PRF_95" hidden="1">TRUE</definedName>
    <definedName name="ADM_boekee_ADM_PRF_96" hidden="1">TRUE</definedName>
    <definedName name="ADM_boekee_ADM_PRF_97" hidden="1">TRUE</definedName>
    <definedName name="ADM_boekee_ADM_PRF_98" hidden="1">TRUE</definedName>
    <definedName name="ADM_boekee_ADM_PRF_99" hidden="1">TRUE</definedName>
    <definedName name="ADM_boekee_BUDGET_1" hidden="1">TRUE</definedName>
    <definedName name="ADM_boekee_BUDGET_10" hidden="1">TRUE</definedName>
    <definedName name="ADM_boekee_BUDGET_100" hidden="1">TRUE</definedName>
    <definedName name="ADM_boekee_BUDGET_101" hidden="1">TRUE</definedName>
    <definedName name="ADM_boekee_BUDGET_102" hidden="1">TRUE</definedName>
    <definedName name="ADM_boekee_BUDGET_103" hidden="1">TRUE</definedName>
    <definedName name="ADM_boekee_BUDGET_11" hidden="1">TRUE</definedName>
    <definedName name="ADM_boekee_BUDGET_12" hidden="1">TRUE</definedName>
    <definedName name="ADM_boekee_BUDGET_13" hidden="1">TRUE</definedName>
    <definedName name="ADM_boekee_BUDGET_14" hidden="1">TRUE</definedName>
    <definedName name="ADM_boekee_BUDGET_15" hidden="1">TRUE</definedName>
    <definedName name="ADM_boekee_BUDGET_16" hidden="1">TRUE</definedName>
    <definedName name="ADM_boekee_BUDGET_17" hidden="1">TRUE</definedName>
    <definedName name="ADM_boekee_BUDGET_18" hidden="1">TRUE</definedName>
    <definedName name="ADM_boekee_BUDGET_19" hidden="1">TRUE</definedName>
    <definedName name="ADM_boekee_BUDGET_2" hidden="1">TRUE</definedName>
    <definedName name="ADM_boekee_BUDGET_20" hidden="1">TRUE</definedName>
    <definedName name="ADM_boekee_BUDGET_21" hidden="1">TRUE</definedName>
    <definedName name="ADM_boekee_BUDGET_22" hidden="1">TRUE</definedName>
    <definedName name="ADM_boekee_BUDGET_23" hidden="1">TRUE</definedName>
    <definedName name="ADM_boekee_BUDGET_24" hidden="1">TRUE</definedName>
    <definedName name="ADM_boekee_BUDGET_25" hidden="1">TRUE</definedName>
    <definedName name="ADM_boekee_BUDGET_26" hidden="1">TRUE</definedName>
    <definedName name="ADM_boekee_BUDGET_27" hidden="1">TRUE</definedName>
    <definedName name="ADM_boekee_BUDGET_28" hidden="1">TRUE</definedName>
    <definedName name="ADM_boekee_BUDGET_29" hidden="1">TRUE</definedName>
    <definedName name="ADM_boekee_BUDGET_3" hidden="1">TRUE</definedName>
    <definedName name="ADM_boekee_BUDGET_30" hidden="1">TRUE</definedName>
    <definedName name="ADM_boekee_BUDGET_31" hidden="1">TRUE</definedName>
    <definedName name="ADM_boekee_BUDGET_32" hidden="1">TRUE</definedName>
    <definedName name="ADM_boekee_BUDGET_33" hidden="1">TRUE</definedName>
    <definedName name="ADM_boekee_BUDGET_34" hidden="1">TRUE</definedName>
    <definedName name="ADM_boekee_BUDGET_35" hidden="1">TRUE</definedName>
    <definedName name="ADM_boekee_BUDGET_36" hidden="1">TRUE</definedName>
    <definedName name="ADM_boekee_BUDGET_37" hidden="1">TRUE</definedName>
    <definedName name="ADM_boekee_BUDGET_38" hidden="1">TRUE</definedName>
    <definedName name="ADM_boekee_BUDGET_39" hidden="1">TRUE</definedName>
    <definedName name="ADM_boekee_BUDGET_4" hidden="1">TRUE</definedName>
    <definedName name="ADM_boekee_BUDGET_40" hidden="1">TRUE</definedName>
    <definedName name="ADM_boekee_BUDGET_41" hidden="1">TRUE</definedName>
    <definedName name="ADM_boekee_BUDGET_42" hidden="1">TRUE</definedName>
    <definedName name="ADM_boekee_BUDGET_43" hidden="1">TRUE</definedName>
    <definedName name="ADM_boekee_BUDGET_44" hidden="1">TRUE</definedName>
    <definedName name="ADM_boekee_BUDGET_45" hidden="1">TRUE</definedName>
    <definedName name="ADM_boekee_BUDGET_46" hidden="1">TRUE</definedName>
    <definedName name="ADM_boekee_BUDGET_47" hidden="1">TRUE</definedName>
    <definedName name="ADM_boekee_BUDGET_48" hidden="1">TRUE</definedName>
    <definedName name="ADM_boekee_BUDGET_49" hidden="1">TRUE</definedName>
    <definedName name="ADM_boekee_BUDGET_5" hidden="1">TRUE</definedName>
    <definedName name="ADM_boekee_BUDGET_50" hidden="1">TRUE</definedName>
    <definedName name="ADM_boekee_BUDGET_51" hidden="1">TRUE</definedName>
    <definedName name="ADM_boekee_BUDGET_52" hidden="1">TRUE</definedName>
    <definedName name="ADM_boekee_BUDGET_53" hidden="1">TRUE</definedName>
    <definedName name="ADM_boekee_BUDGET_54" hidden="1">TRUE</definedName>
    <definedName name="ADM_boekee_BUDGET_55" hidden="1">TRUE</definedName>
    <definedName name="ADM_boekee_BUDGET_56" hidden="1">TRUE</definedName>
    <definedName name="ADM_boekee_BUDGET_57" hidden="1">TRUE</definedName>
    <definedName name="ADM_boekee_BUDGET_58" hidden="1">TRUE</definedName>
    <definedName name="ADM_boekee_BUDGET_59" hidden="1">TRUE</definedName>
    <definedName name="ADM_boekee_BUDGET_6" hidden="1">TRUE</definedName>
    <definedName name="ADM_boekee_BUDGET_60" hidden="1">TRUE</definedName>
    <definedName name="ADM_boekee_BUDGET_61" hidden="1">TRUE</definedName>
    <definedName name="ADM_boekee_BUDGET_62" hidden="1">TRUE</definedName>
    <definedName name="ADM_boekee_BUDGET_63" hidden="1">TRUE</definedName>
    <definedName name="ADM_boekee_BUDGET_64" hidden="1">TRUE</definedName>
    <definedName name="ADM_boekee_BUDGET_65" hidden="1">TRUE</definedName>
    <definedName name="ADM_boekee_BUDGET_66" hidden="1">TRUE</definedName>
    <definedName name="ADM_boekee_BUDGET_67" hidden="1">TRUE</definedName>
    <definedName name="ADM_boekee_BUDGET_68" hidden="1">TRUE</definedName>
    <definedName name="ADM_boekee_BUDGET_69" hidden="1">TRUE</definedName>
    <definedName name="ADM_boekee_BUDGET_7" hidden="1">TRUE</definedName>
    <definedName name="ADM_boekee_BUDGET_70" hidden="1">TRUE</definedName>
    <definedName name="ADM_boekee_BUDGET_71" hidden="1">TRUE</definedName>
    <definedName name="ADM_boekee_BUDGET_72" hidden="1">TRUE</definedName>
    <definedName name="ADM_boekee_BUDGET_73" hidden="1">TRUE</definedName>
    <definedName name="ADM_boekee_BUDGET_74" hidden="1">TRUE</definedName>
    <definedName name="ADM_boekee_BUDGET_75" hidden="1">TRUE</definedName>
    <definedName name="ADM_boekee_BUDGET_76" hidden="1">TRUE</definedName>
    <definedName name="ADM_boekee_BUDGET_77" hidden="1">TRUE</definedName>
    <definedName name="ADM_boekee_BUDGET_78" hidden="1">TRUE</definedName>
    <definedName name="ADM_boekee_BUDGET_79" hidden="1">TRUE</definedName>
    <definedName name="ADM_boekee_BUDGET_8" hidden="1">TRUE</definedName>
    <definedName name="ADM_boekee_BUDGET_80" hidden="1">TRUE</definedName>
    <definedName name="ADM_boekee_BUDGET_81" hidden="1">TRUE</definedName>
    <definedName name="ADM_boekee_BUDGET_82" hidden="1">TRUE</definedName>
    <definedName name="ADM_boekee_BUDGET_83" hidden="1">TRUE</definedName>
    <definedName name="ADM_boekee_BUDGET_84" hidden="1">TRUE</definedName>
    <definedName name="ADM_boekee_BUDGET_85" hidden="1">TRUE</definedName>
    <definedName name="ADM_boekee_BUDGET_86" hidden="1">TRUE</definedName>
    <definedName name="ADM_boekee_BUDGET_87" hidden="1">TRUE</definedName>
    <definedName name="ADM_boekee_BUDGET_88" hidden="1">TRUE</definedName>
    <definedName name="ADM_boekee_BUDGET_89" hidden="1">TRUE</definedName>
    <definedName name="ADM_boekee_BUDGET_9" hidden="1">TRUE</definedName>
    <definedName name="ADM_boekee_BUDGET_90" hidden="1">TRUE</definedName>
    <definedName name="ADM_boekee_BUDGET_91" hidden="1">TRUE</definedName>
    <definedName name="ADM_boekee_BUDGET_92" hidden="1">TRUE</definedName>
    <definedName name="ADM_boekee_BUDGET_93" hidden="1">TRUE</definedName>
    <definedName name="ADM_boekee_BUDGET_94" hidden="1">TRUE</definedName>
    <definedName name="ADM_boekee_BUDGET_95" hidden="1">TRUE</definedName>
    <definedName name="ADM_boekee_BUDGET_96" hidden="1">TRUE</definedName>
    <definedName name="ADM_boekee_BUDGET_97" hidden="1">TRUE</definedName>
    <definedName name="ADM_boekee_BUDGET_98" hidden="1">TRUE</definedName>
    <definedName name="ADM_boekee_BUDGET_99" hidden="1">TRUE</definedName>
    <definedName name="ADM_boekee_COST_1" hidden="1">TRUE</definedName>
    <definedName name="ADM_boekee_COST_10" hidden="1">TRUE</definedName>
    <definedName name="ADM_boekee_COST_100" hidden="1">TRUE</definedName>
    <definedName name="ADM_boekee_COST_101" hidden="1">TRUE</definedName>
    <definedName name="ADM_boekee_COST_102" hidden="1">TRUE</definedName>
    <definedName name="ADM_boekee_COST_103" hidden="1">TRUE</definedName>
    <definedName name="ADM_boekee_COST_11" hidden="1">TRUE</definedName>
    <definedName name="ADM_boekee_COST_12" hidden="1">TRUE</definedName>
    <definedName name="ADM_boekee_COST_13" hidden="1">TRUE</definedName>
    <definedName name="ADM_boekee_COST_14" hidden="1">TRUE</definedName>
    <definedName name="ADM_boekee_COST_15" hidden="1">TRUE</definedName>
    <definedName name="ADM_boekee_COST_16" hidden="1">TRUE</definedName>
    <definedName name="ADM_boekee_COST_17" hidden="1">TRUE</definedName>
    <definedName name="ADM_boekee_COST_18" hidden="1">TRUE</definedName>
    <definedName name="ADM_boekee_COST_19" hidden="1">TRUE</definedName>
    <definedName name="ADM_boekee_COST_2" hidden="1">TRUE</definedName>
    <definedName name="ADM_boekee_COST_20" hidden="1">TRUE</definedName>
    <definedName name="ADM_boekee_COST_21" hidden="1">TRUE</definedName>
    <definedName name="ADM_boekee_COST_22" hidden="1">TRUE</definedName>
    <definedName name="ADM_boekee_COST_23" hidden="1">TRUE</definedName>
    <definedName name="ADM_boekee_COST_24" hidden="1">TRUE</definedName>
    <definedName name="ADM_boekee_COST_25" hidden="1">TRUE</definedName>
    <definedName name="ADM_boekee_COST_26" hidden="1">TRUE</definedName>
    <definedName name="ADM_boekee_COST_27" hidden="1">TRUE</definedName>
    <definedName name="ADM_boekee_COST_28" hidden="1">TRUE</definedName>
    <definedName name="ADM_boekee_COST_29" hidden="1">TRUE</definedName>
    <definedName name="ADM_boekee_COST_3" hidden="1">TRUE</definedName>
    <definedName name="ADM_boekee_COST_30" hidden="1">TRUE</definedName>
    <definedName name="ADM_boekee_COST_31" hidden="1">TRUE</definedName>
    <definedName name="ADM_boekee_COST_32" hidden="1">TRUE</definedName>
    <definedName name="ADM_boekee_COST_33" hidden="1">TRUE</definedName>
    <definedName name="ADM_boekee_COST_34" hidden="1">TRUE</definedName>
    <definedName name="ADM_boekee_COST_35" hidden="1">TRUE</definedName>
    <definedName name="ADM_boekee_COST_36" hidden="1">TRUE</definedName>
    <definedName name="ADM_boekee_COST_37" hidden="1">TRUE</definedName>
    <definedName name="ADM_boekee_COST_38" hidden="1">TRUE</definedName>
    <definedName name="ADM_boekee_COST_39" hidden="1">TRUE</definedName>
    <definedName name="ADM_boekee_COST_4" hidden="1">TRUE</definedName>
    <definedName name="ADM_boekee_COST_40" hidden="1">TRUE</definedName>
    <definedName name="ADM_boekee_COST_41" hidden="1">TRUE</definedName>
    <definedName name="ADM_boekee_COST_42" hidden="1">TRUE</definedName>
    <definedName name="ADM_boekee_COST_43" hidden="1">TRUE</definedName>
    <definedName name="ADM_boekee_COST_44" hidden="1">TRUE</definedName>
    <definedName name="ADM_boekee_COST_45" hidden="1">TRUE</definedName>
    <definedName name="ADM_boekee_COST_46" hidden="1">TRUE</definedName>
    <definedName name="ADM_boekee_COST_47" hidden="1">TRUE</definedName>
    <definedName name="ADM_boekee_COST_48" hidden="1">TRUE</definedName>
    <definedName name="ADM_boekee_COST_49" hidden="1">TRUE</definedName>
    <definedName name="ADM_boekee_COST_5" hidden="1">TRUE</definedName>
    <definedName name="ADM_boekee_COST_50" hidden="1">TRUE</definedName>
    <definedName name="ADM_boekee_COST_51" hidden="1">TRUE</definedName>
    <definedName name="ADM_boekee_COST_52" hidden="1">TRUE</definedName>
    <definedName name="ADM_boekee_COST_53" hidden="1">TRUE</definedName>
    <definedName name="ADM_boekee_COST_54" hidden="1">TRUE</definedName>
    <definedName name="ADM_boekee_COST_55" hidden="1">TRUE</definedName>
    <definedName name="ADM_boekee_COST_56" hidden="1">TRUE</definedName>
    <definedName name="ADM_boekee_COST_57" hidden="1">TRUE</definedName>
    <definedName name="ADM_boekee_COST_58" hidden="1">TRUE</definedName>
    <definedName name="ADM_boekee_COST_59" hidden="1">TRUE</definedName>
    <definedName name="ADM_boekee_COST_6" hidden="1">TRUE</definedName>
    <definedName name="ADM_boekee_COST_60" hidden="1">TRUE</definedName>
    <definedName name="ADM_boekee_COST_61" hidden="1">TRUE</definedName>
    <definedName name="ADM_boekee_COST_62" hidden="1">TRUE</definedName>
    <definedName name="ADM_boekee_COST_63" hidden="1">TRUE</definedName>
    <definedName name="ADM_boekee_COST_64" hidden="1">TRUE</definedName>
    <definedName name="ADM_boekee_COST_65" hidden="1">TRUE</definedName>
    <definedName name="ADM_boekee_COST_66" hidden="1">TRUE</definedName>
    <definedName name="ADM_boekee_COST_67" hidden="1">TRUE</definedName>
    <definedName name="ADM_boekee_COST_68" hidden="1">TRUE</definedName>
    <definedName name="ADM_boekee_COST_69" hidden="1">TRUE</definedName>
    <definedName name="ADM_boekee_COST_7" hidden="1">TRUE</definedName>
    <definedName name="ADM_boekee_COST_70" hidden="1">TRUE</definedName>
    <definedName name="ADM_boekee_COST_71" hidden="1">TRUE</definedName>
    <definedName name="ADM_boekee_COST_72" hidden="1">TRUE</definedName>
    <definedName name="ADM_boekee_COST_73" hidden="1">TRUE</definedName>
    <definedName name="ADM_boekee_COST_74" hidden="1">TRUE</definedName>
    <definedName name="ADM_boekee_COST_75" hidden="1">TRUE</definedName>
    <definedName name="ADM_boekee_COST_76" hidden="1">TRUE</definedName>
    <definedName name="ADM_boekee_COST_77" hidden="1">TRUE</definedName>
    <definedName name="ADM_boekee_COST_78" hidden="1">TRUE</definedName>
    <definedName name="ADM_boekee_COST_79" hidden="1">TRUE</definedName>
    <definedName name="ADM_boekee_COST_8" hidden="1">TRUE</definedName>
    <definedName name="ADM_boekee_COST_80" hidden="1">TRUE</definedName>
    <definedName name="ADM_boekee_COST_81" hidden="1">TRUE</definedName>
    <definedName name="ADM_boekee_COST_82" hidden="1">TRUE</definedName>
    <definedName name="ADM_boekee_COST_83" hidden="1">TRUE</definedName>
    <definedName name="ADM_boekee_COST_84" hidden="1">TRUE</definedName>
    <definedName name="ADM_boekee_COST_85" hidden="1">TRUE</definedName>
    <definedName name="ADM_boekee_COST_86" hidden="1">TRUE</definedName>
    <definedName name="ADM_boekee_COST_87" hidden="1">TRUE</definedName>
    <definedName name="ADM_boekee_COST_88" hidden="1">TRUE</definedName>
    <definedName name="ADM_boekee_COST_89" hidden="1">TRUE</definedName>
    <definedName name="ADM_boekee_COST_9" hidden="1">TRUE</definedName>
    <definedName name="ADM_boekee_COST_90" hidden="1">TRUE</definedName>
    <definedName name="ADM_boekee_COST_91" hidden="1">TRUE</definedName>
    <definedName name="ADM_boekee_COST_92" hidden="1">TRUE</definedName>
    <definedName name="ADM_boekee_COST_93" hidden="1">TRUE</definedName>
    <definedName name="ADM_boekee_COST_94" hidden="1">TRUE</definedName>
    <definedName name="ADM_boekee_COST_95" hidden="1">TRUE</definedName>
    <definedName name="ADM_boekee_COST_96" hidden="1">TRUE</definedName>
    <definedName name="ADM_boekee_COST_97" hidden="1">TRUE</definedName>
    <definedName name="ADM_boekee_COST_98" hidden="1">TRUE</definedName>
    <definedName name="ADM_boekee_COST_99" hidden="1">TRUE</definedName>
    <definedName name="ADM_boekee_CRED_1" hidden="1">TRUE</definedName>
    <definedName name="ADM_boekee_CRED_10" hidden="1">TRUE</definedName>
    <definedName name="ADM_boekee_CRED_100" hidden="1">TRUE</definedName>
    <definedName name="ADM_boekee_CRED_101" hidden="1">TRUE</definedName>
    <definedName name="ADM_boekee_CRED_102" hidden="1">TRUE</definedName>
    <definedName name="ADM_boekee_CRED_103" hidden="1">TRUE</definedName>
    <definedName name="ADM_boekee_CRED_11" hidden="1">TRUE</definedName>
    <definedName name="ADM_boekee_CRED_12" hidden="1">TRUE</definedName>
    <definedName name="ADM_boekee_CRED_13" hidden="1">TRUE</definedName>
    <definedName name="ADM_boekee_CRED_14" hidden="1">TRUE</definedName>
    <definedName name="ADM_boekee_CRED_15" hidden="1">TRUE</definedName>
    <definedName name="ADM_boekee_CRED_16" hidden="1">TRUE</definedName>
    <definedName name="ADM_boekee_CRED_17" hidden="1">TRUE</definedName>
    <definedName name="ADM_boekee_CRED_18" hidden="1">TRUE</definedName>
    <definedName name="ADM_boekee_CRED_19" hidden="1">TRUE</definedName>
    <definedName name="ADM_boekee_CRED_2" hidden="1">TRUE</definedName>
    <definedName name="ADM_boekee_CRED_20" hidden="1">TRUE</definedName>
    <definedName name="ADM_boekee_CRED_21" hidden="1">TRUE</definedName>
    <definedName name="ADM_boekee_CRED_22" hidden="1">TRUE</definedName>
    <definedName name="ADM_boekee_CRED_23" hidden="1">TRUE</definedName>
    <definedName name="ADM_boekee_CRED_24" hidden="1">TRUE</definedName>
    <definedName name="ADM_boekee_CRED_25" hidden="1">TRUE</definedName>
    <definedName name="ADM_boekee_CRED_26" hidden="1">TRUE</definedName>
    <definedName name="ADM_boekee_CRED_27" hidden="1">TRUE</definedName>
    <definedName name="ADM_boekee_CRED_28" hidden="1">TRUE</definedName>
    <definedName name="ADM_boekee_CRED_29" hidden="1">TRUE</definedName>
    <definedName name="ADM_boekee_CRED_3" hidden="1">TRUE</definedName>
    <definedName name="ADM_boekee_CRED_30" hidden="1">TRUE</definedName>
    <definedName name="ADM_boekee_CRED_31" hidden="1">TRUE</definedName>
    <definedName name="ADM_boekee_CRED_32" hidden="1">TRUE</definedName>
    <definedName name="ADM_boekee_CRED_33" hidden="1">TRUE</definedName>
    <definedName name="ADM_boekee_CRED_34" hidden="1">TRUE</definedName>
    <definedName name="ADM_boekee_CRED_35" hidden="1">TRUE</definedName>
    <definedName name="ADM_boekee_CRED_36" hidden="1">TRUE</definedName>
    <definedName name="ADM_boekee_CRED_37" hidden="1">TRUE</definedName>
    <definedName name="ADM_boekee_CRED_38" hidden="1">TRUE</definedName>
    <definedName name="ADM_boekee_CRED_39" hidden="1">TRUE</definedName>
    <definedName name="ADM_boekee_CRED_4" hidden="1">TRUE</definedName>
    <definedName name="ADM_boekee_CRED_40" hidden="1">TRUE</definedName>
    <definedName name="ADM_boekee_CRED_41" hidden="1">TRUE</definedName>
    <definedName name="ADM_boekee_CRED_42" hidden="1">TRUE</definedName>
    <definedName name="ADM_boekee_CRED_43" hidden="1">TRUE</definedName>
    <definedName name="ADM_boekee_CRED_44" hidden="1">TRUE</definedName>
    <definedName name="ADM_boekee_CRED_45" hidden="1">TRUE</definedName>
    <definedName name="ADM_boekee_CRED_46" hidden="1">TRUE</definedName>
    <definedName name="ADM_boekee_CRED_47" hidden="1">TRUE</definedName>
    <definedName name="ADM_boekee_CRED_48" hidden="1">TRUE</definedName>
    <definedName name="ADM_boekee_CRED_49" hidden="1">TRUE</definedName>
    <definedName name="ADM_boekee_CRED_5" hidden="1">TRUE</definedName>
    <definedName name="ADM_boekee_CRED_50" hidden="1">TRUE</definedName>
    <definedName name="ADM_boekee_CRED_51" hidden="1">TRUE</definedName>
    <definedName name="ADM_boekee_CRED_52" hidden="1">TRUE</definedName>
    <definedName name="ADM_boekee_CRED_53" hidden="1">TRUE</definedName>
    <definedName name="ADM_boekee_CRED_54" hidden="1">TRUE</definedName>
    <definedName name="ADM_boekee_CRED_55" hidden="1">TRUE</definedName>
    <definedName name="ADM_boekee_CRED_56" hidden="1">TRUE</definedName>
    <definedName name="ADM_boekee_CRED_57" hidden="1">TRUE</definedName>
    <definedName name="ADM_boekee_CRED_58" hidden="1">TRUE</definedName>
    <definedName name="ADM_boekee_CRED_59" hidden="1">TRUE</definedName>
    <definedName name="ADM_boekee_CRED_6" hidden="1">TRUE</definedName>
    <definedName name="ADM_boekee_CRED_60" hidden="1">TRUE</definedName>
    <definedName name="ADM_boekee_CRED_61" hidden="1">TRUE</definedName>
    <definedName name="ADM_boekee_CRED_62" hidden="1">TRUE</definedName>
    <definedName name="ADM_boekee_CRED_63" hidden="1">TRUE</definedName>
    <definedName name="ADM_boekee_CRED_64" hidden="1">TRUE</definedName>
    <definedName name="ADM_boekee_CRED_65" hidden="1">TRUE</definedName>
    <definedName name="ADM_boekee_CRED_66" hidden="1">TRUE</definedName>
    <definedName name="ADM_boekee_CRED_67" hidden="1">TRUE</definedName>
    <definedName name="ADM_boekee_CRED_68" hidden="1">TRUE</definedName>
    <definedName name="ADM_boekee_CRED_69" hidden="1">TRUE</definedName>
    <definedName name="ADM_boekee_CRED_7" hidden="1">TRUE</definedName>
    <definedName name="ADM_boekee_CRED_70" hidden="1">TRUE</definedName>
    <definedName name="ADM_boekee_CRED_71" hidden="1">TRUE</definedName>
    <definedName name="ADM_boekee_CRED_72" hidden="1">TRUE</definedName>
    <definedName name="ADM_boekee_CRED_73" hidden="1">TRUE</definedName>
    <definedName name="ADM_boekee_CRED_74" hidden="1">TRUE</definedName>
    <definedName name="ADM_boekee_CRED_75" hidden="1">TRUE</definedName>
    <definedName name="ADM_boekee_CRED_76" hidden="1">TRUE</definedName>
    <definedName name="ADM_boekee_CRED_77" hidden="1">TRUE</definedName>
    <definedName name="ADM_boekee_CRED_78" hidden="1">TRUE</definedName>
    <definedName name="ADM_boekee_CRED_79" hidden="1">TRUE</definedName>
    <definedName name="ADM_boekee_CRED_8" hidden="1">TRUE</definedName>
    <definedName name="ADM_boekee_CRED_80" hidden="1">TRUE</definedName>
    <definedName name="ADM_boekee_CRED_81" hidden="1">TRUE</definedName>
    <definedName name="ADM_boekee_CRED_82" hidden="1">TRUE</definedName>
    <definedName name="ADM_boekee_CRED_83" hidden="1">TRUE</definedName>
    <definedName name="ADM_boekee_CRED_84" hidden="1">TRUE</definedName>
    <definedName name="ADM_boekee_CRED_85" hidden="1">TRUE</definedName>
    <definedName name="ADM_boekee_CRED_86" hidden="1">TRUE</definedName>
    <definedName name="ADM_boekee_CRED_87" hidden="1">TRUE</definedName>
    <definedName name="ADM_boekee_CRED_88" hidden="1">TRUE</definedName>
    <definedName name="ADM_boekee_CRED_89" hidden="1">TRUE</definedName>
    <definedName name="ADM_boekee_CRED_9" hidden="1">TRUE</definedName>
    <definedName name="ADM_boekee_CRED_90" hidden="1">TRUE</definedName>
    <definedName name="ADM_boekee_CRED_91" hidden="1">TRUE</definedName>
    <definedName name="ADM_boekee_CRED_92" hidden="1">TRUE</definedName>
    <definedName name="ADM_boekee_CRED_93" hidden="1">TRUE</definedName>
    <definedName name="ADM_boekee_CRED_94" hidden="1">TRUE</definedName>
    <definedName name="ADM_boekee_CRED_95" hidden="1">TRUE</definedName>
    <definedName name="ADM_boekee_CRED_96" hidden="1">TRUE</definedName>
    <definedName name="ADM_boekee_CRED_97" hidden="1">TRUE</definedName>
    <definedName name="ADM_boekee_CRED_98" hidden="1">TRUE</definedName>
    <definedName name="ADM_boekee_CRED_99" hidden="1">TRUE</definedName>
    <definedName name="ADM_boekee_DEB_1" hidden="1">TRUE</definedName>
    <definedName name="ADM_boekee_DEB_10" hidden="1">TRUE</definedName>
    <definedName name="ADM_boekee_DEB_100" hidden="1">TRUE</definedName>
    <definedName name="ADM_boekee_DEB_101" hidden="1">TRUE</definedName>
    <definedName name="ADM_boekee_DEB_102" hidden="1">TRUE</definedName>
    <definedName name="ADM_boekee_DEB_103" hidden="1">TRUE</definedName>
    <definedName name="ADM_boekee_DEB_11" hidden="1">TRUE</definedName>
    <definedName name="ADM_boekee_DEB_12" hidden="1">TRUE</definedName>
    <definedName name="ADM_boekee_DEB_13" hidden="1">TRUE</definedName>
    <definedName name="ADM_boekee_DEB_14" hidden="1">TRUE</definedName>
    <definedName name="ADM_boekee_DEB_15" hidden="1">TRUE</definedName>
    <definedName name="ADM_boekee_DEB_16" hidden="1">TRUE</definedName>
    <definedName name="ADM_boekee_DEB_17" hidden="1">TRUE</definedName>
    <definedName name="ADM_boekee_DEB_18" hidden="1">TRUE</definedName>
    <definedName name="ADM_boekee_DEB_19" hidden="1">TRUE</definedName>
    <definedName name="ADM_boekee_DEB_2" hidden="1">TRUE</definedName>
    <definedName name="ADM_boekee_DEB_20" hidden="1">TRUE</definedName>
    <definedName name="ADM_boekee_DEB_21" hidden="1">TRUE</definedName>
    <definedName name="ADM_boekee_DEB_22" hidden="1">TRUE</definedName>
    <definedName name="ADM_boekee_DEB_23" hidden="1">TRUE</definedName>
    <definedName name="ADM_boekee_DEB_24" hidden="1">TRUE</definedName>
    <definedName name="ADM_boekee_DEB_25" hidden="1">TRUE</definedName>
    <definedName name="ADM_boekee_DEB_26" hidden="1">TRUE</definedName>
    <definedName name="ADM_boekee_DEB_27" hidden="1">TRUE</definedName>
    <definedName name="ADM_boekee_DEB_28" hidden="1">TRUE</definedName>
    <definedName name="ADM_boekee_DEB_29" hidden="1">TRUE</definedName>
    <definedName name="ADM_boekee_DEB_3" hidden="1">TRUE</definedName>
    <definedName name="ADM_boekee_DEB_30" hidden="1">TRUE</definedName>
    <definedName name="ADM_boekee_DEB_31" hidden="1">TRUE</definedName>
    <definedName name="ADM_boekee_DEB_32" hidden="1">TRUE</definedName>
    <definedName name="ADM_boekee_DEB_33" hidden="1">TRUE</definedName>
    <definedName name="ADM_boekee_DEB_34" hidden="1">TRUE</definedName>
    <definedName name="ADM_boekee_DEB_35" hidden="1">TRUE</definedName>
    <definedName name="ADM_boekee_DEB_36" hidden="1">TRUE</definedName>
    <definedName name="ADM_boekee_DEB_37" hidden="1">TRUE</definedName>
    <definedName name="ADM_boekee_DEB_38" hidden="1">TRUE</definedName>
    <definedName name="ADM_boekee_DEB_39" hidden="1">TRUE</definedName>
    <definedName name="ADM_boekee_DEB_4" hidden="1">TRUE</definedName>
    <definedName name="ADM_boekee_DEB_40" hidden="1">TRUE</definedName>
    <definedName name="ADM_boekee_DEB_41" hidden="1">TRUE</definedName>
    <definedName name="ADM_boekee_DEB_42" hidden="1">TRUE</definedName>
    <definedName name="ADM_boekee_DEB_43" hidden="1">TRUE</definedName>
    <definedName name="ADM_boekee_DEB_44" hidden="1">TRUE</definedName>
    <definedName name="ADM_boekee_DEB_45" hidden="1">TRUE</definedName>
    <definedName name="ADM_boekee_DEB_46" hidden="1">TRUE</definedName>
    <definedName name="ADM_boekee_DEB_47" hidden="1">TRUE</definedName>
    <definedName name="ADM_boekee_DEB_48" hidden="1">TRUE</definedName>
    <definedName name="ADM_boekee_DEB_49" hidden="1">TRUE</definedName>
    <definedName name="ADM_boekee_DEB_5" hidden="1">TRUE</definedName>
    <definedName name="ADM_boekee_DEB_50" hidden="1">TRUE</definedName>
    <definedName name="ADM_boekee_DEB_51" hidden="1">TRUE</definedName>
    <definedName name="ADM_boekee_DEB_52" hidden="1">TRUE</definedName>
    <definedName name="ADM_boekee_DEB_53" hidden="1">TRUE</definedName>
    <definedName name="ADM_boekee_DEB_54" hidden="1">TRUE</definedName>
    <definedName name="ADM_boekee_DEB_55" hidden="1">TRUE</definedName>
    <definedName name="ADM_boekee_DEB_56" hidden="1">TRUE</definedName>
    <definedName name="ADM_boekee_DEB_57" hidden="1">TRUE</definedName>
    <definedName name="ADM_boekee_DEB_58" hidden="1">TRUE</definedName>
    <definedName name="ADM_boekee_DEB_59" hidden="1">TRUE</definedName>
    <definedName name="ADM_boekee_DEB_6" hidden="1">TRUE</definedName>
    <definedName name="ADM_boekee_DEB_60" hidden="1">TRUE</definedName>
    <definedName name="ADM_boekee_DEB_61" hidden="1">TRUE</definedName>
    <definedName name="ADM_boekee_DEB_62" hidden="1">TRUE</definedName>
    <definedName name="ADM_boekee_DEB_63" hidden="1">TRUE</definedName>
    <definedName name="ADM_boekee_DEB_64" hidden="1">TRUE</definedName>
    <definedName name="ADM_boekee_DEB_65" hidden="1">TRUE</definedName>
    <definedName name="ADM_boekee_DEB_66" hidden="1">TRUE</definedName>
    <definedName name="ADM_boekee_DEB_67" hidden="1">TRUE</definedName>
    <definedName name="ADM_boekee_DEB_68" hidden="1">TRUE</definedName>
    <definedName name="ADM_boekee_DEB_69" hidden="1">TRUE</definedName>
    <definedName name="ADM_boekee_DEB_7" hidden="1">TRUE</definedName>
    <definedName name="ADM_boekee_DEB_70" hidden="1">TRUE</definedName>
    <definedName name="ADM_boekee_DEB_71" hidden="1">TRUE</definedName>
    <definedName name="ADM_boekee_DEB_72" hidden="1">TRUE</definedName>
    <definedName name="ADM_boekee_DEB_73" hidden="1">TRUE</definedName>
    <definedName name="ADM_boekee_DEB_74" hidden="1">TRUE</definedName>
    <definedName name="ADM_boekee_DEB_75" hidden="1">TRUE</definedName>
    <definedName name="ADM_boekee_DEB_76" hidden="1">TRUE</definedName>
    <definedName name="ADM_boekee_DEB_77" hidden="1">TRUE</definedName>
    <definedName name="ADM_boekee_DEB_78" hidden="1">TRUE</definedName>
    <definedName name="ADM_boekee_DEB_79" hidden="1">TRUE</definedName>
    <definedName name="ADM_boekee_DEB_8" hidden="1">TRUE</definedName>
    <definedName name="ADM_boekee_DEB_80" hidden="1">TRUE</definedName>
    <definedName name="ADM_boekee_DEB_81" hidden="1">TRUE</definedName>
    <definedName name="ADM_boekee_DEB_82" hidden="1">TRUE</definedName>
    <definedName name="ADM_boekee_DEB_83" hidden="1">TRUE</definedName>
    <definedName name="ADM_boekee_DEB_84" hidden="1">TRUE</definedName>
    <definedName name="ADM_boekee_DEB_85" hidden="1">TRUE</definedName>
    <definedName name="ADM_boekee_DEB_86" hidden="1">TRUE</definedName>
    <definedName name="ADM_boekee_DEB_87" hidden="1">TRUE</definedName>
    <definedName name="ADM_boekee_DEB_88" hidden="1">TRUE</definedName>
    <definedName name="ADM_boekee_DEB_89" hidden="1">TRUE</definedName>
    <definedName name="ADM_boekee_DEB_9" hidden="1">TRUE</definedName>
    <definedName name="ADM_boekee_DEB_90" hidden="1">TRUE</definedName>
    <definedName name="ADM_boekee_DEB_91" hidden="1">TRUE</definedName>
    <definedName name="ADM_boekee_DEB_92" hidden="1">TRUE</definedName>
    <definedName name="ADM_boekee_DEB_93" hidden="1">TRUE</definedName>
    <definedName name="ADM_boekee_DEB_94" hidden="1">TRUE</definedName>
    <definedName name="ADM_boekee_DEB_95" hidden="1">TRUE</definedName>
    <definedName name="ADM_boekee_DEB_96" hidden="1">TRUE</definedName>
    <definedName name="ADM_boekee_DEB_97" hidden="1">TRUE</definedName>
    <definedName name="ADM_boekee_DEB_98" hidden="1">TRUE</definedName>
    <definedName name="ADM_boekee_DEB_99" hidden="1">TRUE</definedName>
    <definedName name="ADM_boekee_EFS_1" hidden="1">TRUE</definedName>
    <definedName name="ADM_boekee_EFS_10" hidden="1">TRUE</definedName>
    <definedName name="ADM_boekee_EFS_100" hidden="1">TRUE</definedName>
    <definedName name="ADM_boekee_EFS_101" hidden="1">TRUE</definedName>
    <definedName name="ADM_boekee_EFS_102" hidden="1">TRUE</definedName>
    <definedName name="ADM_boekee_EFS_103" hidden="1">TRUE</definedName>
    <definedName name="ADM_boekee_EFS_11" hidden="1">TRUE</definedName>
    <definedName name="ADM_boekee_EFS_12" hidden="1">TRUE</definedName>
    <definedName name="ADM_boekee_EFS_13" hidden="1">TRUE</definedName>
    <definedName name="ADM_boekee_EFS_14" hidden="1">TRUE</definedName>
    <definedName name="ADM_boekee_EFS_15" hidden="1">TRUE</definedName>
    <definedName name="ADM_boekee_EFS_16" hidden="1">TRUE</definedName>
    <definedName name="ADM_boekee_EFS_17" hidden="1">TRUE</definedName>
    <definedName name="ADM_boekee_EFS_18" hidden="1">TRUE</definedName>
    <definedName name="ADM_boekee_EFS_19" hidden="1">TRUE</definedName>
    <definedName name="ADM_boekee_EFS_2" hidden="1">TRUE</definedName>
    <definedName name="ADM_boekee_EFS_20" hidden="1">TRUE</definedName>
    <definedName name="ADM_boekee_EFS_21" hidden="1">TRUE</definedName>
    <definedName name="ADM_boekee_EFS_22" hidden="1">TRUE</definedName>
    <definedName name="ADM_boekee_EFS_23" hidden="1">TRUE</definedName>
    <definedName name="ADM_boekee_EFS_24" hidden="1">TRUE</definedName>
    <definedName name="ADM_boekee_EFS_25" hidden="1">TRUE</definedName>
    <definedName name="ADM_boekee_EFS_26" hidden="1">TRUE</definedName>
    <definedName name="ADM_boekee_EFS_27" hidden="1">TRUE</definedName>
    <definedName name="ADM_boekee_EFS_28" hidden="1">TRUE</definedName>
    <definedName name="ADM_boekee_EFS_29" hidden="1">TRUE</definedName>
    <definedName name="ADM_boekee_EFS_3" hidden="1">TRUE</definedName>
    <definedName name="ADM_boekee_EFS_30" hidden="1">TRUE</definedName>
    <definedName name="ADM_boekee_EFS_31" hidden="1">TRUE</definedName>
    <definedName name="ADM_boekee_EFS_32" hidden="1">TRUE</definedName>
    <definedName name="ADM_boekee_EFS_33" hidden="1">TRUE</definedName>
    <definedName name="ADM_boekee_EFS_34" hidden="1">TRUE</definedName>
    <definedName name="ADM_boekee_EFS_35" hidden="1">TRUE</definedName>
    <definedName name="ADM_boekee_EFS_36" hidden="1">TRUE</definedName>
    <definedName name="ADM_boekee_EFS_37" hidden="1">TRUE</definedName>
    <definedName name="ADM_boekee_EFS_38" hidden="1">TRUE</definedName>
    <definedName name="ADM_boekee_EFS_39" hidden="1">TRUE</definedName>
    <definedName name="ADM_boekee_EFS_4" hidden="1">TRUE</definedName>
    <definedName name="ADM_boekee_EFS_40" hidden="1">TRUE</definedName>
    <definedName name="ADM_boekee_EFS_41" hidden="1">TRUE</definedName>
    <definedName name="ADM_boekee_EFS_42" hidden="1">TRUE</definedName>
    <definedName name="ADM_boekee_EFS_43" hidden="1">TRUE</definedName>
    <definedName name="ADM_boekee_EFS_44" hidden="1">TRUE</definedName>
    <definedName name="ADM_boekee_EFS_45" hidden="1">TRUE</definedName>
    <definedName name="ADM_boekee_EFS_46" hidden="1">TRUE</definedName>
    <definedName name="ADM_boekee_EFS_47" hidden="1">TRUE</definedName>
    <definedName name="ADM_boekee_EFS_48" hidden="1">TRUE</definedName>
    <definedName name="ADM_boekee_EFS_49" hidden="1">TRUE</definedName>
    <definedName name="ADM_boekee_EFS_5" hidden="1">TRUE</definedName>
    <definedName name="ADM_boekee_EFS_50" hidden="1">TRUE</definedName>
    <definedName name="ADM_boekee_EFS_51" hidden="1">TRUE</definedName>
    <definedName name="ADM_boekee_EFS_52" hidden="1">TRUE</definedName>
    <definedName name="ADM_boekee_EFS_53" hidden="1">TRUE</definedName>
    <definedName name="ADM_boekee_EFS_54" hidden="1">TRUE</definedName>
    <definedName name="ADM_boekee_EFS_55" hidden="1">TRUE</definedName>
    <definedName name="ADM_boekee_EFS_56" hidden="1">TRUE</definedName>
    <definedName name="ADM_boekee_EFS_57" hidden="1">TRUE</definedName>
    <definedName name="ADM_boekee_EFS_58" hidden="1">TRUE</definedName>
    <definedName name="ADM_boekee_EFS_59" hidden="1">TRUE</definedName>
    <definedName name="ADM_boekee_EFS_6" hidden="1">TRUE</definedName>
    <definedName name="ADM_boekee_EFS_60" hidden="1">TRUE</definedName>
    <definedName name="ADM_boekee_EFS_61" hidden="1">TRUE</definedName>
    <definedName name="ADM_boekee_EFS_62" hidden="1">TRUE</definedName>
    <definedName name="ADM_boekee_EFS_63" hidden="1">TRUE</definedName>
    <definedName name="ADM_boekee_EFS_64" hidden="1">TRUE</definedName>
    <definedName name="ADM_boekee_EFS_65" hidden="1">TRUE</definedName>
    <definedName name="ADM_boekee_EFS_66" hidden="1">TRUE</definedName>
    <definedName name="ADM_boekee_EFS_67" hidden="1">TRUE</definedName>
    <definedName name="ADM_boekee_EFS_68" hidden="1">TRUE</definedName>
    <definedName name="ADM_boekee_EFS_69" hidden="1">TRUE</definedName>
    <definedName name="ADM_boekee_EFS_7" hidden="1">TRUE</definedName>
    <definedName name="ADM_boekee_EFS_70" hidden="1">TRUE</definedName>
    <definedName name="ADM_boekee_EFS_71" hidden="1">TRUE</definedName>
    <definedName name="ADM_boekee_EFS_72" hidden="1">TRUE</definedName>
    <definedName name="ADM_boekee_EFS_73" hidden="1">TRUE</definedName>
    <definedName name="ADM_boekee_EFS_74" hidden="1">TRUE</definedName>
    <definedName name="ADM_boekee_EFS_75" hidden="1">TRUE</definedName>
    <definedName name="ADM_boekee_EFS_76" hidden="1">TRUE</definedName>
    <definedName name="ADM_boekee_EFS_77" hidden="1">TRUE</definedName>
    <definedName name="ADM_boekee_EFS_78" hidden="1">TRUE</definedName>
    <definedName name="ADM_boekee_EFS_79" hidden="1">TRUE</definedName>
    <definedName name="ADM_boekee_EFS_8" hidden="1">TRUE</definedName>
    <definedName name="ADM_boekee_EFS_80" hidden="1">TRUE</definedName>
    <definedName name="ADM_boekee_EFS_81" hidden="1">TRUE</definedName>
    <definedName name="ADM_boekee_EFS_82" hidden="1">TRUE</definedName>
    <definedName name="ADM_boekee_EFS_83" hidden="1">TRUE</definedName>
    <definedName name="ADM_boekee_EFS_84" hidden="1">TRUE</definedName>
    <definedName name="ADM_boekee_EFS_85" hidden="1">TRUE</definedName>
    <definedName name="ADM_boekee_EFS_86" hidden="1">TRUE</definedName>
    <definedName name="ADM_boekee_EFS_87" hidden="1">TRUE</definedName>
    <definedName name="ADM_boekee_EFS_88" hidden="1">TRUE</definedName>
    <definedName name="ADM_boekee_EFS_89" hidden="1">TRUE</definedName>
    <definedName name="ADM_boekee_EFS_9" hidden="1">TRUE</definedName>
    <definedName name="ADM_boekee_EFS_90" hidden="1">TRUE</definedName>
    <definedName name="ADM_boekee_EFS_91" hidden="1">TRUE</definedName>
    <definedName name="ADM_boekee_EFS_92" hidden="1">TRUE</definedName>
    <definedName name="ADM_boekee_EFS_93" hidden="1">TRUE</definedName>
    <definedName name="ADM_boekee_EFS_94" hidden="1">TRUE</definedName>
    <definedName name="ADM_boekee_EFS_95" hidden="1">TRUE</definedName>
    <definedName name="ADM_boekee_EFS_96" hidden="1">TRUE</definedName>
    <definedName name="ADM_boekee_EFS_97" hidden="1">TRUE</definedName>
    <definedName name="ADM_boekee_EFS_98" hidden="1">TRUE</definedName>
    <definedName name="ADM_boekee_EFS_99" hidden="1">TRUE</definedName>
    <definedName name="ADM_boekee_FA_1" hidden="1">TRUE</definedName>
    <definedName name="ADM_boekee_FA_10" hidden="1">TRUE</definedName>
    <definedName name="ADM_boekee_FA_100" hidden="1">TRUE</definedName>
    <definedName name="ADM_boekee_FA_101" hidden="1">TRUE</definedName>
    <definedName name="ADM_boekee_FA_102" hidden="1">TRUE</definedName>
    <definedName name="ADM_boekee_FA_103" hidden="1">TRUE</definedName>
    <definedName name="ADM_boekee_FA_11" hidden="1">TRUE</definedName>
    <definedName name="ADM_boekee_FA_12" hidden="1">TRUE</definedName>
    <definedName name="ADM_boekee_FA_13" hidden="1">TRUE</definedName>
    <definedName name="ADM_boekee_FA_14" hidden="1">TRUE</definedName>
    <definedName name="ADM_boekee_FA_15" hidden="1">TRUE</definedName>
    <definedName name="ADM_boekee_FA_16" hidden="1">TRUE</definedName>
    <definedName name="ADM_boekee_FA_17" hidden="1">TRUE</definedName>
    <definedName name="ADM_boekee_FA_18" hidden="1">TRUE</definedName>
    <definedName name="ADM_boekee_FA_19" hidden="1">TRUE</definedName>
    <definedName name="ADM_boekee_FA_2" hidden="1">TRUE</definedName>
    <definedName name="ADM_boekee_FA_20" hidden="1">TRUE</definedName>
    <definedName name="ADM_boekee_FA_21" hidden="1">TRUE</definedName>
    <definedName name="ADM_boekee_FA_22" hidden="1">TRUE</definedName>
    <definedName name="ADM_boekee_FA_23" hidden="1">TRUE</definedName>
    <definedName name="ADM_boekee_FA_24" hidden="1">TRUE</definedName>
    <definedName name="ADM_boekee_FA_25" hidden="1">TRUE</definedName>
    <definedName name="ADM_boekee_FA_26" hidden="1">TRUE</definedName>
    <definedName name="ADM_boekee_FA_27" hidden="1">TRUE</definedName>
    <definedName name="ADM_boekee_FA_28" hidden="1">TRUE</definedName>
    <definedName name="ADM_boekee_FA_29" hidden="1">TRUE</definedName>
    <definedName name="ADM_boekee_FA_3" hidden="1">TRUE</definedName>
    <definedName name="ADM_boekee_FA_30" hidden="1">TRUE</definedName>
    <definedName name="ADM_boekee_FA_31" hidden="1">TRUE</definedName>
    <definedName name="ADM_boekee_FA_32" hidden="1">TRUE</definedName>
    <definedName name="ADM_boekee_FA_33" hidden="1">TRUE</definedName>
    <definedName name="ADM_boekee_FA_34" hidden="1">TRUE</definedName>
    <definedName name="ADM_boekee_FA_35" hidden="1">TRUE</definedName>
    <definedName name="ADM_boekee_FA_36" hidden="1">TRUE</definedName>
    <definedName name="ADM_boekee_FA_37" hidden="1">TRUE</definedName>
    <definedName name="ADM_boekee_FA_38" hidden="1">TRUE</definedName>
    <definedName name="ADM_boekee_FA_39" hidden="1">TRUE</definedName>
    <definedName name="ADM_boekee_FA_4" hidden="1">TRUE</definedName>
    <definedName name="ADM_boekee_FA_40" hidden="1">TRUE</definedName>
    <definedName name="ADM_boekee_FA_41" hidden="1">TRUE</definedName>
    <definedName name="ADM_boekee_FA_42" hidden="1">TRUE</definedName>
    <definedName name="ADM_boekee_FA_43" hidden="1">TRUE</definedName>
    <definedName name="ADM_boekee_FA_44" hidden="1">TRUE</definedName>
    <definedName name="ADM_boekee_FA_45" hidden="1">TRUE</definedName>
    <definedName name="ADM_boekee_FA_46" hidden="1">TRUE</definedName>
    <definedName name="ADM_boekee_FA_47" hidden="1">TRUE</definedName>
    <definedName name="ADM_boekee_FA_48" hidden="1">TRUE</definedName>
    <definedName name="ADM_boekee_FA_49" hidden="1">TRUE</definedName>
    <definedName name="ADM_boekee_FA_5" hidden="1">TRUE</definedName>
    <definedName name="ADM_boekee_FA_50" hidden="1">TRUE</definedName>
    <definedName name="ADM_boekee_FA_51" hidden="1">TRUE</definedName>
    <definedName name="ADM_boekee_FA_52" hidden="1">TRUE</definedName>
    <definedName name="ADM_boekee_FA_53" hidden="1">TRUE</definedName>
    <definedName name="ADM_boekee_FA_54" hidden="1">TRUE</definedName>
    <definedName name="ADM_boekee_FA_55" hidden="1">TRUE</definedName>
    <definedName name="ADM_boekee_FA_56" hidden="1">TRUE</definedName>
    <definedName name="ADM_boekee_FA_57" hidden="1">TRUE</definedName>
    <definedName name="ADM_boekee_FA_58" hidden="1">TRUE</definedName>
    <definedName name="ADM_boekee_FA_59" hidden="1">TRUE</definedName>
    <definedName name="ADM_boekee_FA_6" hidden="1">TRUE</definedName>
    <definedName name="ADM_boekee_FA_60" hidden="1">TRUE</definedName>
    <definedName name="ADM_boekee_FA_61" hidden="1">TRUE</definedName>
    <definedName name="ADM_boekee_FA_62" hidden="1">TRUE</definedName>
    <definedName name="ADM_boekee_FA_63" hidden="1">TRUE</definedName>
    <definedName name="ADM_boekee_FA_64" hidden="1">TRUE</definedName>
    <definedName name="ADM_boekee_FA_65" hidden="1">TRUE</definedName>
    <definedName name="ADM_boekee_FA_66" hidden="1">TRUE</definedName>
    <definedName name="ADM_boekee_FA_67" hidden="1">TRUE</definedName>
    <definedName name="ADM_boekee_FA_68" hidden="1">TRUE</definedName>
    <definedName name="ADM_boekee_FA_69" hidden="1">TRUE</definedName>
    <definedName name="ADM_boekee_FA_7" hidden="1">TRUE</definedName>
    <definedName name="ADM_boekee_FA_70" hidden="1">TRUE</definedName>
    <definedName name="ADM_boekee_FA_71" hidden="1">TRUE</definedName>
    <definedName name="ADM_boekee_FA_72" hidden="1">TRUE</definedName>
    <definedName name="ADM_boekee_FA_73" hidden="1">TRUE</definedName>
    <definedName name="ADM_boekee_FA_74" hidden="1">TRUE</definedName>
    <definedName name="ADM_boekee_FA_75" hidden="1">TRUE</definedName>
    <definedName name="ADM_boekee_FA_76" hidden="1">TRUE</definedName>
    <definedName name="ADM_boekee_FA_77" hidden="1">TRUE</definedName>
    <definedName name="ADM_boekee_FA_78" hidden="1">TRUE</definedName>
    <definedName name="ADM_boekee_FA_79" hidden="1">TRUE</definedName>
    <definedName name="ADM_boekee_FA_8" hidden="1">TRUE</definedName>
    <definedName name="ADM_boekee_FA_80" hidden="1">TRUE</definedName>
    <definedName name="ADM_boekee_FA_81" hidden="1">TRUE</definedName>
    <definedName name="ADM_boekee_FA_82" hidden="1">TRUE</definedName>
    <definedName name="ADM_boekee_FA_83" hidden="1">TRUE</definedName>
    <definedName name="ADM_boekee_FA_84" hidden="1">TRUE</definedName>
    <definedName name="ADM_boekee_FA_85" hidden="1">TRUE</definedName>
    <definedName name="ADM_boekee_FA_86" hidden="1">TRUE</definedName>
    <definedName name="ADM_boekee_FA_87" hidden="1">TRUE</definedName>
    <definedName name="ADM_boekee_FA_88" hidden="1">TRUE</definedName>
    <definedName name="ADM_boekee_FA_89" hidden="1">TRUE</definedName>
    <definedName name="ADM_boekee_FA_9" hidden="1">TRUE</definedName>
    <definedName name="ADM_boekee_FA_90" hidden="1">TRUE</definedName>
    <definedName name="ADM_boekee_FA_91" hidden="1">TRUE</definedName>
    <definedName name="ADM_boekee_FA_92" hidden="1">TRUE</definedName>
    <definedName name="ADM_boekee_FA_93" hidden="1">TRUE</definedName>
    <definedName name="ADM_boekee_FA_94" hidden="1">TRUE</definedName>
    <definedName name="ADM_boekee_FA_95" hidden="1">TRUE</definedName>
    <definedName name="ADM_boekee_FA_96" hidden="1">TRUE</definedName>
    <definedName name="ADM_boekee_FA_97" hidden="1">TRUE</definedName>
    <definedName name="ADM_boekee_FA_98" hidden="1">TRUE</definedName>
    <definedName name="ADM_boekee_FA_99" hidden="1">TRUE</definedName>
    <definedName name="ADM_boekee_LEAD_1" hidden="1">TRUE</definedName>
    <definedName name="ADM_boekee_LEAD_10" hidden="1">TRUE</definedName>
    <definedName name="ADM_boekee_LEAD_100" hidden="1">TRUE</definedName>
    <definedName name="ADM_boekee_LEAD_101" hidden="1">TRUE</definedName>
    <definedName name="ADM_boekee_LEAD_102" hidden="1">TRUE</definedName>
    <definedName name="ADM_boekee_LEAD_103" hidden="1">TRUE</definedName>
    <definedName name="ADM_boekee_LEAD_11" hidden="1">TRUE</definedName>
    <definedName name="ADM_boekee_LEAD_12" hidden="1">TRUE</definedName>
    <definedName name="ADM_boekee_LEAD_13" hidden="1">TRUE</definedName>
    <definedName name="ADM_boekee_LEAD_14" hidden="1">TRUE</definedName>
    <definedName name="ADM_boekee_LEAD_15" hidden="1">TRUE</definedName>
    <definedName name="ADM_boekee_LEAD_16" hidden="1">TRUE</definedName>
    <definedName name="ADM_boekee_LEAD_17" hidden="1">TRUE</definedName>
    <definedName name="ADM_boekee_LEAD_18" hidden="1">TRUE</definedName>
    <definedName name="ADM_boekee_LEAD_19" hidden="1">TRUE</definedName>
    <definedName name="ADM_boekee_LEAD_2" hidden="1">TRUE</definedName>
    <definedName name="ADM_boekee_LEAD_20" hidden="1">TRUE</definedName>
    <definedName name="ADM_boekee_LEAD_21" hidden="1">TRUE</definedName>
    <definedName name="ADM_boekee_LEAD_22" hidden="1">TRUE</definedName>
    <definedName name="ADM_boekee_LEAD_23" hidden="1">TRUE</definedName>
    <definedName name="ADM_boekee_LEAD_24" hidden="1">TRUE</definedName>
    <definedName name="ADM_boekee_LEAD_25" hidden="1">TRUE</definedName>
    <definedName name="ADM_boekee_LEAD_26" hidden="1">TRUE</definedName>
    <definedName name="ADM_boekee_LEAD_27" hidden="1">TRUE</definedName>
    <definedName name="ADM_boekee_LEAD_28" hidden="1">TRUE</definedName>
    <definedName name="ADM_boekee_LEAD_29" hidden="1">TRUE</definedName>
    <definedName name="ADM_boekee_LEAD_3" hidden="1">TRUE</definedName>
    <definedName name="ADM_boekee_LEAD_30" hidden="1">TRUE</definedName>
    <definedName name="ADM_boekee_LEAD_31" hidden="1">TRUE</definedName>
    <definedName name="ADM_boekee_LEAD_32" hidden="1">TRUE</definedName>
    <definedName name="ADM_boekee_LEAD_33" hidden="1">TRUE</definedName>
    <definedName name="ADM_boekee_LEAD_34" hidden="1">TRUE</definedName>
    <definedName name="ADM_boekee_LEAD_35" hidden="1">TRUE</definedName>
    <definedName name="ADM_boekee_LEAD_36" hidden="1">TRUE</definedName>
    <definedName name="ADM_boekee_LEAD_37" hidden="1">TRUE</definedName>
    <definedName name="ADM_boekee_LEAD_38" hidden="1">TRUE</definedName>
    <definedName name="ADM_boekee_LEAD_39" hidden="1">TRUE</definedName>
    <definedName name="ADM_boekee_LEAD_4" hidden="1">TRUE</definedName>
    <definedName name="ADM_boekee_LEAD_40" hidden="1">TRUE</definedName>
    <definedName name="ADM_boekee_LEAD_41" hidden="1">TRUE</definedName>
    <definedName name="ADM_boekee_LEAD_42" hidden="1">TRUE</definedName>
    <definedName name="ADM_boekee_LEAD_43" hidden="1">TRUE</definedName>
    <definedName name="ADM_boekee_LEAD_44" hidden="1">TRUE</definedName>
    <definedName name="ADM_boekee_LEAD_45" hidden="1">TRUE</definedName>
    <definedName name="ADM_boekee_LEAD_46" hidden="1">TRUE</definedName>
    <definedName name="ADM_boekee_LEAD_47" hidden="1">TRUE</definedName>
    <definedName name="ADM_boekee_LEAD_48" hidden="1">TRUE</definedName>
    <definedName name="ADM_boekee_LEAD_49" hidden="1">TRUE</definedName>
    <definedName name="ADM_boekee_LEAD_5" hidden="1">TRUE</definedName>
    <definedName name="ADM_boekee_LEAD_50" hidden="1">TRUE</definedName>
    <definedName name="ADM_boekee_LEAD_51" hidden="1">TRUE</definedName>
    <definedName name="ADM_boekee_LEAD_52" hidden="1">TRUE</definedName>
    <definedName name="ADM_boekee_LEAD_53" hidden="1">TRUE</definedName>
    <definedName name="ADM_boekee_LEAD_54" hidden="1">TRUE</definedName>
    <definedName name="ADM_boekee_LEAD_55" hidden="1">TRUE</definedName>
    <definedName name="ADM_boekee_LEAD_56" hidden="1">TRUE</definedName>
    <definedName name="ADM_boekee_LEAD_57" hidden="1">TRUE</definedName>
    <definedName name="ADM_boekee_LEAD_58" hidden="1">TRUE</definedName>
    <definedName name="ADM_boekee_LEAD_59" hidden="1">TRUE</definedName>
    <definedName name="ADM_boekee_LEAD_6" hidden="1">TRUE</definedName>
    <definedName name="ADM_boekee_LEAD_60" hidden="1">TRUE</definedName>
    <definedName name="ADM_boekee_LEAD_61" hidden="1">TRUE</definedName>
    <definedName name="ADM_boekee_LEAD_62" hidden="1">TRUE</definedName>
    <definedName name="ADM_boekee_LEAD_63" hidden="1">TRUE</definedName>
    <definedName name="ADM_boekee_LEAD_64" hidden="1">TRUE</definedName>
    <definedName name="ADM_boekee_LEAD_65" hidden="1">TRUE</definedName>
    <definedName name="ADM_boekee_LEAD_66" hidden="1">TRUE</definedName>
    <definedName name="ADM_boekee_LEAD_67" hidden="1">TRUE</definedName>
    <definedName name="ADM_boekee_LEAD_68" hidden="1">TRUE</definedName>
    <definedName name="ADM_boekee_LEAD_69" hidden="1">TRUE</definedName>
    <definedName name="ADM_boekee_LEAD_7" hidden="1">TRUE</definedName>
    <definedName name="ADM_boekee_LEAD_70" hidden="1">TRUE</definedName>
    <definedName name="ADM_boekee_LEAD_71" hidden="1">TRUE</definedName>
    <definedName name="ADM_boekee_LEAD_72" hidden="1">TRUE</definedName>
    <definedName name="ADM_boekee_LEAD_73" hidden="1">TRUE</definedName>
    <definedName name="ADM_boekee_LEAD_74" hidden="1">TRUE</definedName>
    <definedName name="ADM_boekee_LEAD_75" hidden="1">TRUE</definedName>
    <definedName name="ADM_boekee_LEAD_76" hidden="1">TRUE</definedName>
    <definedName name="ADM_boekee_LEAD_77" hidden="1">TRUE</definedName>
    <definedName name="ADM_boekee_LEAD_78" hidden="1">TRUE</definedName>
    <definedName name="ADM_boekee_LEAD_79" hidden="1">TRUE</definedName>
    <definedName name="ADM_boekee_LEAD_8" hidden="1">TRUE</definedName>
    <definedName name="ADM_boekee_LEAD_80" hidden="1">TRUE</definedName>
    <definedName name="ADM_boekee_LEAD_81" hidden="1">TRUE</definedName>
    <definedName name="ADM_boekee_LEAD_82" hidden="1">TRUE</definedName>
    <definedName name="ADM_boekee_LEAD_83" hidden="1">TRUE</definedName>
    <definedName name="ADM_boekee_LEAD_84" hidden="1">TRUE</definedName>
    <definedName name="ADM_boekee_LEAD_85" hidden="1">TRUE</definedName>
    <definedName name="ADM_boekee_LEAD_86" hidden="1">TRUE</definedName>
    <definedName name="ADM_boekee_LEAD_87" hidden="1">TRUE</definedName>
    <definedName name="ADM_boekee_LEAD_88" hidden="1">TRUE</definedName>
    <definedName name="ADM_boekee_LEAD_89" hidden="1">TRUE</definedName>
    <definedName name="ADM_boekee_LEAD_9" hidden="1">TRUE</definedName>
    <definedName name="ADM_boekee_LEAD_90" hidden="1">TRUE</definedName>
    <definedName name="ADM_boekee_LEAD_91" hidden="1">TRUE</definedName>
    <definedName name="ADM_boekee_LEAD_92" hidden="1">TRUE</definedName>
    <definedName name="ADM_boekee_LEAD_93" hidden="1">TRUE</definedName>
    <definedName name="ADM_boekee_LEAD_94" hidden="1">TRUE</definedName>
    <definedName name="ADM_boekee_LEAD_95" hidden="1">TRUE</definedName>
    <definedName name="ADM_boekee_LEAD_96" hidden="1">TRUE</definedName>
    <definedName name="ADM_boekee_LEAD_97" hidden="1">TRUE</definedName>
    <definedName name="ADM_boekee_LEAD_98" hidden="1">TRUE</definedName>
    <definedName name="ADM_boekee_LEAD_99" hidden="1">TRUE</definedName>
    <definedName name="ADM_boekee_LEDGER_1" hidden="1">TRUE</definedName>
    <definedName name="ADM_boekee_LEDGER_10" hidden="1">TRUE</definedName>
    <definedName name="ADM_boekee_LEDGER_100" hidden="1">TRUE</definedName>
    <definedName name="ADM_boekee_LEDGER_101" hidden="1">TRUE</definedName>
    <definedName name="ADM_boekee_LEDGER_102" hidden="1">TRUE</definedName>
    <definedName name="ADM_boekee_LEDGER_103" hidden="1">TRUE</definedName>
    <definedName name="ADM_boekee_LEDGER_11" hidden="1">TRUE</definedName>
    <definedName name="ADM_boekee_LEDGER_12" hidden="1">TRUE</definedName>
    <definedName name="ADM_boekee_LEDGER_13" hidden="1">TRUE</definedName>
    <definedName name="ADM_boekee_LEDGER_14" hidden="1">TRUE</definedName>
    <definedName name="ADM_boekee_LEDGER_15" hidden="1">TRUE</definedName>
    <definedName name="ADM_boekee_LEDGER_16" hidden="1">TRUE</definedName>
    <definedName name="ADM_boekee_LEDGER_17" hidden="1">TRUE</definedName>
    <definedName name="ADM_boekee_LEDGER_18" hidden="1">TRUE</definedName>
    <definedName name="ADM_boekee_LEDGER_19" hidden="1">TRUE</definedName>
    <definedName name="ADM_boekee_LEDGER_2" hidden="1">TRUE</definedName>
    <definedName name="ADM_boekee_LEDGER_20" hidden="1">TRUE</definedName>
    <definedName name="ADM_boekee_LEDGER_21" hidden="1">TRUE</definedName>
    <definedName name="ADM_boekee_LEDGER_22" hidden="1">TRUE</definedName>
    <definedName name="ADM_boekee_LEDGER_23" hidden="1">TRUE</definedName>
    <definedName name="ADM_boekee_LEDGER_24" hidden="1">TRUE</definedName>
    <definedName name="ADM_boekee_LEDGER_25" hidden="1">TRUE</definedName>
    <definedName name="ADM_boekee_LEDGER_26" hidden="1">TRUE</definedName>
    <definedName name="ADM_boekee_LEDGER_27" hidden="1">TRUE</definedName>
    <definedName name="ADM_boekee_LEDGER_28" hidden="1">TRUE</definedName>
    <definedName name="ADM_boekee_LEDGER_29" hidden="1">TRUE</definedName>
    <definedName name="ADM_boekee_LEDGER_3" hidden="1">TRUE</definedName>
    <definedName name="ADM_boekee_LEDGER_30" hidden="1">TRUE</definedName>
    <definedName name="ADM_boekee_LEDGER_31" hidden="1">TRUE</definedName>
    <definedName name="ADM_boekee_LEDGER_32" hidden="1">TRUE</definedName>
    <definedName name="ADM_boekee_LEDGER_33" hidden="1">TRUE</definedName>
    <definedName name="ADM_boekee_LEDGER_34" hidden="1">TRUE</definedName>
    <definedName name="ADM_boekee_LEDGER_35" hidden="1">TRUE</definedName>
    <definedName name="ADM_boekee_LEDGER_36" hidden="1">TRUE</definedName>
    <definedName name="ADM_boekee_LEDGER_37" hidden="1">TRUE</definedName>
    <definedName name="ADM_boekee_LEDGER_38" hidden="1">TRUE</definedName>
    <definedName name="ADM_boekee_LEDGER_39" hidden="1">TRUE</definedName>
    <definedName name="ADM_boekee_LEDGER_4" hidden="1">TRUE</definedName>
    <definedName name="ADM_boekee_LEDGER_40" hidden="1">TRUE</definedName>
    <definedName name="ADM_boekee_LEDGER_41" hidden="1">TRUE</definedName>
    <definedName name="ADM_boekee_LEDGER_42" hidden="1">TRUE</definedName>
    <definedName name="ADM_boekee_LEDGER_43" hidden="1">TRUE</definedName>
    <definedName name="ADM_boekee_LEDGER_44" hidden="1">TRUE</definedName>
    <definedName name="ADM_boekee_LEDGER_45" hidden="1">TRUE</definedName>
    <definedName name="ADM_boekee_LEDGER_46" hidden="1">TRUE</definedName>
    <definedName name="ADM_boekee_LEDGER_47" hidden="1">TRUE</definedName>
    <definedName name="ADM_boekee_LEDGER_48" hidden="1">TRUE</definedName>
    <definedName name="ADM_boekee_LEDGER_49" hidden="1">TRUE</definedName>
    <definedName name="ADM_boekee_LEDGER_5" hidden="1">TRUE</definedName>
    <definedName name="ADM_boekee_LEDGER_50" hidden="1">TRUE</definedName>
    <definedName name="ADM_boekee_LEDGER_51" hidden="1">TRUE</definedName>
    <definedName name="ADM_boekee_LEDGER_52" hidden="1">TRUE</definedName>
    <definedName name="ADM_boekee_LEDGER_53" hidden="1">TRUE</definedName>
    <definedName name="ADM_boekee_LEDGER_54" hidden="1">TRUE</definedName>
    <definedName name="ADM_boekee_LEDGER_55" hidden="1">TRUE</definedName>
    <definedName name="ADM_boekee_LEDGER_56" hidden="1">TRUE</definedName>
    <definedName name="ADM_boekee_LEDGER_57" hidden="1">TRUE</definedName>
    <definedName name="ADM_boekee_LEDGER_58" hidden="1">TRUE</definedName>
    <definedName name="ADM_boekee_LEDGER_59" hidden="1">TRUE</definedName>
    <definedName name="ADM_boekee_LEDGER_6" hidden="1">TRUE</definedName>
    <definedName name="ADM_boekee_LEDGER_60" hidden="1">TRUE</definedName>
    <definedName name="ADM_boekee_LEDGER_61" hidden="1">TRUE</definedName>
    <definedName name="ADM_boekee_LEDGER_62" hidden="1">TRUE</definedName>
    <definedName name="ADM_boekee_LEDGER_63" hidden="1">TRUE</definedName>
    <definedName name="ADM_boekee_LEDGER_64" hidden="1">TRUE</definedName>
    <definedName name="ADM_boekee_LEDGER_65" hidden="1">TRUE</definedName>
    <definedName name="ADM_boekee_LEDGER_66" hidden="1">TRUE</definedName>
    <definedName name="ADM_boekee_LEDGER_67" hidden="1">TRUE</definedName>
    <definedName name="ADM_boekee_LEDGER_68" hidden="1">TRUE</definedName>
    <definedName name="ADM_boekee_LEDGER_69" hidden="1">TRUE</definedName>
    <definedName name="ADM_boekee_LEDGER_7" hidden="1">TRUE</definedName>
    <definedName name="ADM_boekee_LEDGER_70" hidden="1">TRUE</definedName>
    <definedName name="ADM_boekee_LEDGER_71" hidden="1">TRUE</definedName>
    <definedName name="ADM_boekee_LEDGER_72" hidden="1">TRUE</definedName>
    <definedName name="ADM_boekee_LEDGER_73" hidden="1">TRUE</definedName>
    <definedName name="ADM_boekee_LEDGER_74" hidden="1">TRUE</definedName>
    <definedName name="ADM_boekee_LEDGER_75" hidden="1">TRUE</definedName>
    <definedName name="ADM_boekee_LEDGER_76" hidden="1">TRUE</definedName>
    <definedName name="ADM_boekee_LEDGER_77" hidden="1">TRUE</definedName>
    <definedName name="ADM_boekee_LEDGER_78" hidden="1">TRUE</definedName>
    <definedName name="ADM_boekee_LEDGER_79" hidden="1">TRUE</definedName>
    <definedName name="ADM_boekee_LEDGER_8" hidden="1">TRUE</definedName>
    <definedName name="ADM_boekee_LEDGER_80" hidden="1">TRUE</definedName>
    <definedName name="ADM_boekee_LEDGER_81" hidden="1">TRUE</definedName>
    <definedName name="ADM_boekee_LEDGER_82" hidden="1">TRUE</definedName>
    <definedName name="ADM_boekee_LEDGER_83" hidden="1">TRUE</definedName>
    <definedName name="ADM_boekee_LEDGER_84" hidden="1">TRUE</definedName>
    <definedName name="ADM_boekee_LEDGER_85" hidden="1">TRUE</definedName>
    <definedName name="ADM_boekee_LEDGER_86" hidden="1">TRUE</definedName>
    <definedName name="ADM_boekee_LEDGER_87" hidden="1">TRUE</definedName>
    <definedName name="ADM_boekee_LEDGER_88" hidden="1">TRUE</definedName>
    <definedName name="ADM_boekee_LEDGER_89" hidden="1">TRUE</definedName>
    <definedName name="ADM_boekee_LEDGER_9" hidden="1">TRUE</definedName>
    <definedName name="ADM_boekee_LEDGER_90" hidden="1">TRUE</definedName>
    <definedName name="ADM_boekee_LEDGER_91" hidden="1">TRUE</definedName>
    <definedName name="ADM_boekee_LEDGER_92" hidden="1">TRUE</definedName>
    <definedName name="ADM_boekee_LEDGER_93" hidden="1">TRUE</definedName>
    <definedName name="ADM_boekee_LEDGER_94" hidden="1">TRUE</definedName>
    <definedName name="ADM_boekee_LEDGER_95" hidden="1">TRUE</definedName>
    <definedName name="ADM_boekee_LEDGER_96" hidden="1">TRUE</definedName>
    <definedName name="ADM_boekee_LEDGER_97" hidden="1">TRUE</definedName>
    <definedName name="ADM_boekee_LEDGER_98" hidden="1">TRUE</definedName>
    <definedName name="ADM_boekee_LEDGER_99" hidden="1">TRUE</definedName>
    <definedName name="ADM_boekee_PROJ_1" hidden="1">TRUE</definedName>
    <definedName name="ADM_boekee_PROJ_10" hidden="1">TRUE</definedName>
    <definedName name="ADM_boekee_PROJ_100" hidden="1">TRUE</definedName>
    <definedName name="ADM_boekee_PROJ_101" hidden="1">TRUE</definedName>
    <definedName name="ADM_boekee_PROJ_102" hidden="1">TRUE</definedName>
    <definedName name="ADM_boekee_PROJ_103" hidden="1">TRUE</definedName>
    <definedName name="ADM_boekee_PROJ_11" hidden="1">TRUE</definedName>
    <definedName name="ADM_boekee_PROJ_12" hidden="1">TRUE</definedName>
    <definedName name="ADM_boekee_PROJ_13" hidden="1">TRUE</definedName>
    <definedName name="ADM_boekee_PROJ_14" hidden="1">TRUE</definedName>
    <definedName name="ADM_boekee_PROJ_15" hidden="1">TRUE</definedName>
    <definedName name="ADM_boekee_PROJ_16" hidden="1">TRUE</definedName>
    <definedName name="ADM_boekee_PROJ_17" hidden="1">TRUE</definedName>
    <definedName name="ADM_boekee_PROJ_18" hidden="1">TRUE</definedName>
    <definedName name="ADM_boekee_PROJ_19" hidden="1">TRUE</definedName>
    <definedName name="ADM_boekee_PROJ_2" hidden="1">TRUE</definedName>
    <definedName name="ADM_boekee_PROJ_20" hidden="1">TRUE</definedName>
    <definedName name="ADM_boekee_PROJ_21" hidden="1">TRUE</definedName>
    <definedName name="ADM_boekee_PROJ_22" hidden="1">TRUE</definedName>
    <definedName name="ADM_boekee_PROJ_23" hidden="1">TRUE</definedName>
    <definedName name="ADM_boekee_PROJ_24" hidden="1">TRUE</definedName>
    <definedName name="ADM_boekee_PROJ_25" hidden="1">TRUE</definedName>
    <definedName name="ADM_boekee_PROJ_26" hidden="1">TRUE</definedName>
    <definedName name="ADM_boekee_PROJ_27" hidden="1">TRUE</definedName>
    <definedName name="ADM_boekee_PROJ_28" hidden="1">TRUE</definedName>
    <definedName name="ADM_boekee_PROJ_29" hidden="1">TRUE</definedName>
    <definedName name="ADM_boekee_PROJ_3" hidden="1">TRUE</definedName>
    <definedName name="ADM_boekee_PROJ_30" hidden="1">TRUE</definedName>
    <definedName name="ADM_boekee_PROJ_31" hidden="1">TRUE</definedName>
    <definedName name="ADM_boekee_PROJ_32" hidden="1">TRUE</definedName>
    <definedName name="ADM_boekee_PROJ_33" hidden="1">TRUE</definedName>
    <definedName name="ADM_boekee_PROJ_34" hidden="1">TRUE</definedName>
    <definedName name="ADM_boekee_PROJ_35" hidden="1">TRUE</definedName>
    <definedName name="ADM_boekee_PROJ_36" hidden="1">TRUE</definedName>
    <definedName name="ADM_boekee_PROJ_37" hidden="1">TRUE</definedName>
    <definedName name="ADM_boekee_PROJ_38" hidden="1">TRUE</definedName>
    <definedName name="ADM_boekee_PROJ_39" hidden="1">TRUE</definedName>
    <definedName name="ADM_boekee_PROJ_4" hidden="1">TRUE</definedName>
    <definedName name="ADM_boekee_PROJ_40" hidden="1">TRUE</definedName>
    <definedName name="ADM_boekee_PROJ_41" hidden="1">TRUE</definedName>
    <definedName name="ADM_boekee_PROJ_42" hidden="1">TRUE</definedName>
    <definedName name="ADM_boekee_PROJ_43" hidden="1">TRUE</definedName>
    <definedName name="ADM_boekee_PROJ_44" hidden="1">TRUE</definedName>
    <definedName name="ADM_boekee_PROJ_45" hidden="1">TRUE</definedName>
    <definedName name="ADM_boekee_PROJ_46" hidden="1">TRUE</definedName>
    <definedName name="ADM_boekee_PROJ_47" hidden="1">TRUE</definedName>
    <definedName name="ADM_boekee_PROJ_48" hidden="1">TRUE</definedName>
    <definedName name="ADM_boekee_PROJ_49" hidden="1">TRUE</definedName>
    <definedName name="ADM_boekee_PROJ_5" hidden="1">TRUE</definedName>
    <definedName name="ADM_boekee_PROJ_50" hidden="1">TRUE</definedName>
    <definedName name="ADM_boekee_PROJ_51" hidden="1">TRUE</definedName>
    <definedName name="ADM_boekee_PROJ_52" hidden="1">TRUE</definedName>
    <definedName name="ADM_boekee_PROJ_53" hidden="1">TRUE</definedName>
    <definedName name="ADM_boekee_PROJ_54" hidden="1">TRUE</definedName>
    <definedName name="ADM_boekee_PROJ_55" hidden="1">TRUE</definedName>
    <definedName name="ADM_boekee_PROJ_56" hidden="1">TRUE</definedName>
    <definedName name="ADM_boekee_PROJ_57" hidden="1">TRUE</definedName>
    <definedName name="ADM_boekee_PROJ_58" hidden="1">TRUE</definedName>
    <definedName name="ADM_boekee_PROJ_59" hidden="1">TRUE</definedName>
    <definedName name="ADM_boekee_PROJ_6" hidden="1">TRUE</definedName>
    <definedName name="ADM_boekee_PROJ_60" hidden="1">TRUE</definedName>
    <definedName name="ADM_boekee_PROJ_61" hidden="1">TRUE</definedName>
    <definedName name="ADM_boekee_PROJ_62" hidden="1">TRUE</definedName>
    <definedName name="ADM_boekee_PROJ_63" hidden="1">TRUE</definedName>
    <definedName name="ADM_boekee_PROJ_64" hidden="1">TRUE</definedName>
    <definedName name="ADM_boekee_PROJ_65" hidden="1">TRUE</definedName>
    <definedName name="ADM_boekee_PROJ_66" hidden="1">TRUE</definedName>
    <definedName name="ADM_boekee_PROJ_67" hidden="1">TRUE</definedName>
    <definedName name="ADM_boekee_PROJ_68" hidden="1">TRUE</definedName>
    <definedName name="ADM_boekee_PROJ_69" hidden="1">TRUE</definedName>
    <definedName name="ADM_boekee_PROJ_7" hidden="1">TRUE</definedName>
    <definedName name="ADM_boekee_PROJ_70" hidden="1">TRUE</definedName>
    <definedName name="ADM_boekee_PROJ_71" hidden="1">TRUE</definedName>
    <definedName name="ADM_boekee_PROJ_72" hidden="1">TRUE</definedName>
    <definedName name="ADM_boekee_PROJ_73" hidden="1">TRUE</definedName>
    <definedName name="ADM_boekee_PROJ_74" hidden="1">TRUE</definedName>
    <definedName name="ADM_boekee_PROJ_75" hidden="1">TRUE</definedName>
    <definedName name="ADM_boekee_PROJ_76" hidden="1">TRUE</definedName>
    <definedName name="ADM_boekee_PROJ_77" hidden="1">TRUE</definedName>
    <definedName name="ADM_boekee_PROJ_78" hidden="1">TRUE</definedName>
    <definedName name="ADM_boekee_PROJ_79" hidden="1">TRUE</definedName>
    <definedName name="ADM_boekee_PROJ_8" hidden="1">TRUE</definedName>
    <definedName name="ADM_boekee_PROJ_80" hidden="1">TRUE</definedName>
    <definedName name="ADM_boekee_PROJ_81" hidden="1">TRUE</definedName>
    <definedName name="ADM_boekee_PROJ_82" hidden="1">TRUE</definedName>
    <definedName name="ADM_boekee_PROJ_83" hidden="1">TRUE</definedName>
    <definedName name="ADM_boekee_PROJ_84" hidden="1">TRUE</definedName>
    <definedName name="ADM_boekee_PROJ_85" hidden="1">TRUE</definedName>
    <definedName name="ADM_boekee_PROJ_86" hidden="1">TRUE</definedName>
    <definedName name="ADM_boekee_PROJ_87" hidden="1">TRUE</definedName>
    <definedName name="ADM_boekee_PROJ_88" hidden="1">TRUE</definedName>
    <definedName name="ADM_boekee_PROJ_89" hidden="1">TRUE</definedName>
    <definedName name="ADM_boekee_PROJ_9" hidden="1">TRUE</definedName>
    <definedName name="ADM_boekee_PROJ_90" hidden="1">TRUE</definedName>
    <definedName name="ADM_boekee_PROJ_91" hidden="1">TRUE</definedName>
    <definedName name="ADM_boekee_PROJ_92" hidden="1">TRUE</definedName>
    <definedName name="ADM_boekee_PROJ_93" hidden="1">TRUE</definedName>
    <definedName name="ADM_boekee_PROJ_94" hidden="1">TRUE</definedName>
    <definedName name="ADM_boekee_PROJ_95" hidden="1">TRUE</definedName>
    <definedName name="ADM_boekee_PROJ_96" hidden="1">TRUE</definedName>
    <definedName name="ADM_boekee_PROJ_97" hidden="1">TRUE</definedName>
    <definedName name="ADM_boekee_PROJ_98" hidden="1">TRUE</definedName>
    <definedName name="ADM_boekee_PROJ_99" hidden="1">TRUE</definedName>
    <definedName name="ADM_boekee_TRANSACT_1" hidden="1">TRUE</definedName>
    <definedName name="ADM_boekee_TRANSACT_10" hidden="1">TRUE</definedName>
    <definedName name="ADM_boekee_TRANSACT_100" hidden="1">TRUE</definedName>
    <definedName name="ADM_boekee_TRANSACT_101" hidden="1">TRUE</definedName>
    <definedName name="ADM_boekee_TRANSACT_102" hidden="1">TRUE</definedName>
    <definedName name="ADM_boekee_TRANSACT_103" hidden="1">TRUE</definedName>
    <definedName name="ADM_boekee_TRANSACT_11" hidden="1">TRUE</definedName>
    <definedName name="ADM_boekee_TRANSACT_12" hidden="1">TRUE</definedName>
    <definedName name="ADM_boekee_TRANSACT_13" hidden="1">TRUE</definedName>
    <definedName name="ADM_boekee_TRANSACT_14" hidden="1">TRUE</definedName>
    <definedName name="ADM_boekee_TRANSACT_15" hidden="1">TRUE</definedName>
    <definedName name="ADM_boekee_TRANSACT_16" hidden="1">TRUE</definedName>
    <definedName name="ADM_boekee_TRANSACT_17" hidden="1">TRUE</definedName>
    <definedName name="ADM_boekee_TRANSACT_18" hidden="1">TRUE</definedName>
    <definedName name="ADM_boekee_TRANSACT_19" hidden="1">TRUE</definedName>
    <definedName name="ADM_boekee_TRANSACT_2" hidden="1">TRUE</definedName>
    <definedName name="ADM_boekee_TRANSACT_20" hidden="1">TRUE</definedName>
    <definedName name="ADM_boekee_TRANSACT_21" hidden="1">TRUE</definedName>
    <definedName name="ADM_boekee_TRANSACT_22" hidden="1">TRUE</definedName>
    <definedName name="ADM_boekee_TRANSACT_23" hidden="1">TRUE</definedName>
    <definedName name="ADM_boekee_TRANSACT_24" hidden="1">TRUE</definedName>
    <definedName name="ADM_boekee_TRANSACT_25" hidden="1">TRUE</definedName>
    <definedName name="ADM_boekee_TRANSACT_26" hidden="1">TRUE</definedName>
    <definedName name="ADM_boekee_TRANSACT_27" hidden="1">TRUE</definedName>
    <definedName name="ADM_boekee_TRANSACT_28" hidden="1">TRUE</definedName>
    <definedName name="ADM_boekee_TRANSACT_29" hidden="1">TRUE</definedName>
    <definedName name="ADM_boekee_TRANSACT_3" hidden="1">TRUE</definedName>
    <definedName name="ADM_boekee_TRANSACT_30" hidden="1">TRUE</definedName>
    <definedName name="ADM_boekee_TRANSACT_31" hidden="1">TRUE</definedName>
    <definedName name="ADM_boekee_TRANSACT_32" hidden="1">TRUE</definedName>
    <definedName name="ADM_boekee_TRANSACT_33" hidden="1">TRUE</definedName>
    <definedName name="ADM_boekee_TRANSACT_34" hidden="1">TRUE</definedName>
    <definedName name="ADM_boekee_TRANSACT_35" hidden="1">TRUE</definedName>
    <definedName name="ADM_boekee_TRANSACT_36" hidden="1">TRUE</definedName>
    <definedName name="ADM_boekee_TRANSACT_37" hidden="1">TRUE</definedName>
    <definedName name="ADM_boekee_TRANSACT_38" hidden="1">TRUE</definedName>
    <definedName name="ADM_boekee_TRANSACT_39" hidden="1">TRUE</definedName>
    <definedName name="ADM_boekee_TRANSACT_4" hidden="1">TRUE</definedName>
    <definedName name="ADM_boekee_TRANSACT_40" hidden="1">TRUE</definedName>
    <definedName name="ADM_boekee_TRANSACT_41" hidden="1">TRUE</definedName>
    <definedName name="ADM_boekee_TRANSACT_42" hidden="1">TRUE</definedName>
    <definedName name="ADM_boekee_TRANSACT_43" hidden="1">TRUE</definedName>
    <definedName name="ADM_boekee_TRANSACT_44" hidden="1">TRUE</definedName>
    <definedName name="ADM_boekee_TRANSACT_45" hidden="1">TRUE</definedName>
    <definedName name="ADM_boekee_TRANSACT_46" hidden="1">TRUE</definedName>
    <definedName name="ADM_boekee_TRANSACT_47" hidden="1">TRUE</definedName>
    <definedName name="ADM_boekee_TRANSACT_48" hidden="1">TRUE</definedName>
    <definedName name="ADM_boekee_TRANSACT_49" hidden="1">TRUE</definedName>
    <definedName name="ADM_boekee_TRANSACT_5" hidden="1">TRUE</definedName>
    <definedName name="ADM_boekee_TRANSACT_50" hidden="1">TRUE</definedName>
    <definedName name="ADM_boekee_TRANSACT_51" hidden="1">TRUE</definedName>
    <definedName name="ADM_boekee_TRANSACT_52" hidden="1">TRUE</definedName>
    <definedName name="ADM_boekee_TRANSACT_53" hidden="1">TRUE</definedName>
    <definedName name="ADM_boekee_TRANSACT_54" hidden="1">TRUE</definedName>
    <definedName name="ADM_boekee_TRANSACT_55" hidden="1">TRUE</definedName>
    <definedName name="ADM_boekee_TRANSACT_56" hidden="1">TRUE</definedName>
    <definedName name="ADM_boekee_TRANSACT_57" hidden="1">TRUE</definedName>
    <definedName name="ADM_boekee_TRANSACT_58" hidden="1">TRUE</definedName>
    <definedName name="ADM_boekee_TRANSACT_59" hidden="1">TRUE</definedName>
    <definedName name="ADM_boekee_TRANSACT_6" hidden="1">TRUE</definedName>
    <definedName name="ADM_boekee_TRANSACT_60" hidden="1">TRUE</definedName>
    <definedName name="ADM_boekee_TRANSACT_61" hidden="1">TRUE</definedName>
    <definedName name="ADM_boekee_TRANSACT_62" hidden="1">TRUE</definedName>
    <definedName name="ADM_boekee_TRANSACT_63" hidden="1">TRUE</definedName>
    <definedName name="ADM_boekee_TRANSACT_64" hidden="1">TRUE</definedName>
    <definedName name="ADM_boekee_TRANSACT_65" hidden="1">TRUE</definedName>
    <definedName name="ADM_boekee_TRANSACT_66" hidden="1">TRUE</definedName>
    <definedName name="ADM_boekee_TRANSACT_67" hidden="1">TRUE</definedName>
    <definedName name="ADM_boekee_TRANSACT_68" hidden="1">TRUE</definedName>
    <definedName name="ADM_boekee_TRANSACT_69" hidden="1">TRUE</definedName>
    <definedName name="ADM_boekee_TRANSACT_7" hidden="1">TRUE</definedName>
    <definedName name="ADM_boekee_TRANSACT_70" hidden="1">TRUE</definedName>
    <definedName name="ADM_boekee_TRANSACT_71" hidden="1">TRUE</definedName>
    <definedName name="ADM_boekee_TRANSACT_72" hidden="1">TRUE</definedName>
    <definedName name="ADM_boekee_TRANSACT_73" hidden="1">TRUE</definedName>
    <definedName name="ADM_boekee_TRANSACT_74" hidden="1">TRUE</definedName>
    <definedName name="ADM_boekee_TRANSACT_75" hidden="1">TRUE</definedName>
    <definedName name="ADM_boekee_TRANSACT_76" hidden="1">TRUE</definedName>
    <definedName name="ADM_boekee_TRANSACT_77" hidden="1">TRUE</definedName>
    <definedName name="ADM_boekee_TRANSACT_78" hidden="1">TRUE</definedName>
    <definedName name="ADM_boekee_TRANSACT_79" hidden="1">TRUE</definedName>
    <definedName name="ADM_boekee_TRANSACT_8" hidden="1">TRUE</definedName>
    <definedName name="ADM_boekee_TRANSACT_80" hidden="1">TRUE</definedName>
    <definedName name="ADM_boekee_TRANSACT_81" hidden="1">TRUE</definedName>
    <definedName name="ADM_boekee_TRANSACT_82" hidden="1">TRUE</definedName>
    <definedName name="ADM_boekee_TRANSACT_83" hidden="1">TRUE</definedName>
    <definedName name="ADM_boekee_TRANSACT_84" hidden="1">TRUE</definedName>
    <definedName name="ADM_boekee_TRANSACT_85" hidden="1">TRUE</definedName>
    <definedName name="ADM_boekee_TRANSACT_86" hidden="1">TRUE</definedName>
    <definedName name="ADM_boekee_TRANSACT_87" hidden="1">TRUE</definedName>
    <definedName name="ADM_boekee_TRANSACT_88" hidden="1">TRUE</definedName>
    <definedName name="ADM_boekee_TRANSACT_89" hidden="1">TRUE</definedName>
    <definedName name="ADM_boekee_TRANSACT_9" hidden="1">TRUE</definedName>
    <definedName name="ADM_boekee_TRANSACT_90" hidden="1">TRUE</definedName>
    <definedName name="ADM_boekee_TRANSACT_91" hidden="1">TRUE</definedName>
    <definedName name="ADM_boekee_TRANSACT_92" hidden="1">TRUE</definedName>
    <definedName name="ADM_boekee_TRANSACT_93" hidden="1">TRUE</definedName>
    <definedName name="ADM_boekee_TRANSACT_94" hidden="1">TRUE</definedName>
    <definedName name="ADM_boekee_TRANSACT_95" hidden="1">TRUE</definedName>
    <definedName name="ADM_boekee_TRANSACT_96" hidden="1">TRUE</definedName>
    <definedName name="ADM_boekee_TRANSACT_97" hidden="1">TRUE</definedName>
    <definedName name="ADM_boekee_TRANSACT_98" hidden="1">TRUE</definedName>
    <definedName name="ADM_boekee_TRANSACT_99" hidden="1">TRUE</definedName>
    <definedName name="ADM_COUNT" hidden="1">103</definedName>
    <definedName name="ADM_DIR_1" hidden="1">"\\vlisw307\accviewwin_8.0\2010\001\ADM6UW71.DBC"</definedName>
    <definedName name="ADM_DIR_10" hidden="1">"\\vlisw307\accviewwin_8.0\2010\010\ADMX06Z8.DBC"</definedName>
    <definedName name="ADM_DIR_100" hidden="1">"\\vlisw307\accviewwin_8.0\2012\064\ADMX1VQW.DBC"</definedName>
    <definedName name="ADM_DIR_101" hidden="1">"\\vlisw307\accviewwin_8.0\2012\066\ADMWDENK.DBC"</definedName>
    <definedName name="ADM_DIR_102" hidden="1">"\\vlisw307\accviewwin_8.0\2012\070\ADMWFEPA.DBC"</definedName>
    <definedName name="ADM_DIR_103" hidden="1">"\\vlisw307\accviewwin_8.0\2012\072\ADMXBA6Z.DBC"</definedName>
    <definedName name="ADM_DIR_11" hidden="1">"\\vlisw307\accviewwin_8.0\2010\011\ADMN4UNY.DBC"</definedName>
    <definedName name="ADM_DIR_12" hidden="1">"\\vlisw307\accviewwin_8.0\2010\015\ADMHI2Z7.DBC"</definedName>
    <definedName name="ADM_DIR_13" hidden="1">"\\vlisw307\accviewwin_8.0\2010\016\ADMQXAC9.DBC"</definedName>
    <definedName name="ADM_DIR_14" hidden="1">"\\vlisw307\accviewwin_8.0\2010\017\ADM68YUR.DBC"</definedName>
    <definedName name="ADM_DIR_15" hidden="1">"\\vlisw307\accviewwin_8.0\2010\018\ADMNAFC0.DBC"</definedName>
    <definedName name="ADM_DIR_16" hidden="1">"\\vlisw307\accviewwin_8.0\2010\019\ADM1964O.DBC"</definedName>
    <definedName name="ADM_DIR_17" hidden="1">"\\vlisw307\accviewwin_8.0\2010\021\ADM6F5VZ.DBC"</definedName>
    <definedName name="ADM_DIR_18" hidden="1">"\\vlisw307\accviewwin_8.0\2010\022\ADMR07EV.DBC"</definedName>
    <definedName name="ADM_DIR_19" hidden="1">"\\vlisw307\accviewwin_8.0\2010\023\ADM2P45G.DBC"</definedName>
    <definedName name="ADM_DIR_2" hidden="1">"\\vlisw307\accviewwin_8.0\2010\002\ADM62M06.DBC"</definedName>
    <definedName name="ADM_DIR_20" hidden="1">"\\vlisw307\accviewwin_8.0\2010\024\ADMXRXRH.DBC"</definedName>
    <definedName name="ADM_DIR_21" hidden="1">"\\vlisw307\accviewwin_8.0\2010\026\ADMU25SG.DBC"</definedName>
    <definedName name="ADM_DIR_22" hidden="1">"\\vlisw307\accviewwin_8.0\2010\040\ADMPPLJI.DBC"</definedName>
    <definedName name="ADM_DIR_23" hidden="1">"\\vlisw307\accviewwin_8.0\2010\041\ADM0DMYD.DBC"</definedName>
    <definedName name="ADM_DIR_24" hidden="1">"\\vlisw307\accviewwin_8.0\2010\045\ADMR1DBT.DBC"</definedName>
    <definedName name="ADM_DIR_25" hidden="1">"\\vlisw307\accviewwin_8.0\2010\050\ADMIMWQM.DBC"</definedName>
    <definedName name="ADM_DIR_26" hidden="1">"\\vlisw307\accviewwin_8.0\2010\052\ADMA5BHQ.DBC"</definedName>
    <definedName name="ADM_DIR_27" hidden="1">"\\vlisw307\accviewwin_8.0\2010\054\ADM85IH5.DBC"</definedName>
    <definedName name="ADM_DIR_28" hidden="1">"\\vlisw307\accviewwin_8.0\2010\055\ADMPBB9M.DBC"</definedName>
    <definedName name="ADM_DIR_29" hidden="1">"\\vlisw307\accviewwin_8.0\2010\056\ADMBD6GF.DBC"</definedName>
    <definedName name="ADM_DIR_3" hidden="1">"\\vlisw307\accviewwin_8.0\2010\003\ADMURGAC.DBC"</definedName>
    <definedName name="ADM_DIR_30" hidden="1">"\\vlisw307\accviewwin_8.0\2010\057\ADMBF5SK.DBC"</definedName>
    <definedName name="ADM_DIR_31" hidden="1">"\\vlisw307\accviewwin_8.0\2010\058\ADMBGI09.DBC"</definedName>
    <definedName name="ADM_DIR_32" hidden="1">"\\vlisw307\accviewwin_8.0\2010\059\ADMBHOIM.DBC"</definedName>
    <definedName name="ADM_DIR_33" hidden="1">"\\vlisw307\accviewwin_8.0\2010\060\ADM0UHF7.DBC"</definedName>
    <definedName name="ADM_DIR_34" hidden="1">"\\vlisw307\accviewwin_8.0\2010\064\ADMRCFRK.DBC"</definedName>
    <definedName name="ADM_DIR_35" hidden="1">"\\vlisw307\accviewwin_8.0\2010\066\ADMMV2FB.DBC"</definedName>
    <definedName name="ADM_DIR_36" hidden="1">"\\vlisw307\accviewwin_8.0\2010\070\ADM26B14.DBC"</definedName>
    <definedName name="ADM_DIR_37" hidden="1">"\\vlisw307\accviewwin_8.0\2010\072\ADMW3H05.DBC"</definedName>
    <definedName name="ADM_DIR_38" hidden="1">"\\vlisw307\accviewwin_8.0\2011\010\ADMYW363.DBC"</definedName>
    <definedName name="ADM_DIR_39" hidden="1">"\\vlisw307\accviewwin_8.0\2011\011\ADM17SBI.DBC"</definedName>
    <definedName name="ADM_DIR_4" hidden="1">"\\vlisw307\accviewwin_8.0\2010\004\ADM6L120.DBC"</definedName>
    <definedName name="ADM_DIR_40" hidden="1">"\\vlisw307\accviewwin_8.0\2011\016\ADMXOUH9.DBC"</definedName>
    <definedName name="ADM_DIR_41" hidden="1">"\\vlisw307\accviewwin_8.0\2011\017\ADM1DACA.DBC"</definedName>
    <definedName name="ADM_DIR_42" hidden="1">"\\vlisw307\accviewwin_8.0\2011\018\ADM2BS4U.DBC"</definedName>
    <definedName name="ADM_DIR_43" hidden="1">"\\vlisw307\accviewwin_8.0\2011\019\ADM2JH1P.DBC"</definedName>
    <definedName name="ADM_DIR_44" hidden="1">"\\vlisw307\accviewwin_8.0\2011\021\ADMOM5JC.DBC"</definedName>
    <definedName name="ADM_DIR_45" hidden="1">"\\vlisw307\accviewwin_8.0\2011\022\ADMM7ZOJ.DBC"</definedName>
    <definedName name="ADM_DIR_46" hidden="1">"\\vlisw307\accviewwin_8.0\2011\023\ADMZWOP1.DBC"</definedName>
    <definedName name="ADM_DIR_47" hidden="1">"\\vlisw307\accviewwin_8.0\2011\024\ADMYXCGV.DBC"</definedName>
    <definedName name="ADM_DIR_48" hidden="1">"\\vlisw307\accviewwin_8.0\2011\026\ADM399MY.DBC"</definedName>
    <definedName name="ADM_DIR_49" hidden="1">"\\vlisw307\accviewwin_8.0\2011\040\ADMUXZA7.DBC"</definedName>
    <definedName name="ADM_DIR_5" hidden="1">"\\vlisw307\accviewwin_8.0\2010\005\ADMTNYGG.DBC"</definedName>
    <definedName name="ADM_DIR_50" hidden="1">"\\vlisw307\accviewwin_8.0\2011\041\ADMVXN4C.DBC"</definedName>
    <definedName name="ADM_DIR_51" hidden="1">"\\vlisw307\accviewwin_8.0\2011\045\ADMUWT8P.DBC"</definedName>
    <definedName name="ADM_DIR_52" hidden="1">"\\vlisw307\accviewwin_8.0\2011\046\ADM0BMSN.DBC"</definedName>
    <definedName name="ADM_DIR_53" hidden="1">"\\vlisw307\accviewwin_8.0\2011\050\ADM3JY38.DBC"</definedName>
    <definedName name="ADM_DIR_54" hidden="1">"\\vlisw307\accviewwin_8.0\2011\052\ADMSXBD3.DBC"</definedName>
    <definedName name="ADM_DIR_55" hidden="1">"\\vlisw307\accviewwin_8.0\2011\054\ADMQ8ZF1.DBC"</definedName>
    <definedName name="ADM_DIR_56" hidden="1">"\\vlisw307\accviewwin_8.0\2011\055\ADMSW479.DBC"</definedName>
    <definedName name="ADM_DIR_57" hidden="1">"\\vlisw307\accviewwin_8.0\2011\056\ADMNAD11.DBC"</definedName>
    <definedName name="ADM_DIR_58" hidden="1">"\\vlisw307\accviewwin_8.0\2012\001\ADMXGY2Y.DBC"</definedName>
    <definedName name="ADM_DIR_59" hidden="1">"\\vlisw307\accviewwin_8.0\2012\002\ADMU5VIF.DBC"</definedName>
    <definedName name="ADM_DIR_6" hidden="1">"\\vlisw307\accviewwin_8.0\2010\006\ADMPZDCF.DBC"</definedName>
    <definedName name="ADM_DIR_60" hidden="1">"\\vlisw307\accviewwin_8.0\2012\003\ADMTIKI6.DBC"</definedName>
    <definedName name="ADM_DIR_61" hidden="1">"\\vlisw307\accviewwin_8.0\2012\004\ADMR4DSW.DBC"</definedName>
    <definedName name="ADM_DIR_62" hidden="1">"\\vlisw307\accviewwin_8.0\2012\005\ADMUMLZC.DBC"</definedName>
    <definedName name="ADM_DIR_63" hidden="1">"\\vlisw307\accviewwin_8.0\2012\006\ADMVUV8D.DBC"</definedName>
    <definedName name="ADM_DIR_64" hidden="1">"\\vlisw307\accviewwin_8.0\2012\006a\ADMN8V8M.DBC"</definedName>
    <definedName name="ADM_DIR_65" hidden="1">"\\vlisw307\accviewwin_8.0\2012\006b\ADMNMR7B.DBC"</definedName>
    <definedName name="ADM_DIR_66" hidden="1">"\\vlisw307\accviewwin_8.0\2012\006c\ADMNP83V.DBC"</definedName>
    <definedName name="ADM_DIR_67" hidden="1">"\\vlisw307\accviewwin_8.0\2012\006e\ADMNSXD5.DBC"</definedName>
    <definedName name="ADM_DIR_68" hidden="1">"\\vlisw307\accviewwin_8.0\2012\006g\ADMNXQP6.DBC"</definedName>
    <definedName name="ADM_DIR_69" hidden="1">"\\vlisw307\accviewwin_8.0\2012\006h\ADMO626F.DBC"</definedName>
    <definedName name="ADM_DIR_7" hidden="1">"\\vlisw307\accviewwin_8.0\2010\007\ADMH5PKV.DBC"</definedName>
    <definedName name="ADM_DIR_70" hidden="1">"\\vlisw307\accviewwin_8.0\2012\007\ADMV3FAQ.DBC"</definedName>
    <definedName name="ADM_DIR_71" hidden="1">"\\vlisw307\accviewwin_8.0\2012\008\ADMV2IC8.DBC"</definedName>
    <definedName name="ADM_DIR_72" hidden="1">"\\vlisw307\accviewwin_8.0\2012\009\ADMV4ECO.DBC"</definedName>
    <definedName name="ADM_DIR_73" hidden="1">"\\vlisw307\accviewwin_8.0\2012\010\ADM0R146.DBC"</definedName>
    <definedName name="ADM_DIR_74" hidden="1">"\\vlisw307\accviewwin_8.0\2012\011\ADM0U81J.DBC"</definedName>
    <definedName name="ADM_DIR_75" hidden="1">"\\vlisw307\accviewwin_8.0\2012\016\ADMTZJFX.DBC"</definedName>
    <definedName name="ADM_DIR_76" hidden="1">"\\vlisw307\accviewwin_8.0\2012\017\ADMPC25U.DBC"</definedName>
    <definedName name="ADM_DIR_77" hidden="1">"\\vlisw307\accviewwin_8.0\2012\018\ADM0SQ9M.DBC"</definedName>
    <definedName name="ADM_DIR_78" hidden="1">"\\vlisw307\accviewwin_8.0\2012\019\ADMVPG4H.DBC"</definedName>
    <definedName name="ADM_DIR_79" hidden="1">"\\vlisw307\accviewwin_8.0\2012\021\ADMYCQNZ.DBC"</definedName>
    <definedName name="ADM_DIR_8" hidden="1">"\\vlisw307\accviewwin_8.0\2010\008\ADM175LZ.DBC"</definedName>
    <definedName name="ADM_DIR_80" hidden="1">"\\vlisw307\accviewwin_8.0\2012\022\ADM3IXX3.DBC"</definedName>
    <definedName name="ADM_DIR_81" hidden="1">"\\vlisw307\accviewwin_8.0\2012\023\ADMTWSMY.DBC"</definedName>
    <definedName name="ADM_DIR_82" hidden="1">"\\vlisw307\accviewwin_8.0\2012\024\ADMPERRP.DBC"</definedName>
    <definedName name="ADM_DIR_83" hidden="1">"\\vlisw307\accviewwin_8.0\2012\026\ADMWE9YX.DBC"</definedName>
    <definedName name="ADM_DIR_84" hidden="1">"\\vlisw307\accviewwin_8.0\2012\029\ADMSHWT7.DBC"</definedName>
    <definedName name="ADM_DIR_85" hidden="1">"\\vlisw307\accviewwin_8.0\2012\039\ADMSTUV6.DBC"</definedName>
    <definedName name="ADM_DIR_86" hidden="1">"\\vlisw307\accviewwin_8.0\2012\040\ADMQ9OZ5.DBC"</definedName>
    <definedName name="ADM_DIR_87" hidden="1">"\\vlisw307\accviewwin_8.0\2012\041\ADMR8DIQ.DBC"</definedName>
    <definedName name="ADM_DIR_88" hidden="1">"\\vlisw307\accviewwin_8.0\2012\045\ADMQARJ6.DBC"</definedName>
    <definedName name="ADM_DIR_89" hidden="1">"\\vlisw307\accviewwin_8.0\2012\046\ADMZTGOR.DBC"</definedName>
    <definedName name="ADM_DIR_9" hidden="1">"\\vlisw307\accviewwin_8.0\2010\009\ADMPEBRX.DBC"</definedName>
    <definedName name="ADM_DIR_90" hidden="1">"\\vlisw307\accviewwin_8.0\2012\050\ADMVOILZ.DBC"</definedName>
    <definedName name="ADM_DIR_91" hidden="1">"\\vlisw307\accviewwin_8.0\2012\052\ADMSM3UK.DBC"</definedName>
    <definedName name="ADM_DIR_92" hidden="1">"\\vlisw307\accviewwin_8.0\2012\054\ADMT852G.DBC"</definedName>
    <definedName name="ADM_DIR_93" hidden="1">"\\vlisw307\accviewwin_8.0\2012\055\ADMNDF28.DBC"</definedName>
    <definedName name="ADM_DIR_94" hidden="1">"\\vlisw307\accviewwin_8.0\2012\056\ADMLFHZB.DBC"</definedName>
    <definedName name="ADM_DIR_95" hidden="1">"\\vlisw307\accviewwin_8.0\2012\057\ADMMHQG3.DBC"</definedName>
    <definedName name="ADM_DIR_96" hidden="1">"\\vlisw307\accviewwin_8.0\2012\058\ADMM7VB3.DBC"</definedName>
    <definedName name="ADM_DIR_97" hidden="1">"\\vlisw307\accviewwin_8.0\2012\059\ADMLXV8P.DBC"</definedName>
    <definedName name="ADM_DIR_98" hidden="1">"\\vlisw307\accviewwin_8.0\2012\060\ADMXIOQ1.DBC"</definedName>
    <definedName name="ADM_DIR_99" hidden="1">"\\vlisw307\accviewwin_8.0\2012\063\ADMZW5XW.DBC"</definedName>
    <definedName name="adsfafda" hidden="1">{#N/A,#N/A,TRUE,"Goal";#N/A,#N/A,TRUE,"About";#N/A,#N/A,TRUE,"Linking";#N/A,#N/A,TRUE,"Compliance";#N/A,#N/A,TRUE,"Competitive";#N/A,#N/A,TRUE,"Proactive";#N/A,#N/A,TRUE,"Challenging";#N/A,#N/A,TRUE,"Development"}</definedName>
    <definedName name="ae" hidden="1">{#N/A,#N/A,FALSE,"model"}</definedName>
    <definedName name="aewr" hidden="1">{"mgmt forecast",#N/A,FALSE,"Mgmt Forecast";"dcf table",#N/A,FALSE,"Mgmt Forecast";"sensitivity",#N/A,FALSE,"Mgmt Forecast";"table inputs",#N/A,FALSE,"Mgmt Forecast";"calculations",#N/A,FALSE,"Mgmt Forecast"}</definedName>
    <definedName name="aewr_" hidden="1">{"mgmt forecast",#N/A,FALSE,"Mgmt Forecast";"dcf table",#N/A,FALSE,"Mgmt Forecast";"sensitivity",#N/A,FALSE,"Mgmt Forecast";"table inputs",#N/A,FALSE,"Mgmt Forecast";"calculations",#N/A,FALSE,"Mgmt Forecast"}</definedName>
    <definedName name="Aging2" hidden="1">{#N/A,#N/A,FALSE,"Aging Summary";#N/A,#N/A,FALSE,"Ratio Analysis";#N/A,#N/A,FALSE,"Test 120 Day Accts";#N/A,#N/A,FALSE,"Tickmarks"}</definedName>
    <definedName name="Aging2E" hidden="1">{#N/A,#N/A,FALSE,"Aging Summary";#N/A,#N/A,FALSE,"Ratio Analysis";#N/A,#N/A,FALSE,"Test 120 Day Accts";#N/A,#N/A,FALSE,"Tickmarks"}</definedName>
    <definedName name="aging3" hidden="1">{#N/A,#N/A,FALSE,"Aging Summary";#N/A,#N/A,FALSE,"Ratio Analysis";#N/A,#N/A,FALSE,"Test 120 Day Accts";#N/A,#N/A,FALSE,"Tickmarks"}</definedName>
    <definedName name="aging5" hidden="1">{#N/A,#N/A,FALSE,"Aging Summary";#N/A,#N/A,FALSE,"Ratio Analysis";#N/A,#N/A,FALSE,"Test 120 Day Accts";#N/A,#N/A,FALSE,"Tickmarks"}</definedName>
    <definedName name="aging6" hidden="1">{#N/A,#N/A,FALSE,"Aging Summary";#N/A,#N/A,FALSE,"Ratio Analysis";#N/A,#N/A,FALSE,"Test 120 Day Accts";#N/A,#N/A,FALSE,"Tickmarks"}</definedName>
    <definedName name="ala" hidden="1">{#N/A,#N/A,FALSE,"Aging Summary";#N/A,#N/A,FALSE,"Ratio Analysis";#N/A,#N/A,FALSE,"Test 120 Day Accts";#N/A,#N/A,FALSE,"Tickmarks"}</definedName>
    <definedName name="Analogues2" hidden="1">{#N/A,#N/A,TRUE,"Goal";#N/A,#N/A,TRUE,"About";#N/A,#N/A,TRUE,"Linking";#N/A,#N/A,TRUE,"Compliance";#N/A,#N/A,TRUE,"Competitive";#N/A,#N/A,TRUE,"Proactive";#N/A,#N/A,TRUE,"Challenging";#N/A,#N/A,TRUE,"Development"}</definedName>
    <definedName name="anscount" hidden="1">1</definedName>
    <definedName name="are" hidden="1">{"orixcsc",#N/A,FALSE,"ORIX CSC";"orixcsc2",#N/A,FALSE,"ORIX CSC"}</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yncStepLS" hidden="1">0</definedName>
    <definedName name="AS2TickmarkLS" hidden="1">#REF!</definedName>
    <definedName name="AS2VersionLS" hidden="1">300</definedName>
    <definedName name="asa" hidden="1">{#N/A,#N/A,FALSE,"Aging Summary";#N/A,#N/A,FALSE,"Ratio Analysis";#N/A,#N/A,FALSE,"Test 120 Day Accts";#N/A,#N/A,FALSE,"Tickmarks"}</definedName>
    <definedName name="asas" hidden="1">{"fdsup://directions/FAT Viewer?action=UPDATE&amp;creator=factset&amp;DYN_ARGS=TRUE&amp;DOC_NAME=FAT:FQL_AUDITING_CLIENT_TEMPLATE.FAT&amp;display_string=Audit&amp;VAR:KEY=XMTCJQZGLS&amp;VAR:QUERY=RkZfQ0FQRVgoQU5OLDIwMDgsLCwsSUNfQ1VSUkVOQ1lfSVNPKCksTSk=&amp;WINDOW=FIRST_POPUP&amp;HEIGHT=45","0&amp;WIDTH=450&amp;START_MAXIMIZED=FALSE&amp;VAR:CALENDAR=US&amp;VAR:SYMBOL=573282&amp;VAR:INDEX=0"}</definedName>
    <definedName name="asd" hidden="1">{"fdsup://directions/FAT Viewer?action=UPDATE&amp;creator=factset&amp;DYN_ARGS=TRUE&amp;DOC_NAME=FAT:FQL_AUDITING_CLIENT_TEMPLATE.FAT&amp;display_string=Audit&amp;VAR:KEY=YXALKVGLMZ&amp;VAR:QUERY=RkZfQ0FQRVgoQU5OX1IsNDAxNzgsLCwsLE0p&amp;WINDOW=FIRST_POPUP&amp;HEIGHT=450&amp;WIDTH=450&amp;START_MA","XIMIZED=FALSE&amp;VAR:CALENDAR=FIVEDAY&amp;VAR:SYMBOL=066727&amp;VAR:INDEX=0"}</definedName>
    <definedName name="asdasd" hidden="1">{"fdsup://Directions/FactSet Auditing Viewer?action=AUDIT_VALUE&amp;DB=129&amp;ID1=573282&amp;VALUEID=04831&amp;SDATE=2009&amp;PERIODTYPE=ANN_STD&amp;window=popup_no_bar&amp;width=385&amp;height=120&amp;START_MAXIMIZED=FALSE&amp;creator=factset&amp;display_string=Audit"}</definedName>
    <definedName name="asdasda" hidden="1">{#N/A,#N/A,TRUE,"Goal";#N/A,#N/A,TRUE,"About";#N/A,#N/A,TRUE,"Linking";#N/A,#N/A,TRUE,"Compliance";#N/A,#N/A,TRUE,"Competitive";#N/A,#N/A,TRUE,"Proactive";#N/A,#N/A,TRUE,"Challenging";#N/A,#N/A,TRUE,"Development"}</definedName>
    <definedName name="asdf" hidden="1">{#N/A,#N/A,FALSE,"ORIX CSC"}</definedName>
    <definedName name="asdf_" hidden="1">{#N/A,#N/A,FALSE,"ORIX CSC"}</definedName>
    <definedName name="asdfdd" hidden="1">{"mgmt forecast",#N/A,FALSE,"Mgmt Forecast";"dcf table",#N/A,FALSE,"Mgmt Forecast";"sensitivity",#N/A,FALSE,"Mgmt Forecast";"table inputs",#N/A,FALSE,"Mgmt Forecast";"calculations",#N/A,FALSE,"Mgmt Forecast"}</definedName>
    <definedName name="asfd" hidden="1">{"TITLE_PAGE",#N/A,FALSE,"MODEL";"DEP_SCHED",#N/A,FALSE,"MODEL";"DCF",#N/A,FALSE,"MODEL"}</definedName>
    <definedName name="assadas" hidden="1">{#N/A,#N/A,TRUE,"Goal";#N/A,#N/A,TRUE,"About";#N/A,#N/A,TRUE,"Linking";#N/A,#N/A,TRUE,"Compliance";#N/A,#N/A,TRUE,"Competitive";#N/A,#N/A,TRUE,"Proactive";#N/A,#N/A,TRUE,"Challenging";#N/A,#N/A,TRUE,"Development"}</definedName>
    <definedName name="Asxadhgbgnfh" hidden="1">{#N/A,#N/A,FALSE,"Aging Summary";#N/A,#N/A,FALSE,"Ratio Analysis";#N/A,#N/A,FALSE,"Test 120 Day Accts";#N/A,#N/A,FALSE,"Tickmarks"}</definedName>
    <definedName name="awert" hidden="1">{#N/A,#N/A,FALSE,"ORIX CSC"}</definedName>
    <definedName name="ba" hidden="1">{#N/A,#N/A,FALSE,"Aging Summary";#N/A,#N/A,FALSE,"Ratio Analysis";#N/A,#N/A,FALSE,"Test 120 Day Accts";#N/A,#N/A,FALSE,"Tickmarks"}</definedName>
    <definedName name="BALANCE" hidden="1">"60000..87990"</definedName>
    <definedName name="BCONCERN" hidden="1">FALSE</definedName>
    <definedName name="BFL_Dropdown" hidden="1">[5]RangeControl!$B$21:$D$21</definedName>
    <definedName name="BG_Del" hidden="1">15</definedName>
    <definedName name="BG_Ins" hidden="1">4</definedName>
    <definedName name="BG_Mod" hidden="1">6</definedName>
    <definedName name="BLPH1" hidden="1">[17]Peer1!$AQ$3</definedName>
    <definedName name="BLPH10" hidden="1">[17]Peer10!$AQ$3</definedName>
    <definedName name="BLPH11" hidden="1">[17]Peer11!$AQ$3</definedName>
    <definedName name="BLPH12" hidden="1">[17]Peer12!$AQ$3</definedName>
    <definedName name="BLPH13" hidden="1">[17]Peer13!$AQ$3</definedName>
    <definedName name="BLPH14" hidden="1">[17]Peer14!$AQ$3</definedName>
    <definedName name="BLPH15" hidden="1">[17]Peer15!$AQ$3</definedName>
    <definedName name="BLPH16" hidden="1">[17]Peer16!$AQ$3</definedName>
    <definedName name="BLPH17" hidden="1">[17]Peer17!$AQ$3</definedName>
    <definedName name="BLPH18" hidden="1">[17]Peer18!$AQ$3</definedName>
    <definedName name="BLPH19" hidden="1">[17]Peer19!$AQ$3</definedName>
    <definedName name="BLPH2" hidden="1">[17]Peer2!$AQ$3</definedName>
    <definedName name="BLPH20" hidden="1">[17]Peer20!$AQ$3</definedName>
    <definedName name="BLPH3" hidden="1">[17]Peer3!$AQ$3</definedName>
    <definedName name="BLPH4" hidden="1">[17]Peer4!$AQ$3</definedName>
    <definedName name="BLPH5" hidden="1">[17]Peer5!$AQ$3</definedName>
    <definedName name="BLPH6" hidden="1">[17]Peer6!$AQ$3</definedName>
    <definedName name="BLPH7" hidden="1">[17]Peer7!$AQ$3</definedName>
    <definedName name="BLPH8" hidden="1">[17]Peer8!$AQ$3</definedName>
    <definedName name="BLPH9" hidden="1">[17]Peer9!$AQ$3</definedName>
    <definedName name="bnnn" hidden="1">{"mgmt forecast",#N/A,FALSE,"Mgmt Forecast";"dcf table",#N/A,FALSE,"Mgmt Forecast";"sensitivity",#N/A,FALSE,"Mgmt Forecast";"table inputs",#N/A,FALSE,"Mgmt Forecast";"calculations",#N/A,FALSE,"Mgmt Forecast"}</definedName>
    <definedName name="BUDGET" hidden="1">"STARTB17"</definedName>
    <definedName name="BUDGETNAME" hidden="1">2003</definedName>
    <definedName name="BUDGETPERIOD" hidden="1">"01-10-2011..30-09-2012"</definedName>
    <definedName name="BUSECONCERN" hidden="1">FALSE</definedName>
    <definedName name="CALCUL" hidden="1">{#N/A,#N/A,FALSE,"Aging Summary";#N/A,#N/A,FALSE,"Ratio Analysis";#N/A,#N/A,FALSE,"Test 120 Day Accts";#N/A,#N/A,FALSE,"Tickmarks"}</definedName>
    <definedName name="CBWorkbookPriority" hidden="1">-592437265</definedName>
    <definedName name="cc" hidden="1">{#N/A,#N/A,TRUE,"Cover sheet";#N/A,#N/A,TRUE,"F.S.";#N/A,#N/A,TRUE,"Macroecon.";#N/A,#N/A,TRUE,"Microeconomics";#N/A,#N/A,TRUE,"Revenues";#N/A,#N/A,TRUE,"COS-supporting";#N/A,#N/A,TRUE,"op. costs-details";#N/A,#N/A,TRUE,"COS";#N/A,#N/A,TRUE,"Other costs-supporting";#N/A,#N/A,TRUE,"Other costs";#N/A,#N/A,TRUE,"Other income&amp;expense";#N/A,#N/A,TRUE,"Capex-supporting";#N/A,#N/A,TRUE,"Capital ex.";#N/A,#N/A,TRUE,"Financing";#N/A,#N/A,TRUE,"Equity";#N/A,#N/A,TRUE,"Corporate taxation";#N/A,#N/A,TRUE,"current A.&amp;L."}</definedName>
    <definedName name="ccc" hidden="1">{#N/A,#N/A,FALSE,"1996PL";#N/A,#N/A,FALSE,"1997PL";#N/A,#N/A,FALSE,"1998PL";#N/A,#N/A,FALSE,"1999PL"}</definedName>
    <definedName name="ccccc" hidden="1">{"10yp key data",#N/A,FALSE,"Market Data"}</definedName>
    <definedName name="cha" hidden="1">{#N/A,#N/A,FALSE,"Aging Summary";#N/A,#N/A,FALSE,"Ratio Analysis";#N/A,#N/A,FALSE,"Test 120 Day Accts";#N/A,#N/A,FALSE,"Tickmarks"}</definedName>
    <definedName name="chat" hidden="1">{#N/A,#N/A,FALSE,"Aging Summary";#N/A,#N/A,FALSE,"Ratio Analysis";#N/A,#N/A,FALSE,"Test 120 Day Accts";#N/A,#N/A,FALSE,"Tickmarks"}</definedName>
    <definedName name="CheckTolerance">0.0001</definedName>
    <definedName name="CIQWBGuid" hidden="1">"e533cec6-9af9-4684-ab90-6fbb09c488ac"</definedName>
    <definedName name="clim" hidden="1">{#N/A,#N/A,FALSE,"Aging Summary";#N/A,#N/A,FALSE,"Ratio Analysis";#N/A,#N/A,FALSE,"Test 120 Day Accts";#N/A,#N/A,FALSE,"Tickmarks"}</definedName>
    <definedName name="COMBO" hidden="1">"Afdelinger"</definedName>
    <definedName name="COMPANY" hidden="1">"FDC A/S"</definedName>
    <definedName name="CONCERNCUR" hidden="1">FALSE</definedName>
    <definedName name="CurMonth" hidden="1">[5]RangeControl!$B$9</definedName>
    <definedName name="CURRENCYVALUE" hidden="1">100</definedName>
    <definedName name="CURRENCYVALUE2" hidden="1">100</definedName>
    <definedName name="CUTDATE" hidden="1">38352</definedName>
    <definedName name="d" hidden="1">{#N/A,#N/A,FALSE,"Aging Summary";#N/A,#N/A,FALSE,"Ratio Analysis";#N/A,#N/A,FALSE,"Test 120 Day Accts";#N/A,#N/A,FALSE,"Tickmarks"}</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dd" hidden="1">{"histincome",#N/A,FALSE,"hyfins";"closing balance",#N/A,FALSE,"hyfins"}</definedName>
    <definedName name="ddddd" hidden="1">{"10yp tariffs",#N/A,FALSE,"Celtel alternative 6"}</definedName>
    <definedName name="dddddd" hidden="1">{"10yp profit and loss",#N/A,FALSE,"Celtel alternative 6"}</definedName>
    <definedName name="dddddddd" hidden="1">{#N/A,#N/A,FALSE,"Aging Summary";#N/A,#N/A,FALSE,"Ratio Analysis";#N/A,#N/A,FALSE,"Test 120 Day Accts";#N/A,#N/A,FALSE,"Tickmarks"}</definedName>
    <definedName name="ddgf" hidden="1">{#N/A,#N/A,FALSE,"Aging Summary";#N/A,#N/A,FALSE,"Ratio Analysis";#N/A,#N/A,FALSE,"Test 120 Day Accts";#N/A,#N/A,FALSE,"Tickmarks"}</definedName>
    <definedName name="deee" hidden="1">{#N/A,#N/A,FALSE,"1996PL";#N/A,#N/A,FALSE,"1997PL";#N/A,#N/A,FALSE,"1998PL";#N/A,#N/A,FALSE,"1999PL"}</definedName>
    <definedName name="defsdfdfs" hidden="1">#REF!</definedName>
    <definedName name="df" hidden="1">{#N/A,#N/A,FALSE,"Aging Summary";#N/A,#N/A,FALSE,"Ratio Analysis";#N/A,#N/A,FALSE,"Test 120 Day Accts";#N/A,#N/A,FALSE,"Tickmarks"}</definedName>
    <definedName name="dfae" hidden="1">{#N/A,#N/A,TRUE,"Goal";#N/A,#N/A,TRUE,"About";#N/A,#N/A,TRUE,"Linking";#N/A,#N/A,TRUE,"Compliance";#N/A,#N/A,TRUE,"Competitive";#N/A,#N/A,TRUE,"Proactive";#N/A,#N/A,TRUE,"Challenging";#N/A,#N/A,TRUE,"Development"}</definedName>
    <definedName name="dfd" hidden="1">{#N/A,#N/A,FALSE,"Aging Summary";#N/A,#N/A,FALSE,"Ratio Analysis";#N/A,#N/A,FALSE,"Test 120 Day Accts";#N/A,#N/A,FALSE,"Tickmarks"}</definedName>
    <definedName name="dfdfg" hidden="1">{#N/A,#N/A,FALSE,"Aging Summary";#N/A,#N/A,FALSE,"Ratio Analysis";#N/A,#N/A,FALSE,"Test 120 Day Accts";#N/A,#N/A,FALSE,"Tickmarks"}</definedName>
    <definedName name="dfsjsdalfjsdkhfjhawiuorfewyf" hidden="1">{#N/A,#N/A,TRUE,"Goal";#N/A,#N/A,TRUE,"About";#N/A,#N/A,TRUE,"Linking";#N/A,#N/A,TRUE,"Compliance";#N/A,#N/A,TRUE,"Competitive";#N/A,#N/A,TRUE,"Proactive";#N/A,#N/A,TRUE,"Challenging";#N/A,#N/A,TRUE,"Development"}</definedName>
    <definedName name="dfver" hidden="1">{#N/A,#N/A,FALSE,"1996PL";#N/A,#N/A,FALSE,"1997PL";#N/A,#N/A,FALSE,"1998PL";#N/A,#N/A,FALSE,"1999PL"}</definedName>
    <definedName name="dg" hidden="1">{#N/A,#N/A,TRUE,"Goal";#N/A,#N/A,TRUE,"About";#N/A,#N/A,TRUE,"Linking";#N/A,#N/A,TRUE,"Compliance";#N/A,#N/A,TRUE,"Competitive";#N/A,#N/A,TRUE,"Proactive";#N/A,#N/A,TRUE,"Challenging";#N/A,#N/A,TRUE,"Development"}</definedName>
    <definedName name="dgfhgf" hidden="1">{#N/A,#N/A,FALSE,"ORIX CSC"}</definedName>
    <definedName name="dhgdh" hidden="1">{"mgmt forecast",#N/A,FALSE,"Mgmt Forecast";"dcf table",#N/A,FALSE,"Mgmt Forecast";"sensitivity",#N/A,FALSE,"Mgmt Forecast";"table inputs",#N/A,FALSE,"Mgmt Forecast";"calculations",#N/A,FALSE,"Mgmt Forecast"}</definedName>
    <definedName name="DiY">365</definedName>
    <definedName name="djdidenekj" hidden="1">{#N/A,#N/A,TRUE,"Goal";#N/A,#N/A,TRUE,"About";#N/A,#N/A,TRUE,"Linking";#N/A,#N/A,TRUE,"Compliance";#N/A,#N/A,TRUE,"Competitive";#N/A,#N/A,TRUE,"Proactive";#N/A,#N/A,TRUE,"Challenging";#N/A,#N/A,TRUE,"Development"}</definedName>
    <definedName name="djfkaæufa" hidden="1">{#N/A,#N/A,TRUE,"Goal";#N/A,#N/A,TRUE,"About";#N/A,#N/A,TRUE,"Linking";#N/A,#N/A,TRUE,"Compliance";#N/A,#N/A,TRUE,"Competitive";#N/A,#N/A,TRUE,"Proactive";#N/A,#N/A,TRUE,"Challenging";#N/A,#N/A,TRUE,"Development"}</definedName>
    <definedName name="djn" hidden="1">{#N/A,#N/A,TRUE,"Goal";#N/A,#N/A,TRUE,"About";#N/A,#N/A,TRUE,"Linking";#N/A,#N/A,TRUE,"Compliance";#N/A,#N/A,TRUE,"Competitive";#N/A,#N/A,TRUE,"Proactive";#N/A,#N/A,TRUE,"Challenging";#N/A,#N/A,TRUE,"Development"}</definedName>
    <definedName name="DKKtiløre">'2.1 Model setup'!$N$34</definedName>
    <definedName name="dsa" hidden="1">{"fdsup://directions/FAT Viewer?action=UPDATE&amp;creator=factset&amp;DYN_ARGS=TRUE&amp;DOC_NAME=FAT:FQL_AUDITING_CLIENT_TEMPLATE.FAT&amp;display_string=Audit&amp;VAR:KEY=NWDUFMZWPI&amp;VAR:QUERY=RkZfVEFYX1JBVEUoQU5OLDAp&amp;WINDOW=FIRST_POPUP&amp;HEIGHT=450&amp;WIDTH=450&amp;START_MAXIMIZED=FALS","E&amp;VAR:CALENDAR=FIVEDAY&amp;VAR:INDEX=0"}</definedName>
    <definedName name="dsaf" hidden="1">{"mgmt forecast",#N/A,FALSE,"Mgmt Forecast";"dcf table",#N/A,FALSE,"Mgmt Forecast";"sensitivity",#N/A,FALSE,"Mgmt Forecast";"table inputs",#N/A,FALSE,"Mgmt Forecast";"calculations",#N/A,FALSE,"Mgmt Forecast"}</definedName>
    <definedName name="DSN" hidden="1">"Toolpack.dsn"</definedName>
    <definedName name="DSO" hidden="1">{#N/A,#N/A,FALSE,"Aging Summary";#N/A,#N/A,FALSE,"Ratio Analysis";#N/A,#N/A,FALSE,"Test 120 Day Accts";#N/A,#N/A,FALSE,"Tickmarks"}</definedName>
    <definedName name="dz" hidden="1">{#N/A,#N/A,FALSE,"Aging Summary";#N/A,#N/A,FALSE,"Ratio Analysis";#N/A,#N/A,FALSE,"Test 120 Day Accts";#N/A,#N/A,FALSE,"Tickmarks"}</definedName>
    <definedName name="E2011BudgetCTGeconsolideerd" hidden="1">"DB01;030;nsch;1"</definedName>
    <definedName name="ee" hidden="1">{"TITLE_PAGE",#N/A,FALSE,"MODEL";"DEP_SCHED",#N/A,FALSE,"MODEL";"DCF",#N/A,FALSE,"MODEL"}</definedName>
    <definedName name="eee" hidden="1">{#N/A,#N/A,FALSE,"Aging Summary";#N/A,#N/A,FALSE,"Ratio Analysis";#N/A,#N/A,FALSE,"Test 120 Day Accts";#N/A,#N/A,FALSE,"Tickmarks"}</definedName>
    <definedName name="eeeee" hidden="1">{"budget992000 tariff and usage",#N/A,FALSE,"Celtel alternative 6"}</definedName>
    <definedName name="eeeeeeeeeee" hidden="1">{#N/A,#N/A,FALSE,"Aging Summary";#N/A,#N/A,FALSE,"Ratio Analysis";#N/A,#N/A,FALSE,"Test 120 Day Accts";#N/A,#N/A,FALSE,"Tickmarks"}</definedName>
    <definedName name="efdfs" hidden="1">#REF!</definedName>
    <definedName name="efr" hidden="1">{"TITLE_PAGE",#N/A,FALSE,"MODEL";"DEP_SCHED",#N/A,FALSE,"MODEL";"DCF",#N/A,FALSE,"MODEL"}</definedName>
    <definedName name="ENDDATE" hidden="1">" "</definedName>
    <definedName name="ENDDATEYTD" hidden="1">" "</definedName>
    <definedName name="ere" hidden="1">{"orixcsc",#N/A,FALSE,"ORIX CSC";"orixcsc2",#N/A,FALSE,"ORIX CSC"}</definedName>
    <definedName name="ErrorTolerance">0.00001</definedName>
    <definedName name="ev.Calculation" hidden="1">-4135</definedName>
    <definedName name="ev.Initialized" hidden="1">FALSE</definedName>
    <definedName name="EV__ALLOWSTOPEXPAND__" hidden="1">1</definedName>
    <definedName name="EV__DECIMALSYMBOL__" hidden="1">","</definedName>
    <definedName name="EV__EVCOM_OPTIONS__" hidden="1">10</definedName>
    <definedName name="EV__EXPOPTIONS__" hidden="1">0</definedName>
    <definedName name="EV__LASTREFTIME__" hidden="1">41009.6559837963</definedName>
    <definedName name="EV__LOCKEDCVW__FINANCE" hidden="1">"PL_NETSALES,ACT_BUD,cTotal,dTotal,eCM6201,EUR,iTotal,pTotal,sCLO_AEI,2010.NOV,YTD,"</definedName>
    <definedName name="EV__LOCKEDCVW__SUPPLYCHAIN" hidden="1">"CC4HO,ACTUAL,e450,EUR,psFrozen,lNone,sDEL,2010.SEP,YTD,"</definedName>
    <definedName name="EV__LOCKSTATUS__" hidden="1">2</definedName>
    <definedName name="EV__MAXEXPCOLS__" hidden="1">100</definedName>
    <definedName name="EV__MAXEXPROWS__" hidden="1">1000</definedName>
    <definedName name="EV__MEMORYCVW__" hidden="1">0</definedName>
    <definedName name="EV__WBEVMODE__" hidden="1">0</definedName>
    <definedName name="EV__WBREFOPTIONS__" hidden="1">55</definedName>
    <definedName name="EV__WBVERSION__" hidden="1">0</definedName>
    <definedName name="EV__WSINFO__" hidden="1">"ivy07"</definedName>
    <definedName name="ewrwer" hidden="1">{#N/A,#N/A,FALSE,"ORIX CSC"}</definedName>
    <definedName name="ExactAddinConnection.001" hidden="1">"NLAMSR043;001;BHni;1"</definedName>
    <definedName name="ExactAddinConnection.002" hidden="1">"NLAMSR043;998;Cbeane;1"</definedName>
    <definedName name="ExactAddinConnection.005" hidden="1">"EXACT01;005;willemk;1"</definedName>
    <definedName name="ExactAddinConnection.010" hidden="1">"PCGLOBE;010;773074;1"</definedName>
    <definedName name="ExactAddinConnection.020" hidden="1">"server01;020;HaraldvS;0"</definedName>
    <definedName name="ExactAddinConnection.030" hidden="1">"db01;030;ilin;1"</definedName>
    <definedName name="ExactAddinConnection.050" hidden="1">"PCGLOBE;050;773074;1"</definedName>
    <definedName name="ExactAddinConnection.060" hidden="1">"PCGLOBE;060;773074;1"</definedName>
    <definedName name="ExactAddinConnection.070" hidden="1">"PCGLOBE;070;773074;1"</definedName>
    <definedName name="ExactAddinConnection.080" hidden="1">"PCGLOBE;080;773074;1"</definedName>
    <definedName name="ExactAddinConnection.090" hidden="1">"PCGLOBE;090;773074;1"</definedName>
    <definedName name="ExactAddinConnection.100" hidden="1">"DB01;100;edam;1"</definedName>
    <definedName name="ExactAddinConnection.110" hidden="1">"DB01;110;edam;1"</definedName>
    <definedName name="ExactAddinConnection.120" hidden="1">"DB01;120;edam;1"</definedName>
    <definedName name="ExactAddinConnection.130" hidden="1">"DB01;130;edam;1"</definedName>
    <definedName name="ExactAddinConnection.140" hidden="1">"DB01;140;edam;1"</definedName>
    <definedName name="ExactAddinConnection.400" hidden="1">"NLDMNSA009;400;bakkumt;1"</definedName>
    <definedName name="ExactAddinConnection.940" hidden="1">"NLEHV00NTEX002;940;592471;1"</definedName>
    <definedName name="ExactAddinConnection.941" hidden="1">"pcglobe;941;773074;1"</definedName>
    <definedName name="ExactAddinConnection.999" hidden="1">"NLEHV00NTEX002;050;592471;1"</definedName>
    <definedName name="ExactAddinReports" hidden="1">1</definedName>
    <definedName name="f" hidden="1">{"orixcsc",#N/A,FALSE,"ORIX CSC";"orixcsc2",#N/A,FALSE,"ORIX CSC"}</definedName>
    <definedName name="fa" hidden="1">{#N/A,#N/A,FALSE,"Virgin Flightdeck"}</definedName>
    <definedName name="fafa" hidden="1">{#N/A,#N/A,TRUE,"Goal";#N/A,#N/A,TRUE,"About";#N/A,#N/A,TRUE,"Linking";#N/A,#N/A,TRUE,"Compliance";#N/A,#N/A,TRUE,"Competitive";#N/A,#N/A,TRUE,"Proactive";#N/A,#N/A,TRUE,"Challenging";#N/A,#N/A,TRUE,"Development"}</definedName>
    <definedName name="fasfe" hidden="1">{#N/A,#N/A,TRUE,"Goal";#N/A,#N/A,TRUE,"About";#N/A,#N/A,TRUE,"Linking";#N/A,#N/A,TRUE,"Compliance";#N/A,#N/A,TRUE,"Competitive";#N/A,#N/A,TRUE,"Proactive";#N/A,#N/A,TRUE,"Challenging";#N/A,#N/A,TRUE,"Development"}</definedName>
    <definedName name="fasfer" hidden="1">{#N/A,#N/A,TRUE,"Goal";#N/A,#N/A,TRUE,"About";#N/A,#N/A,TRUE,"Linking";#N/A,#N/A,TRUE,"Compliance";#N/A,#N/A,TRUE,"Competitive";#N/A,#N/A,TRUE,"Proactive";#N/A,#N/A,TRUE,"Challenging";#N/A,#N/A,TRUE,"Development"}</definedName>
    <definedName name="fasgdads" hidden="1">{#N/A,#N/A,TRUE,"Goal";#N/A,#N/A,TRUE,"About";#N/A,#N/A,TRUE,"Linking";#N/A,#N/A,TRUE,"Compliance";#N/A,#N/A,TRUE,"Competitive";#N/A,#N/A,TRUE,"Proactive";#N/A,#N/A,TRUE,"Challenging";#N/A,#N/A,TRUE,"Development"}</definedName>
    <definedName name="fasger" hidden="1">{#N/A,#N/A,TRUE,"Goal";#N/A,#N/A,TRUE,"About";#N/A,#N/A,TRUE,"Linking";#N/A,#N/A,TRUE,"Compliance";#N/A,#N/A,TRUE,"Competitive";#N/A,#N/A,TRUE,"Proactive";#N/A,#N/A,TRUE,"Challenging";#N/A,#N/A,TRUE,"Development"}</definedName>
    <definedName name="fdafda" hidden="1">{#N/A,#N/A,TRUE,"Goal";#N/A,#N/A,TRUE,"About";#N/A,#N/A,TRUE,"Linking";#N/A,#N/A,TRUE,"Compliance";#N/A,#N/A,TRUE,"Competitive";#N/A,#N/A,TRUE,"Proactive";#N/A,#N/A,TRUE,"Challenging";#N/A,#N/A,TRUE,"Development"}</definedName>
    <definedName name="fdajde" hidden="1">{#N/A,#N/A,TRUE,"Goal";#N/A,#N/A,TRUE,"About";#N/A,#N/A,TRUE,"Linking";#N/A,#N/A,TRUE,"Compliance";#N/A,#N/A,TRUE,"Competitive";#N/A,#N/A,TRUE,"Proactive";#N/A,#N/A,TRUE,"Challenging";#N/A,#N/A,TRUE,"Development"}</definedName>
    <definedName name="fdasd" hidden="1">{#N/A,#N/A,TRUE,"Goal";#N/A,#N/A,TRUE,"About";#N/A,#N/A,TRUE,"Linking";#N/A,#N/A,TRUE,"Compliance";#N/A,#N/A,TRUE,"Competitive";#N/A,#N/A,TRUE,"Proactive";#N/A,#N/A,TRUE,"Challenging";#N/A,#N/A,TRUE,"Development"}</definedName>
    <definedName name="fddf" hidden="1">{"celkový rozpočet - detail",#N/A,FALSE,"Aktualizace č. 1"}</definedName>
    <definedName name="fddfdf" hidden="1">{#N/A,#N/A,FALSE,"Aging Summary";#N/A,#N/A,FALSE,"Ratio Analysis";#N/A,#N/A,FALSE,"Test 120 Day Accts";#N/A,#N/A,FALSE,"Tickmarks"}</definedName>
    <definedName name="fdjkaælfdy" hidden="1">{#N/A,#N/A,TRUE,"Goal";#N/A,#N/A,TRUE,"About";#N/A,#N/A,TRUE,"Linking";#N/A,#N/A,TRUE,"Compliance";#N/A,#N/A,TRUE,"Competitive";#N/A,#N/A,TRUE,"Proactive";#N/A,#N/A,TRUE,"Challenging";#N/A,#N/A,TRUE,"Development"}</definedName>
    <definedName name="fdjkæfaun" hidden="1">{#N/A,#N/A,TRUE,"Goal";#N/A,#N/A,TRUE,"About";#N/A,#N/A,TRUE,"Linking";#N/A,#N/A,TRUE,"Compliance";#N/A,#N/A,TRUE,"Competitive";#N/A,#N/A,TRUE,"Proactive";#N/A,#N/A,TRUE,"Challenging";#N/A,#N/A,TRUE,"Development"}</definedName>
    <definedName name="fdjskaæfduen" hidden="1">{#N/A,#N/A,TRUE,"Goal";#N/A,#N/A,TRUE,"About";#N/A,#N/A,TRUE,"Linking";#N/A,#N/A,TRUE,"Compliance";#N/A,#N/A,TRUE,"Competitive";#N/A,#N/A,TRUE,"Proactive";#N/A,#N/A,TRUE,"Challenging";#N/A,#N/A,TRUE,"Development"}</definedName>
    <definedName name="fdsaerea" hidden="1">{#N/A,#N/A,TRUE,"Goal";#N/A,#N/A,TRUE,"About";#N/A,#N/A,TRUE,"Linking";#N/A,#N/A,TRUE,"Compliance";#N/A,#N/A,TRUE,"Competitive";#N/A,#N/A,TRUE,"Proactive";#N/A,#N/A,TRUE,"Challenging";#N/A,#N/A,TRUE,"Development"}</definedName>
    <definedName name="fdsaered" hidden="1">{#N/A,#N/A,TRUE,"Goal";#N/A,#N/A,TRUE,"About";#N/A,#N/A,TRUE,"Linking";#N/A,#N/A,TRUE,"Compliance";#N/A,#N/A,TRUE,"Competitive";#N/A,#N/A,TRUE,"Proactive";#N/A,#N/A,TRUE,"Challenging";#N/A,#N/A,TRUE,"Development"}</definedName>
    <definedName name="fdsafa" hidden="1">{#N/A,#N/A,TRUE,"Goal";#N/A,#N/A,TRUE,"About";#N/A,#N/A,TRUE,"Linking";#N/A,#N/A,TRUE,"Compliance";#N/A,#N/A,TRUE,"Competitive";#N/A,#N/A,TRUE,"Proactive";#N/A,#N/A,TRUE,"Challenging";#N/A,#N/A,TRUE,"Development"}</definedName>
    <definedName name="fdsafafa" hidden="1">{#N/A,#N/A,TRUE,"Goal";#N/A,#N/A,TRUE,"About";#N/A,#N/A,TRUE,"Linking";#N/A,#N/A,TRUE,"Compliance";#N/A,#N/A,TRUE,"Competitive";#N/A,#N/A,TRUE,"Proactive";#N/A,#N/A,TRUE,"Challenging";#N/A,#N/A,TRUE,"Development"}</definedName>
    <definedName name="fdsafafda" hidden="1">{#N/A,#N/A,TRUE,"Goal";#N/A,#N/A,TRUE,"About";#N/A,#N/A,TRUE,"Linking";#N/A,#N/A,TRUE,"Compliance";#N/A,#N/A,TRUE,"Competitive";#N/A,#N/A,TRUE,"Proactive";#N/A,#N/A,TRUE,"Challenging";#N/A,#N/A,TRUE,"Development"}</definedName>
    <definedName name="fdsagaera" hidden="1">{#N/A,#N/A,TRUE,"Goal";#N/A,#N/A,TRUE,"About";#N/A,#N/A,TRUE,"Linking";#N/A,#N/A,TRUE,"Compliance";#N/A,#N/A,TRUE,"Competitive";#N/A,#N/A,TRUE,"Proactive";#N/A,#N/A,TRUE,"Challenging";#N/A,#N/A,TRUE,"Development"}</definedName>
    <definedName name="fdsagsda" hidden="1">{#N/A,#N/A,TRUE,"Goal";#N/A,#N/A,TRUE,"About";#N/A,#N/A,TRUE,"Linking";#N/A,#N/A,TRUE,"Compliance";#N/A,#N/A,TRUE,"Competitive";#N/A,#N/A,TRUE,"Proactive";#N/A,#N/A,TRUE,"Challenging";#N/A,#N/A,TRUE,"Development"}</definedName>
    <definedName name="fdsajklæsa" hidden="1">{#N/A,#N/A,TRUE,"Goal";#N/A,#N/A,TRUE,"About";#N/A,#N/A,TRUE,"Linking";#N/A,#N/A,TRUE,"Compliance";#N/A,#N/A,TRUE,"Competitive";#N/A,#N/A,TRUE,"Proactive";#N/A,#N/A,TRUE,"Challenging";#N/A,#N/A,TRUE,"Development"}</definedName>
    <definedName name="fdshfhsdhfk" hidden="1">{#N/A,#N/A,TRUE,"Goal";#N/A,#N/A,TRUE,"About";#N/A,#N/A,TRUE,"Linking";#N/A,#N/A,TRUE,"Compliance";#N/A,#N/A,TRUE,"Competitive";#N/A,#N/A,TRUE,"Proactive";#N/A,#N/A,TRUE,"Challenging";#N/A,#N/A,TRUE,"Development"}</definedName>
    <definedName name="fdsaaewr" hidden="1">{#N/A,#N/A,TRUE,"Goal";#N/A,#N/A,TRUE,"About";#N/A,#N/A,TRUE,"Linking";#N/A,#N/A,TRUE,"Compliance";#N/A,#N/A,TRUE,"Competitive";#N/A,#N/A,TRUE,"Proactive";#N/A,#N/A,TRUE,"Challenging";#N/A,#N/A,TRUE,"Development"}</definedName>
    <definedName name="fdsaas" hidden="1">{#N/A,#N/A,TRUE,"Goal";#N/A,#N/A,TRUE,"About";#N/A,#N/A,TRUE,"Linking";#N/A,#N/A,TRUE,"Compliance";#N/A,#N/A,TRUE,"Competitive";#N/A,#N/A,TRUE,"Proactive";#N/A,#N/A,TRUE,"Challenging";#N/A,#N/A,TRUE,"Development"}</definedName>
    <definedName name="fdv" hidden="1">{"quarterly",#N/A,FALSE,"Income Statement";#N/A,#N/A,FALSE,"print segment";#N/A,#N/A,FALSE,"Balance Sheet";#N/A,#N/A,FALSE,"Annl Inc";#N/A,#N/A,FALSE,"Cash Flow"}</definedName>
    <definedName name="FejlTolerance">0.00001</definedName>
    <definedName name="fff" hidden="1">{"mgmt forecast",#N/A,FALSE,"Mgmt Forecast";"dcf table",#N/A,FALSE,"Mgmt Forecast";"sensitivity",#N/A,FALSE,"Mgmt Forecast";"table inputs",#N/A,FALSE,"Mgmt Forecast";"calculations",#N/A,FALSE,"Mgmt Forecast"}</definedName>
    <definedName name="ffffff" hidden="1">{"budget992000 capex",#N/A,FALSE,"Celtel alternative 6"}</definedName>
    <definedName name="ffsgsdgsd" hidden="1">{#N/A,#N/A,FALSE,"Aging Summary";#N/A,#N/A,FALSE,"Ratio Analysis";#N/A,#N/A,FALSE,"Test 120 Day Accts";#N/A,#N/A,FALSE,"Tickmarks"}</definedName>
    <definedName name="fg" hidden="1">{#N/A,#N/A,TRUE,"Goal";#N/A,#N/A,TRUE,"About";#N/A,#N/A,TRUE,"Linking";#N/A,#N/A,TRUE,"Compliance";#N/A,#N/A,TRUE,"Competitive";#N/A,#N/A,TRUE,"Proactive";#N/A,#N/A,TRUE,"Challenging";#N/A,#N/A,TRUE,"Development"}</definedName>
    <definedName name="fgfg" hidden="1">{#N/A,#N/A,TRUE,"Goal";#N/A,#N/A,TRUE,"About";#N/A,#N/A,TRUE,"Linking";#N/A,#N/A,TRUE,"Compliance";#N/A,#N/A,TRUE,"Competitive";#N/A,#N/A,TRUE,"Proactive";#N/A,#N/A,TRUE,"Challenging";#N/A,#N/A,TRUE,"Development"}</definedName>
    <definedName name="fggfdfgf" hidden="1">{#N/A,#N/A,FALSE,"Aging Summary";#N/A,#N/A,FALSE,"Ratio Analysis";#N/A,#N/A,FALSE,"Test 120 Day Accts";#N/A,#N/A,FALSE,"Tickmarks"}</definedName>
    <definedName name="fjdielsna" hidden="1">{#N/A,#N/A,TRUE,"Goal";#N/A,#N/A,TRUE,"About";#N/A,#N/A,TRUE,"Linking";#N/A,#N/A,TRUE,"Compliance";#N/A,#N/A,TRUE,"Competitive";#N/A,#N/A,TRUE,"Proactive";#N/A,#N/A,TRUE,"Challenging";#N/A,#N/A,TRUE,"Development"}</definedName>
    <definedName name="fjdkaæfa" hidden="1">{#N/A,#N/A,TRUE,"Goal";#N/A,#N/A,TRUE,"About";#N/A,#N/A,TRUE,"Linking";#N/A,#N/A,TRUE,"Compliance";#N/A,#N/A,TRUE,"Competitive";#N/A,#N/A,TRUE,"Proactive";#N/A,#N/A,TRUE,"Challenging";#N/A,#N/A,TRUE,"Development"}</definedName>
    <definedName name="fjdkladfh" hidden="1">{#N/A,#N/A,TRUE,"Goal";#N/A,#N/A,TRUE,"About";#N/A,#N/A,TRUE,"Linking";#N/A,#N/A,TRUE,"Compliance";#N/A,#N/A,TRUE,"Competitive";#N/A,#N/A,TRUE,"Proactive";#N/A,#N/A,TRUE,"Challenging";#N/A,#N/A,TRUE,"Development"}</definedName>
    <definedName name="fjdklaæiden" hidden="1">{#N/A,#N/A,TRUE,"Goal";#N/A,#N/A,TRUE,"About";#N/A,#N/A,TRUE,"Linking";#N/A,#N/A,TRUE,"Compliance";#N/A,#N/A,TRUE,"Competitive";#N/A,#N/A,TRUE,"Proactive";#N/A,#N/A,TRUE,"Challenging";#N/A,#N/A,TRUE,"Development"}</definedName>
    <definedName name="fjdskalæuen" hidden="1">{#N/A,#N/A,TRUE,"Goal";#N/A,#N/A,TRUE,"About";#N/A,#N/A,TRUE,"Linking";#N/A,#N/A,TRUE,"Compliance";#N/A,#N/A,TRUE,"Competitive";#N/A,#N/A,TRUE,"Proactive";#N/A,#N/A,TRUE,"Challenging";#N/A,#N/A,TRUE,"Development"}</definedName>
    <definedName name="fjekdil" hidden="1">{#N/A,#N/A,TRUE,"Goal";#N/A,#N/A,TRUE,"About";#N/A,#N/A,TRUE,"Linking";#N/A,#N/A,TRUE,"Compliance";#N/A,#N/A,TRUE,"Competitive";#N/A,#N/A,TRUE,"Proactive";#N/A,#N/A,TRUE,"Challenging";#N/A,#N/A,TRUE,"Development"}</definedName>
    <definedName name="fjsaklæsafn" hidden="1">{#N/A,#N/A,TRUE,"Goal";#N/A,#N/A,TRUE,"About";#N/A,#N/A,TRUE,"Linking";#N/A,#N/A,TRUE,"Compliance";#N/A,#N/A,TRUE,"Competitive";#N/A,#N/A,TRUE,"Proactive";#N/A,#N/A,TRUE,"Challenging";#N/A,#N/A,TRUE,"Development"}</definedName>
    <definedName name="fsafafa" hidden="1">{#N/A,#N/A,TRUE,"Goal";#N/A,#N/A,TRUE,"About";#N/A,#N/A,TRUE,"Linking";#N/A,#N/A,TRUE,"Compliance";#N/A,#N/A,TRUE,"Competitive";#N/A,#N/A,TRUE,"Proactive";#N/A,#N/A,TRUE,"Challenging";#N/A,#N/A,TRUE,"Development"}</definedName>
    <definedName name="fsafda" hidden="1">{#N/A,#N/A,TRUE,"Goal";#N/A,#N/A,TRUE,"About";#N/A,#N/A,TRUE,"Linking";#N/A,#N/A,TRUE,"Compliance";#N/A,#N/A,TRUE,"Competitive";#N/A,#N/A,TRUE,"Proactive";#N/A,#N/A,TRUE,"Challenging";#N/A,#N/A,TRUE,"Development"}</definedName>
    <definedName name="faaf" hidden="1">{#N/A,#N/A,TRUE,"Goal";#N/A,#N/A,TRUE,"About";#N/A,#N/A,TRUE,"Linking";#N/A,#N/A,TRUE,"Compliance";#N/A,#N/A,TRUE,"Competitive";#N/A,#N/A,TRUE,"Proactive";#N/A,#N/A,TRUE,"Challenging";#N/A,#N/A,TRUE,"Development"}</definedName>
    <definedName name="G" hidden="1">{#N/A,#N/A,FALSE,"Aging Summary";#N/A,#N/A,FALSE,"Ratio Analysis";#N/A,#N/A,FALSE,"Test 120 Day Accts";#N/A,#N/A,FALSE,"Tickmarks"}</definedName>
    <definedName name="gabi" hidden="1">{#N/A,#N/A,FALSE,"Aging Summary";#N/A,#N/A,FALSE,"Ratio Analysis";#N/A,#N/A,FALSE,"Test 120 Day Accts";#N/A,#N/A,FALSE,"Tickmarks"}</definedName>
    <definedName name="gadaf" hidden="1">{#N/A,#N/A,TRUE,"Goal";#N/A,#N/A,TRUE,"About";#N/A,#N/A,TRUE,"Linking";#N/A,#N/A,TRUE,"Compliance";#N/A,#N/A,TRUE,"Competitive";#N/A,#N/A,TRUE,"Proactive";#N/A,#N/A,TRUE,"Challenging";#N/A,#N/A,TRUE,"Development"}</definedName>
    <definedName name="gav" hidden="1">{#N/A,#N/A,FALSE,"Aging Summary";#N/A,#N/A,FALSE,"Ratio Analysis";#N/A,#N/A,FALSE,"Test 120 Day Accts";#N/A,#N/A,FALSE,"Tickmarks"}</definedName>
    <definedName name="gdf" localSheetId="5" hidden="1">[18]!GotoInf_fromNo8</definedName>
    <definedName name="gdf" localSheetId="6" hidden="1">[18]!GotoInf_fromNo8</definedName>
    <definedName name="gdf" localSheetId="7" hidden="1">[18]!GotoInf_fromNo8</definedName>
    <definedName name="gdf" localSheetId="8" hidden="1">[18]!GotoInf_fromNo8</definedName>
    <definedName name="gdf" localSheetId="9" hidden="1">[18]!GotoInf_fromNo8</definedName>
    <definedName name="gdf" localSheetId="10" hidden="1">[18]!GotoInf_fromNo8</definedName>
    <definedName name="gdf" localSheetId="13" hidden="1">[18]!GotoInf_fromNo8</definedName>
    <definedName name="gdf" localSheetId="15" hidden="1">[18]!GotoInf_fromNo8</definedName>
    <definedName name="gdf" localSheetId="17" hidden="1">[18]!GotoInf_fromNo8</definedName>
    <definedName name="gdf" localSheetId="18" hidden="1">[18]!GotoInf_fromNo8</definedName>
    <definedName name="gdf" localSheetId="19" hidden="1">[18]!GotoInf_fromNo8</definedName>
    <definedName name="gdf" localSheetId="20" hidden="1">[18]!GotoInf_fromNo8</definedName>
    <definedName name="gdf" localSheetId="21" hidden="1">[18]!GotoInf_fromNo8</definedName>
    <definedName name="gdf" localSheetId="22" hidden="1">[18]!GotoInf_fromNo8</definedName>
    <definedName name="gdf" localSheetId="0" hidden="1">[18]!GotoInf_fromNo8</definedName>
    <definedName name="gdf" localSheetId="23" hidden="1">[18]!GotoInf_fromNo8</definedName>
    <definedName name="gdf" localSheetId="25" hidden="1">[18]!GotoInf_fromNo8</definedName>
    <definedName name="gdf" localSheetId="24" hidden="1">[18]!GotoInf_fromNo8</definedName>
    <definedName name="gdf" localSheetId="4" hidden="1">[18]!GotoInf_fromNo8</definedName>
    <definedName name="gdf" localSheetId="3" hidden="1">[18]!GotoInf_fromNo8</definedName>
    <definedName name="gdf" hidden="1">[18]!GotoInf_fromNo8</definedName>
    <definedName name="gdsafasfa" hidden="1">{#N/A,#N/A,TRUE,"Goal";#N/A,#N/A,TRUE,"About";#N/A,#N/A,TRUE,"Linking";#N/A,#N/A,TRUE,"Compliance";#N/A,#N/A,TRUE,"Competitive";#N/A,#N/A,TRUE,"Proactive";#N/A,#N/A,TRUE,"Challenging";#N/A,#N/A,TRUE,"Development"}</definedName>
    <definedName name="gdsafsafd" hidden="1">{#N/A,#N/A,TRUE,"Goal";#N/A,#N/A,TRUE,"About";#N/A,#N/A,TRUE,"Linking";#N/A,#N/A,TRUE,"Compliance";#N/A,#N/A,TRUE,"Competitive";#N/A,#N/A,TRUE,"Proactive";#N/A,#N/A,TRUE,"Challenging";#N/A,#N/A,TRUE,"Development"}</definedName>
    <definedName name="geaedaf" hidden="1">{#N/A,#N/A,TRUE,"Goal";#N/A,#N/A,TRUE,"About";#N/A,#N/A,TRUE,"Linking";#N/A,#N/A,TRUE,"Compliance";#N/A,#N/A,TRUE,"Competitive";#N/A,#N/A,TRUE,"Proactive";#N/A,#N/A,TRUE,"Challenging";#N/A,#N/A,TRUE,"Development"}</definedName>
    <definedName name="gearefd" hidden="1">{#N/A,#N/A,TRUE,"Goal";#N/A,#N/A,TRUE,"About";#N/A,#N/A,TRUE,"Linking";#N/A,#N/A,TRUE,"Compliance";#N/A,#N/A,TRUE,"Competitive";#N/A,#N/A,TRUE,"Proactive";#N/A,#N/A,TRUE,"Challenging";#N/A,#N/A,TRUE,"Development"}</definedName>
    <definedName name="gfdsafee" hidden="1">{#N/A,#N/A,TRUE,"Goal";#N/A,#N/A,TRUE,"About";#N/A,#N/A,TRUE,"Linking";#N/A,#N/A,TRUE,"Compliance";#N/A,#N/A,TRUE,"Competitive";#N/A,#N/A,TRUE,"Proactive";#N/A,#N/A,TRUE,"Challenging";#N/A,#N/A,TRUE,"Development"}</definedName>
    <definedName name="G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{"budget992000_customers",#N/A,FALSE,"Celtel alternative 6"}</definedName>
    <definedName name="ggggggg" hidden="1">{"budget992000 profit and loss",#N/A,FALSE,"Celtel alternative 6"}</definedName>
    <definedName name="gh" hidden="1">{#N/A,#N/A,TRUE,"Goal";#N/A,#N/A,TRUE,"About";#N/A,#N/A,TRUE,"Linking";#N/A,#N/A,TRUE,"Compliance";#N/A,#N/A,TRUE,"Competitive";#N/A,#N/A,TRUE,"Proactive";#N/A,#N/A,TRUE,"Challenging";#N/A,#N/A,TRUE,"Development"}</definedName>
    <definedName name="ghhghd" hidden="1">{"mgmt forecast",#N/A,FALSE,"Mgmt Forecast";"dcf table",#N/A,FALSE,"Mgmt Forecast";"sensitivity",#N/A,FALSE,"Mgmt Forecast";"table inputs",#N/A,FALSE,"Mgmt Forecast";"calculations",#N/A,FALSE,"Mgmt Forecast"}</definedName>
    <definedName name="ghhhg" hidden="1">{#N/A,#N/A,FALSE,"ORIX CSC"}</definedName>
    <definedName name="gj" localSheetId="5" hidden="1">[16]!GotoInf_fromNo8</definedName>
    <definedName name="gj" localSheetId="6" hidden="1">[16]!GotoInf_fromNo8</definedName>
    <definedName name="gj" localSheetId="7" hidden="1">[16]!GotoInf_fromNo8</definedName>
    <definedName name="gj" localSheetId="8" hidden="1">[16]!GotoInf_fromNo8</definedName>
    <definedName name="gj" localSheetId="9" hidden="1">[16]!GotoInf_fromNo8</definedName>
    <definedName name="gj" localSheetId="10" hidden="1">[16]!GotoInf_fromNo8</definedName>
    <definedName name="gj" localSheetId="13" hidden="1">[16]!GotoInf_fromNo8</definedName>
    <definedName name="gj" localSheetId="15" hidden="1">[16]!GotoInf_fromNo8</definedName>
    <definedName name="gj" localSheetId="17" hidden="1">[16]!GotoInf_fromNo8</definedName>
    <definedName name="gj" localSheetId="18" hidden="1">[16]!GotoInf_fromNo8</definedName>
    <definedName name="gj" localSheetId="19" hidden="1">[16]!GotoInf_fromNo8</definedName>
    <definedName name="gj" localSheetId="20" hidden="1">[16]!GotoInf_fromNo8</definedName>
    <definedName name="gj" localSheetId="21" hidden="1">[16]!GotoInf_fromNo8</definedName>
    <definedName name="gj" localSheetId="22" hidden="1">[16]!GotoInf_fromNo8</definedName>
    <definedName name="gj" localSheetId="0" hidden="1">[16]!GotoInf_fromNo8</definedName>
    <definedName name="gj" localSheetId="23" hidden="1">[16]!GotoInf_fromNo8</definedName>
    <definedName name="gj" localSheetId="25" hidden="1">[16]!GotoInf_fromNo8</definedName>
    <definedName name="gj" localSheetId="24" hidden="1">[16]!GotoInf_fromNo8</definedName>
    <definedName name="gj" localSheetId="4" hidden="1">[16]!GotoInf_fromNo8</definedName>
    <definedName name="gj" localSheetId="3" hidden="1">[16]!GotoInf_fromNo8</definedName>
    <definedName name="gj" hidden="1">[16]!GotoInf_fromNo8</definedName>
    <definedName name="gOAL" hidden="1">{#N/A,#N/A,TRUE,"Goal";#N/A,#N/A,TRUE,"About";#N/A,#N/A,TRUE,"Linking";#N/A,#N/A,TRUE,"Compliance";#N/A,#N/A,TRUE,"Competitive";#N/A,#N/A,TRUE,"Proactive";#N/A,#N/A,TRUE,"Challenging";#N/A,#N/A,TRUE,"Development"}</definedName>
    <definedName name="GR" hidden="1">{#N/A,#N/A,FALSE,"Aging Summary";#N/A,#N/A,FALSE,"Ratio Analysis";#N/A,#N/A,FALSE,"Test 120 Day Accts";#N/A,#N/A,FALSE,"Tickmarks"}</definedName>
    <definedName name="GROUP" hidden="1">{#N/A,#N/A,FALSE,"Aging Summary";#N/A,#N/A,FALSE,"Ratio Analysis";#N/A,#N/A,FALSE,"Test 120 Day Accts";#N/A,#N/A,FALSE,"Tickmarks"}</definedName>
    <definedName name="gsaerae" hidden="1">{#N/A,#N/A,TRUE,"Goal";#N/A,#N/A,TRUE,"About";#N/A,#N/A,TRUE,"Linking";#N/A,#N/A,TRUE,"Compliance";#N/A,#N/A,TRUE,"Competitive";#N/A,#N/A,TRUE,"Proactive";#N/A,#N/A,TRUE,"Challenging";#N/A,#N/A,TRUE,"Development"}</definedName>
    <definedName name="GuV_BP" hidden="1">{"'Daten'!$A$3:$J$9"}</definedName>
    <definedName name="h" hidden="1">{#N/A,#N/A,FALSE,"TOC";#N/A,#N/A,FALSE,"Summary";#N/A,#N/A,FALSE,"DCF";#N/A,#N/A,FALSE,"FS";#N/A,#N/A,FALSE,"Macro";#N/A,#N/A,FALSE,"Stats";#N/A,#N/A,FALSE,"GLC";#N/A,#N/A,FALSE,"GLCdescr";#N/A,#N/A,FALSE,"GLCmult";#N/A,#N/A,FALSE,"GLCratios";#N/A,#N/A,FALSE,"GLCcommon";#N/A,#N/A,FALSE,"Sales";#N/A,#N/A,FALSE,"Oper costs";#N/A,#N/A,FALSE,"Other oper";#N/A,#N/A,FALSE,"Finan";#N/A,#N/A,FALSE,"WC";#N/A,#N/A,FALSE,"Tax";#N/A,#N/A,FALSE,"WACC";#N/A,#N/A,FALSE,"Rf";#N/A,#N/A,FALSE,"ERP";#N/A,#N/A,FALSE,"B";#N/A,#N/A,FALSE,"Size";#N/A,#N/A,FALSE,"Ctrl";#N/A,#N/A,FALSE,"Mkt disc";#N/A,#N/A,FALSE,"GLCdata"}</definedName>
    <definedName name="Header.A">'2.1 Model setup'!$Q$10:$V$10</definedName>
    <definedName name="Header.Details">'2.1 Model setup'!$B$2:$I$5</definedName>
    <definedName name="Header.Labels">'2.1 Model setup'!$B$8:$R$10</definedName>
    <definedName name="Header1" hidden="1">IF(COUNTA(#REF!)=0,0,INDEX(#REF!,MATCH(ROW(#REF!),#REF!,TRUE)))+1</definedName>
    <definedName name="Header2" hidden="1">[19]!Header1-1 &amp; "." &amp; MAX(1,COUNTA(INDEX(#REF!,MATCH([19]!Header1-1,#REF!,FALSE)):#REF!))</definedName>
    <definedName name="hgrth" hidden="1">{"orixcsc",#N/A,FALSE,"ORIX CSC";"orixcsc2",#N/A,FALSE,"ORIX CSC"}</definedName>
    <definedName name="hh" hidden="1">{#N/A,#N/A,FALSE,"Aging Summary";#N/A,#N/A,FALSE,"Ratio Analysis";#N/A,#N/A,FALSE,"Test 120 Day Accts";#N/A,#N/A,FALSE,"Tickmarks"}</definedName>
    <definedName name="hjhj" hidden="1">{#N/A,#N/A,TRUE,"Goal";#N/A,#N/A,TRUE,"About";#N/A,#N/A,TRUE,"Linking";#N/A,#N/A,TRUE,"Compliance";#N/A,#N/A,TRUE,"Competitive";#N/A,#N/A,TRUE,"Proactive";#N/A,#N/A,TRUE,"Challenging";#N/A,#N/A,TRUE,"Development"}</definedName>
    <definedName name="hjhjhj" hidden="1">{#N/A,#N/A,FALSE,"Index";"Stmts_Qtrs",#N/A,FALSE,"Summary";"Stmts_24 mo",#N/A,FALSE,"Summary";"Summary_24",#N/A,FALSE,"Revenue";"Month_24",#N/A,FALSE,"Engineering";"Month_24",#N/A,FALSE,"Marketing";"Month_24",#N/A,FALSE,"G &amp; A";"Month_24",#N/A,FALSE,"Manufacturing"}</definedName>
    <definedName name="hjhjj" hidden="1">{#N/A,#N/A,FALSE,"ORIX CSC"}</definedName>
    <definedName name="hn.ExtDb" hidden="1">FALSE</definedName>
    <definedName name="hn.ModelType" hidden="1">"DEAL"</definedName>
    <definedName name="hn.ModelVersion" hidden="1">1</definedName>
    <definedName name="hn.NoUpload" hidden="1">0</definedName>
    <definedName name="HOLA" hidden="1">{"AR",#N/A,FALSE,"ASMGTSUM";"INV",#N/A,FALSE,"ASMGTSUM";"HCCOMP",#N/A,FALSE,"ASMGTSUM";"cap.depr",#N/A,FALSE,"ASMGTSUM"}</definedName>
    <definedName name="HTML_CodePage" hidden="1">1252</definedName>
    <definedName name="HTML_Control" hidden="1">{"'Daten'!$A$3:$J$9"}</definedName>
    <definedName name="HTML_Description" hidden="1">""</definedName>
    <definedName name="HTML_Email" hidden="1">""</definedName>
    <definedName name="HTML_Header" hidden="1">"Daten"</definedName>
    <definedName name="HTML_LastUpdate" hidden="1">"11.04.00"</definedName>
    <definedName name="HTML_LineAfter" hidden="1">FALSE</definedName>
    <definedName name="HTML_LineBefore" hidden="1">FALSE</definedName>
    <definedName name="HTML_Name" hidden="1">"Christoph Dahl"</definedName>
    <definedName name="HTML_OBDlg2" hidden="1">TRUE</definedName>
    <definedName name="HTML_OBDlg4" hidden="1">TRUE</definedName>
    <definedName name="HTML_OS" hidden="1">0</definedName>
    <definedName name="HTML_PathFile" hidden="1">"C:\WINNT\Profiles\gast_enw\Eigene Dateien\MeinHTML.htm"</definedName>
    <definedName name="HTML_PathFileMac" hidden="1">"Macintosh HD:Web Site “~adamodar”:pc:datasets:MyHTML.html"</definedName>
    <definedName name="HTML_Title" hidden="1">"Businessplan direkkt"</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Count" hidden="1">1</definedName>
    <definedName name="iii" hidden="1">{#N/A,#N/A,FALSE,"Aging Summary";#N/A,#N/A,FALSE,"Ratio Analysis";#N/A,#N/A,FALSE,"Test 120 Day Accts";#N/A,#N/A,FALSE,"Tickmarks"}</definedName>
    <definedName name="INCOME" hidden="1">"09000..49999"</definedName>
    <definedName name="INTERESTIN" hidden="1">0.02</definedName>
    <definedName name="INTERESTOUT" hidden="1">0.02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"c39"</definedName>
    <definedName name="IQ_ADDIN" hidden="1">"AUTO"</definedName>
    <definedName name="IQ_ADDITIONAL_NON_INT_INC_FDIC" hidden="1">"c6574"</definedName>
    <definedName name="IQ_ADJUSTABLE_RATE_LOANS_FDIC" hidden="1">"c6375"</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IVIDENDS_NET_INCOME_FDIC" hidden="1">"c6738"</definedName>
    <definedName name="IQ_CASH_DUE_BANKS" hidden="1">"c118"</definedName>
    <definedName name="IQ_CASH_EQUIV" hidden="1">"c118"</definedName>
    <definedName name="IQ_CASH_FINAN" hidden="1">"c119"</definedName>
    <definedName name="IQ_CASH_IN_PROCESS_FDIC" hidden="1">"c6386"</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T" hidden="1">"c124"</definedName>
    <definedName name="IQ_CASH_ST_INVEST" hidden="1">"c124"</definedName>
    <definedName name="IQ_CASH_TAXES" hidden="1">"c125"</definedName>
    <definedName name="IQ_CCE_FDIC" hidden="1">"c6296"</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OTHER_NET_OPER_ASSETS_BR" hidden="1">"c3595"</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RATE" hidden="1">"c2192"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S" hidden="1">"c225"</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COVERAGE_NET_CHARGE_OFFS_FDIC" hidden="1">"c6735"</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ECT_SPECIAL_CHARGE" hidden="1">"c1595"</definedName>
    <definedName name="IQ_EFFICIENCY_RATIO" hidden="1">"c391"</definedName>
    <definedName name="IQ_EFFICIENCY_RATIO_FDIC" hidden="1">"c6736"</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QUITY_AFFIL" hidden="1">"c552"</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FFO_REUT" hidden="1">"c3843"</definedName>
    <definedName name="IQ_EST_FFO_DIFF_REUT" hidden="1">"c3890"</definedName>
    <definedName name="IQ_EST_FFO_SURPRISE_PERCENT_REUT" hidden="1">"c3891"</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ENSE_CODE_" hidden="1">"GB0000LC52"</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FO" hidden="1">"c1574"</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100000</definedName>
    <definedName name="IQ_FHLB_ADVANCES_FDIC" hidden="1">"c6366"</definedName>
    <definedName name="IQ_FHLB_DEBT" hidden="1">"c423"</definedName>
    <definedName name="IQ_FIDUCIARY_ACTIVITIES_FDIC" hidden="1">"c6571"</definedName>
    <definedName name="IQ_FIFETEEN_YEAR_FIXED_AND_FLOATING_RATE_FDIC" hidden="1">"c6423"</definedName>
    <definedName name="IQ_FIFETEEN_YEAR_MORTGAGE_PASS_THROUGHS_FDIC" hidden="1">"c6415"</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AMORT_BR" hidden="1">"c532"</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"c751"</definedName>
    <definedName name="IQ_ISS_STOCK_NET" hidden="1">"c1601"</definedName>
    <definedName name="IQ_ISSUED_GUARANTEED_US_FDIC" hidden="1">"c6404"</definedName>
    <definedName name="IQ_LAND" hidden="1">"c645"</definedName>
    <definedName name="IQ_LASTSALEPRICE" hidden="1">"c646"</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INV" hidden="1">"c697"</definedName>
    <definedName name="IQ_LOSS_ALLOWANCE_LOANS_FDIC" hidden="1">"c6739"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INT_CAPEX_ACT_OR_EST" hidden="1">"c4458"</definedName>
    <definedName name="IQ_MARKETCAP" hidden="1">"c712"</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44775.5057291667</definedName>
    <definedName name="IQ_NAV_ACT_OR_EST" hidden="1">"c2225"</definedName>
    <definedName name="IQ_NET_CHANGE" hidden="1">"c749"</definedName>
    <definedName name="IQ_NET_CHARGE_OFFS_FDIC" hidden="1">"c6641"</definedName>
    <definedName name="IQ_NET_CHARGE_OFFS_LOANS_FDIC" hidden="1">"c6751"</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CCUPY_EXP" hidden="1">"c839"</definedName>
    <definedName name="IQ_OG_TOTAL_OIL_PRODUCTON" hidden="1">"c2059"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SAVINGS_DEPOSITS_FDIC" hidden="1">"c6554"</definedName>
    <definedName name="IQ_OTHER_TRANSACTIONS_FDIC" hidden="1">"c6504"</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DAY" hidden="1">"c1822"</definedName>
    <definedName name="IQ_PERCENT_CHANGE_EST_FFO_DAY_CIQ" hidden="1">"c3764"</definedName>
    <definedName name="IQ_PERCENT_CHANGE_EST_FFO_DAY_REUT" hidden="1">"c3933"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WEEK" hidden="1">"c1823"</definedName>
    <definedName name="IQ_PERCENT_CHANGE_EST_FFO_WEEK_CIQ" hidden="1">"c3795"</definedName>
    <definedName name="IQ_PERCENT_CHANGE_EST_FFO_WEEK_REUT" hidden="1">"c3964"</definedName>
    <definedName name="IQ_PERCENT_INSURED_FDIC" hidden="1">"c6374"</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EXP" hidden="1">"c1068"</definedName>
    <definedName name="IQ_PREPAID_EXPEN" hidden="1">"c1068"</definedName>
    <definedName name="IQ_PRETAX_RETURN_ASSETS_FDIC" hidden="1">"c6731"</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ALUATION_GAINS_FDIC" hidden="1">"c6428"</definedName>
    <definedName name="IQ_REVALUATION_LOSSES_FDIC" hidden="1">"c6429"</definedName>
    <definedName name="IQ_REVENUE" hidden="1">"c1122"</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DEBT_FDIC" hidden="1">"c6346"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ER_ONE_RATIO" hidden="1">"c1229"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RISK_BASED_CAPITAL_RATIO_FDIC" hidden="1">"c6747"</definedName>
    <definedName name="IQ_TOTAL_SECURITIES_FDIC" hidden="1">"c6306"</definedName>
    <definedName name="IQ_TOTAL_SPECIAL" hidden="1">"c1618"</definedName>
    <definedName name="IQ_TOTAL_ST_BORROW" hidden="1">"c1177"</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R" hidden="1">"c5517"</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ST_INC" hidden="1">"c1319"</definedName>
    <definedName name="IQ_TRUST_PREF" hidden="1">"c1320"</definedName>
    <definedName name="IQ_TWELVE_MONTHS_FIXED_AND_FLOATING_FDIC" hidden="1">"c6420"</definedName>
    <definedName name="IQ_TWELVE_MONTHS_MORTGAGE_PASS_THROUGHS_FDIC" hidden="1">"c6412"</definedName>
    <definedName name="IQ_UNDIVIDED_PROFITS_FDIC" hidden="1">"c6352"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PAID_CLAIMS" hidden="1">"c1330"</definedName>
    <definedName name="IQ_UNPROFITABLE_INSTITUTIONS_FDIC" hidden="1">"c6722"</definedName>
    <definedName name="IQ_UNREALIZED_GAIN" hidden="1">"c1619"</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AAP" hidden="1">"c1331"</definedName>
    <definedName name="IQ_US_TREASURY_SECURITIES_FDIC" hidden="1">"c6298"</definedName>
    <definedName name="IQ_UTIL_PPE_NET" hidden="1">"c1620"</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YEARHIGH" hidden="1">"c1337"</definedName>
    <definedName name="IQ_YEARLOW" hidden="1">"c1338"</definedName>
    <definedName name="IQ_YTD">3000</definedName>
    <definedName name="IQ_YTDMONTH" hidden="1">130000</definedName>
    <definedName name="IQ_Z_SCORE" hidden="1">"c1339"</definedName>
    <definedName name="IQB_BOOKMARK_COUNT" hidden="1">0</definedName>
    <definedName name="IQRB6" hidden="1">"$B$7:$B$26"</definedName>
    <definedName name="IQRC30" hidden="1">"$C$31:$C$50"</definedName>
    <definedName name="IQRC32" hidden="1">"$C$33:$C$52"</definedName>
    <definedName name="IQRC6" hidden="1">"$C$7:$C$26"</definedName>
    <definedName name="IQRI47" hidden="1">"$I$48:$I$52"</definedName>
    <definedName name="IQRI6" hidden="1">"$I$7:$I$26"</definedName>
    <definedName name="IQRJ47" hidden="1">"$J$48:$J$52"</definedName>
    <definedName name="IQRPayoutratioC21" hidden="1">#REF!</definedName>
    <definedName name="IQRSheet1Q13" hidden="1">[20]Input!#REF!</definedName>
    <definedName name="IQRSheet1R13" hidden="1">[20]Input!#REF!</definedName>
    <definedName name="iQShowHideColumns" hidden="1">"iQShowAll"</definedName>
    <definedName name="IsColHidden" hidden="1">FALSE</definedName>
    <definedName name="IsLTMColHidden" hidden="1">FALSE</definedName>
    <definedName name="j" hidden="1">{#N/A,#N/A,FALSE,"Aging Summary";#N/A,#N/A,FALSE,"Ratio Analysis";#N/A,#N/A,FALSE,"Test 120 Day Accts";#N/A,#N/A,FALSE,"Tickmarks"}</definedName>
    <definedName name="Jasmina" hidden="1">{#N/A,#N/A,TRUE,"Goal";#N/A,#N/A,TRUE,"About";#N/A,#N/A,TRUE,"Linking";#N/A,#N/A,TRUE,"Compliance";#N/A,#N/A,TRUE,"Competitive";#N/A,#N/A,TRUE,"Proactive";#N/A,#N/A,TRUE,"Challenging";#N/A,#N/A,TRUE,"Development"}</definedName>
    <definedName name="jfdkæau" hidden="1">{#N/A,#N/A,TRUE,"Goal";#N/A,#N/A,TRUE,"About";#N/A,#N/A,TRUE,"Linking";#N/A,#N/A,TRUE,"Compliance";#N/A,#N/A,TRUE,"Competitive";#N/A,#N/A,TRUE,"Proactive";#N/A,#N/A,TRUE,"Challenging";#N/A,#N/A,TRUE,"Development"}</definedName>
    <definedName name="jfælkdsau" hidden="1">{#N/A,#N/A,TRUE,"Goal";#N/A,#N/A,TRUE,"About";#N/A,#N/A,TRUE,"Linking";#N/A,#N/A,TRUE,"Compliance";#N/A,#N/A,TRUE,"Competitive";#N/A,#N/A,TRUE,"Proactive";#N/A,#N/A,TRUE,"Challenging";#N/A,#N/A,TRUE,"Development"}</definedName>
    <definedName name="jhgjhgjghj"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im" hidden="1">{"'Directory'!$A$72:$E$91"}</definedName>
    <definedName name="jimm" hidden="1">{"'Directory'!$A$72:$E$91"}</definedName>
    <definedName name="jj" hidden="1">{#N/A,#N/A,FALSE,"Aging Summary";#N/A,#N/A,FALSE,"Ratio Analysis";#N/A,#N/A,FALSE,"Test 120 Day Accts";#N/A,#N/A,FALSE,"Tickmarks"}</definedName>
    <definedName name="jklæfauekeø" hidden="1">{#N/A,#N/A,TRUE,"Goal";#N/A,#N/A,TRUE,"About";#N/A,#N/A,TRUE,"Linking";#N/A,#N/A,TRUE,"Compliance";#N/A,#N/A,TRUE,"Competitive";#N/A,#N/A,TRUE,"Proactive";#N/A,#N/A,TRUE,"Challenging";#N/A,#N/A,TRUE,"Development"}</definedName>
    <definedName name="jklæjhh" hidden="1">{#N/A,#N/A,TRUE,"Goal";#N/A,#N/A,TRUE,"About";#N/A,#N/A,TRUE,"Linking";#N/A,#N/A,TRUE,"Compliance";#N/A,#N/A,TRUE,"Competitive";#N/A,#N/A,TRUE,"Proactive";#N/A,#N/A,TRUE,"Challenging";#N/A,#N/A,TRUE,"Development"}</definedName>
    <definedName name="jklæjklæj" hidden="1">{#N/A,#N/A,TRUE,"Goal";#N/A,#N/A,TRUE,"About";#N/A,#N/A,TRUE,"Linking";#N/A,#N/A,TRUE,"Compliance";#N/A,#N/A,TRUE,"Competitive";#N/A,#N/A,TRUE,"Proactive";#N/A,#N/A,TRUE,"Challenging";#N/A,#N/A,TRUE,"Development"}</definedName>
    <definedName name="jklæjkæh" hidden="1">{#N/A,#N/A,TRUE,"Goal";#N/A,#N/A,TRUE,"About";#N/A,#N/A,TRUE,"Linking";#N/A,#N/A,TRUE,"Compliance";#N/A,#N/A,TRUE,"Competitive";#N/A,#N/A,TRUE,"Proactive";#N/A,#N/A,TRUE,"Challenging";#N/A,#N/A,TRUE,"Development"}</definedName>
    <definedName name="jkæh" hidden="1">{#N/A,#N/A,TRUE,"Goal";#N/A,#N/A,TRUE,"About";#N/A,#N/A,TRUE,"Linking";#N/A,#N/A,TRUE,"Compliance";#N/A,#N/A,TRUE,"Competitive";#N/A,#N/A,TRUE,"Proactive";#N/A,#N/A,TRUE,"Challenging";#N/A,#N/A,TRUE,"Development"}</definedName>
    <definedName name="jlkæjkh" hidden="1">{#N/A,#N/A,TRUE,"Goal";#N/A,#N/A,TRUE,"About";#N/A,#N/A,TRUE,"Linking";#N/A,#N/A,TRUE,"Compliance";#N/A,#N/A,TRUE,"Competitive";#N/A,#N/A,TRUE,"Proactive";#N/A,#N/A,TRUE,"Challenging";#N/A,#N/A,TRUE,"Development"}</definedName>
    <definedName name="JNPRpublish" hidden="1">{#N/A,#N/A,FALSE,"Index";"Stmts_Qtrs",#N/A,FALSE,"Summary";"Stmts_24 mo",#N/A,FALSE,"Summary";"Summary_24",#N/A,FALSE,"Revenue";"Month_24",#N/A,FALSE,"Engineering";"Month_24",#N/A,FALSE,"Marketing";"Month_24",#N/A,FALSE,"G &amp; A";"Month_24",#N/A,FALSE,"Manufacturing"}</definedName>
    <definedName name="jos" hidden="1">{"TITLE_PAGE",#N/A,FALSE,"MODEL";"DEP_SCHED",#N/A,FALSE,"MODEL";"DCF",#N/A,FALSE,"MODEL"}</definedName>
    <definedName name="kasjajas" hidden="1">{#N/A,#N/A,TRUE,"Goal";#N/A,#N/A,TRUE,"About";#N/A,#N/A,TRUE,"Linking";#N/A,#N/A,TRUE,"Compliance";#N/A,#N/A,TRUE,"Competitive";#N/A,#N/A,TRUE,"Proactive";#N/A,#N/A,TRUE,"Challenging";#N/A,#N/A,TRUE,"Development"}</definedName>
    <definedName name="khfvljmncflkz" hidden="1">{#N/A,#N/A,FALSE,"Aging Summary";#N/A,#N/A,FALSE,"Ratio Analysis";#N/A,#N/A,FALSE,"Test 120 Day Accts";#N/A,#N/A,FALSE,"Tickmarks"}</definedName>
    <definedName name="KIBS_DIMREP" hidden="1">" "</definedName>
    <definedName name="KIBSCASHFLOW" hidden="1">TRUE</definedName>
    <definedName name="kjdæfauenf" hidden="1">{#N/A,#N/A,TRUE,"Goal";#N/A,#N/A,TRUE,"About";#N/A,#N/A,TRUE,"Linking";#N/A,#N/A,TRUE,"Compliance";#N/A,#N/A,TRUE,"Competitive";#N/A,#N/A,TRUE,"Proactive";#N/A,#N/A,TRUE,"Challenging";#N/A,#N/A,TRUE,"Development"}</definedName>
    <definedName name="kkkkkkkkkkkkkkkkkkkk" hidden="1">{#N/A,#N/A,FALSE,"Aging Summary";#N/A,#N/A,FALSE,"Ratio Analysis";#N/A,#N/A,FALSE,"Test 120 Day Accts";#N/A,#N/A,FALSE,"Tickmarks"}</definedName>
    <definedName name="kljgthrstykuyj" hidden="1">{#N/A,#N/A,FALSE,"Aging Summary";#N/A,#N/A,FALSE,"Ratio Analysis";#N/A,#N/A,FALSE,"Test 120 Day Accts";#N/A,#N/A,FALSE,"Tickmarks"}</definedName>
    <definedName name="kljææl" hidden="1">{#N/A,#N/A,TRUE,"Goal";#N/A,#N/A,TRUE,"About";#N/A,#N/A,TRUE,"Linking";#N/A,#N/A,TRUE,"Compliance";#N/A,#N/A,TRUE,"Competitive";#N/A,#N/A,TRUE,"Proactive";#N/A,#N/A,TRUE,"Challenging";#N/A,#N/A,TRUE,"Development"}</definedName>
    <definedName name="klklklkl" hidden="1">{#N/A,#N/A,FALSE,"Index";"Stmts_Qtrs",#N/A,FALSE,"Summary";"Stmts_24 mo",#N/A,FALSE,"Summary";"Summary_24",#N/A,FALSE,"Revenue";"Month_24",#N/A,FALSE,"Engineering";"Month_24",#N/A,FALSE,"Marketing";"Month_24",#N/A,FALSE,"G &amp; A";"Month_24",#N/A,FALSE,"Manufacturing"}</definedName>
    <definedName name="klo" hidden="1">{#N/A,#N/A,FALSE,"Aging Summary";#N/A,#N/A,FALSE,"Ratio Analysis";#N/A,#N/A,FALSE,"Test 120 Day Accts";#N/A,#N/A,FALSE,"Tickmarks"}</definedName>
    <definedName name="klæøj" hidden="1">{#N/A,#N/A,TRUE,"Goal";#N/A,#N/A,TRUE,"About";#N/A,#N/A,TRUE,"Linking";#N/A,#N/A,TRUE,"Compliance";#N/A,#N/A,TRUE,"Competitive";#N/A,#N/A,TRUE,"Proactive";#N/A,#N/A,TRUE,"Challenging";#N/A,#N/A,TRUE,"Development"}</definedName>
    <definedName name="KONCERN" hidden="1">FALSE</definedName>
    <definedName name="ks" hidden="1">{#N/A,#N/A,FALSE,"Aging Summary";#N/A,#N/A,FALSE,"Ratio Analysis";#N/A,#N/A,FALSE,"Test 120 Day Accts";#N/A,#N/A,FALSE,"Tickmarks"}</definedName>
    <definedName name="kædifenhkjd" hidden="1">{#N/A,#N/A,TRUE,"Goal";#N/A,#N/A,TRUE,"About";#N/A,#N/A,TRUE,"Linking";#N/A,#N/A,TRUE,"Compliance";#N/A,#N/A,TRUE,"Competitive";#N/A,#N/A,TRUE,"Proactive";#N/A,#N/A,TRUE,"Challenging";#N/A,#N/A,TRUE,"Development"}</definedName>
    <definedName name="LargeNegative">-9999</definedName>
    <definedName name="lars" hidden="1">IF(COUNTA(#REF!)=0,0,INDEX(#REF!,MATCH(ROW(#REF!),#REF!,TRUE)))+1</definedName>
    <definedName name="List.Fordelingsnøgle">'2.1 Model setup'!$K$55:$K$62</definedName>
    <definedName name="List.HøjLav">'2.1 Model setup'!$K$50:$K$52</definedName>
    <definedName name="List.Last">'2.1 Model setup'!$K$65:$K$67</definedName>
    <definedName name="List.tarifeffekt">'2.1 Model setup'!$K$45:$K$47</definedName>
    <definedName name="List.YesNo">'2.1 Model setup'!$K$41:$K$42</definedName>
    <definedName name="lkjlkj" hidden="1">{"Final",#N/A,FALSE,"Feb-96"}</definedName>
    <definedName name="ll" hidden="1">{#N/A,#N/A,FALSE,"Aging Summary";#N/A,#N/A,FALSE,"Ratio Analysis";#N/A,#N/A,FALSE,"Test 120 Day Accts";#N/A,#N/A,FALSE,"Tickmarks"}</definedName>
    <definedName name="lllllll" hidden="1">{#N/A,#N/A,FALSE,"Aging Summary";#N/A,#N/A,FALSE,"Ratio Analysis";#N/A,#N/A,FALSE,"Test 120 Day Accts";#N/A,#N/A,FALSE,"Tickmarks"}</definedName>
    <definedName name="lllllllkll" hidden="1">{#N/A,#N/A,FALSE,"Aging Summary";#N/A,#N/A,FALSE,"Ratio Analysis";#N/A,#N/A,FALSE,"Test 120 Day Accts";#N/A,#N/A,FALSE,"Tickmarks"}</definedName>
    <definedName name="lost" hidden="1">'[4]Inputs and Calc'!$BG$241:$BK$241</definedName>
    <definedName name="m" hidden="1">{#N/A,#N/A,FALSE,"Aging Summary";#N/A,#N/A,FALSE,"Ratio Analysis";#N/A,#N/A,FALSE,"Test 120 Day Accts";#N/A,#N/A,FALSE,"Tickmarks"}</definedName>
    <definedName name="M_PlaceofPath" hidden="1">"\\SNYCEQT0100\HOME\LZURLO\DATA\TELMEX\Models\tmx_vdf.xls"</definedName>
    <definedName name="MANREP_KIBS" hidden="1">"MANREP_KIBS"</definedName>
    <definedName name="Millions">1000000</definedName>
    <definedName name="MiQ">3</definedName>
    <definedName name="MiY">12</definedName>
    <definedName name="mmm" hidden="1">{"orixcsc",#N/A,FALSE,"ORIX CSC";"orixcsc2",#N/A,FALSE,"ORIX CSC"}</definedName>
    <definedName name="mmmm" hidden="1">{"orixcsc",#N/A,FALSE,"ORIX CSC";"orixcsc2",#N/A,FALSE,"ORIX CSC"}</definedName>
    <definedName name="mmmmm" hidden="1">{"mgmt forecast",#N/A,FALSE,"Mgmt Forecast";"dcf table",#N/A,FALSE,"Mgmt Forecast";"sensitivity",#N/A,FALSE,"Mgmt Forecast";"table inputs",#N/A,FALSE,"Mgmt Forecast";"calculations",#N/A,FALSE,"Mgmt Forecast"}</definedName>
    <definedName name="mmmmmm" hidden="1">{#N/A,#N/A,FALSE,"Contribution Analysis"}</definedName>
    <definedName name="mmmmmmmhm" hidden="1">{"mgmt forecast",#N/A,FALSE,"Mgmt Forecast";"dcf table",#N/A,FALSE,"Mgmt Forecast";"sensitivity",#N/A,FALSE,"Mgmt Forecast";"table inputs",#N/A,FALSE,"Mgmt Forecast";"calculations",#N/A,FALSE,"Mgmt Forecast"}</definedName>
    <definedName name="mmmmmmmm" hidden="1">{#N/A,#N/A,FALSE,"ORIX CSC"}</definedName>
    <definedName name="mochmoch" hidden="1">{#N/A,#N/A,TRUE,"Goal";#N/A,#N/A,TRUE,"About";#N/A,#N/A,TRUE,"Linking";#N/A,#N/A,TRUE,"Compliance";#N/A,#N/A,TRUE,"Competitive";#N/A,#N/A,TRUE,"Proactive";#N/A,#N/A,TRUE,"Challenging";#N/A,#N/A,TRUE,"Development"}</definedName>
    <definedName name="Model.MaxChars">256</definedName>
    <definedName name="Model.TitleLocation">"B2"</definedName>
    <definedName name="Model.Units">'2.1 Model setup'!$N$19</definedName>
    <definedName name="Model.Units2">'2.1 Model setup'!$N$20</definedName>
    <definedName name="MONTH" hidden="1">"januar"</definedName>
    <definedName name="MONTHNUMBER" hidden="1">1</definedName>
    <definedName name="Months">12</definedName>
    <definedName name="MONTHVAT" hidden="1">TRUE</definedName>
    <definedName name="n" hidden="1">{#N/A,#N/A,FALSE,"Aging Summary";#N/A,#N/A,FALSE,"Ratio Analysis";#N/A,#N/A,FALSE,"Test 120 Day Accts";#N/A,#N/A,FALSE,"Tickmarks"}</definedName>
    <definedName name="newbel" hidden="1">{"'Directory'!$A$72:$E$91"}</definedName>
    <definedName name="newbls" hidden="1">{"'Directory'!$A$72:$E$91"}</definedName>
    <definedName name="NEWNAME" hidden="1">{"fdsup://directions/FAT Viewer?action=UPDATE&amp;creator=factset&amp;DYN_ARGS=TRUE&amp;DOC_NAME=FAT:FQL_AUDITING_CLIENT_TEMPLATE.FAT&amp;display_string=Audit&amp;VAR:KEY=ZUBCTCXMFE&amp;VAR:QUERY=RkZfRUJJVF9PUEVSKEFOTiwyMDA4LCwsLElDX0NVUlJFTkNZX0lTTygpLE0p&amp;WINDOW=FIRST_POPUP&amp;HEIGH","T=450&amp;WIDTH=450&amp;START_MAXIMIZED=FALSE&amp;VAR:CALENDAR=US&amp;VAR:SYMBOL=573282&amp;VAR:INDEX=0"}</definedName>
    <definedName name="newt" hidden="1">{"'Directory'!$A$72:$E$91"}</definedName>
    <definedName name="newwcom" hidden="1">{"'Directory'!$A$72:$E$91"}</definedName>
    <definedName name="nmnmm" hidden="1">{#N/A,#N/A,FALSE,"Index";"Stmts_Qtrs",#N/A,FALSE,"Summary";"Stmts_24 mo",#N/A,FALSE,"Summary";"Summary_24",#N/A,FALSE,"Revenue";"Month_24",#N/A,FALSE,"Engineering";"Month_24",#N/A,FALSE,"Marketing";"Month_24",#N/A,FALSE,"G &amp; A";"Month_24",#N/A,FALSE,"Manufacturing"}</definedName>
    <definedName name="nnnn" hidden="1">{#N/A,#N/A,FALSE,"Aging Summary";#N/A,#N/A,FALSE,"Ratio Analysis";#N/A,#N/A,FALSE,"Test 120 Day Accts";#N/A,#N/A,FALSE,"Tickmarks"}</definedName>
    <definedName name="No">'2.1 Model setup'!$K$42</definedName>
    <definedName name="NovoNorm" hidden="1">{#N/A,#N/A,TRUE,"Goal";#N/A,#N/A,TRUE,"About";#N/A,#N/A,TRUE,"Linking";#N/A,#N/A,TRUE,"Compliance";#N/A,#N/A,TRUE,"Competitive";#N/A,#N/A,TRUE,"Proactive";#N/A,#N/A,TRUE,"Challenging";#N/A,#N/A,TRUE,"Development"}</definedName>
    <definedName name="NUMBERFACTOR" hidden="1">1</definedName>
    <definedName name="o"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ONLYRES" hidden="1">TRUE</definedName>
    <definedName name="Output" hidden="1">{2861,2858,2843,2856,2850,2844,2860,2857,2863,2862,2868,2871,2875,2877,2869,2872,2866,2870,2873,2874,2876,2878,2571,2576,2573,2574,2575,2572,2847,2809,2842}</definedName>
    <definedName name="poi" hidden="1">{#N/A,#N/A,FALSE,"Aging Summary";#N/A,#N/A,FALSE,"Ratio Analysis";#N/A,#N/A,FALSE,"Test 120 Day Accts";#N/A,#N/A,FALSE,"Tickmarks"}</definedName>
    <definedName name="PROGNOSIS" hidden="1">"EST1704N"</definedName>
    <definedName name="påo" hidden="1">{"fdsup://Directions/FactSet Auditing Viewer?action=AUDIT_VALUE&amp;DB=129&amp;ID1=65542W10&amp;VALUEID=01001&amp;SDATE=2008&amp;PERIODTYPE=ANN_STD&amp;SCFT=3&amp;window=popup_no_bar&amp;width=385&amp;height=120&amp;START_MAXIMIZED=FALSE&amp;creator=factset&amp;display_string=Audit"}</definedName>
    <definedName name="qer" hidden="1">{"mgmt forecast",#N/A,FALSE,"Mgmt Forecast";"dcf table",#N/A,FALSE,"Mgmt Forecast";"sensitivity",#N/A,FALSE,"Mgmt Forecast";"table inputs",#N/A,FALSE,"Mgmt Forecast";"calculations",#N/A,FALSE,"Mgmt Forecast"}</definedName>
    <definedName name="QiY">4</definedName>
    <definedName name="qqq" hidden="1">{"fdsup://directions/FAT Viewer?action=UPDATE&amp;creator=factset&amp;DYN_ARGS=TRUE&amp;DOC_NAME=FAT:FQL_AUDITING_CLIENT_TEMPLATE.FAT&amp;display_string=Audit&amp;VAR:KEY=HSPGVMPQVU&amp;VAR:QUERY=RkZfRUJJVERBX09QRVIoQU5OLDIwMDksLCwsSUNfQ1VSUkVOQ1lfSVNPKCksTSk=&amp;WINDOW=FIRST_POPUP&amp;H","EIGHT=450&amp;WIDTH=450&amp;START_MAXIMIZED=FALSE&amp;VAR:CALENDAR=US&amp;VAR:SYMBOL=09057220&amp;VAR:INDEX=0"}</definedName>
    <definedName name="qqqqq" hidden="1">{#N/A,#N/A,FALSE,"Aging Summary";#N/A,#N/A,FALSE,"Ratio Analysis";#N/A,#N/A,FALSE,"Test 120 Day Accts";#N/A,#N/A,FALSE,"Tickmarks"}</definedName>
    <definedName name="QUATERVAT" hidden="1">FALSE</definedName>
    <definedName name="qwe" hidden="1">{#N/A,#N/A,FALSE,"Virgin Flightdeck"}</definedName>
    <definedName name="qweer" hidden="1">{"fdsup://Directions/FactSet Auditing Viewer?action=AUDIT_VALUE&amp;DB=129&amp;ID1=573282&amp;VALUEID=04831&amp;SDATE=2008&amp;PERIODTYPE=ANN_STD&amp;window=popup_no_bar&amp;width=385&amp;height=120&amp;START_MAXIMIZED=FALSE&amp;creator=factset&amp;display_string=Audit"}</definedName>
    <definedName name="qwerqew"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weq" hidden="1">{"fdsup://Directions/FactSet Auditing Viewer?action=AUDIT_VALUE&amp;DB=129&amp;ID1=573282&amp;VALUEID=05194&amp;SDATE=2010&amp;PERIODTYPE=ANNR_STD&amp;window=popup_no_bar&amp;width=385&amp;height=120&amp;START_MAXIMIZED=FALSE&amp;creator=factset&amp;display_string=Audit"}</definedName>
    <definedName name="Remo" hidden="1">#REF!</definedName>
    <definedName name="rere" hidden="1">{#N/A,#N/A,FALSE,"ORIX CSC"}</definedName>
    <definedName name="rerere" hidden="1">{"mgmt forecast",#N/A,FALSE,"Mgmt Forecast";"dcf table",#N/A,FALSE,"Mgmt Forecast";"sensitivity",#N/A,FALSE,"Mgmt Forecast";"table inputs",#N/A,FALSE,"Mgmt Forecast";"calculations",#N/A,FALSE,"Mgmt Forecast"}</definedName>
    <definedName name="rq" hidden="1">{#N/A,#N/A,FALSE,"Aging Summary";#N/A,#N/A,FALSE,"Ratio Analysis";#N/A,#N/A,FALSE,"Test 120 Day Accts";#N/A,#N/A,FALSE,"Tickmarks"}</definedName>
    <definedName name="RR" hidden="1">{#N/A,#N/A,FALSE,"Aging Summary";#N/A,#N/A,FALSE,"Ratio Analysis";#N/A,#N/A,FALSE,"Test 120 Day Accts";#N/A,#N/A,FALSE,"Tickmarks"}</definedName>
    <definedName name="RRR" hidden="1">{#N/A,#N/A,FALSE,"Aging Summary";#N/A,#N/A,FALSE,"Ratio Analysis";#N/A,#N/A,FALSE,"Test 120 Day Accts";#N/A,#N/A,FALSE,"Tickmarks"}</definedName>
    <definedName name="rrrr" hidden="1">{#N/A,#N/A,FALSE,"A"}</definedName>
    <definedName name="RRRRR" hidden="1">{#N/A,#N/A,FALSE,"Aging Summary";#N/A,#N/A,FALSE,"Ratio Analysis";#N/A,#N/A,FALSE,"Test 120 Day Accts";#N/A,#N/A,FALSE,"Tickmarks"}</definedName>
    <definedName name="rrrrrr" hidden="1">{#N/A,#N/A,FALSE,"Aging Summary";#N/A,#N/A,FALSE,"Ratio Analysis";#N/A,#N/A,FALSE,"Test 120 Day Accts";#N/A,#N/A,FALSE,"Tickmarks"}</definedName>
    <definedName name="RRRRRRRRRRRRRR" hidden="1">{#N/A,#N/A,FALSE,"Aging Summary";#N/A,#N/A,FALSE,"Ratio Analysis";#N/A,#N/A,FALSE,"Test 120 Day Accts";#N/A,#N/A,FALSE,"Tickmarks"}</definedName>
    <definedName name="rrrrrrrrrrrrrrrrrrrr" hidden="1">{#N/A,#N/A,FALSE,"Aging Summary";#N/A,#N/A,FALSE,"Ratio Analysis";#N/A,#N/A,FALSE,"Test 120 Day Accts";#N/A,#N/A,FALSE,"Tickmarks"}</definedName>
    <definedName name="rrrrrrrrrrrrrrrrrrrrrrrr" hidden="1">{#N/A,#N/A,FALSE,"Aging Summary";#N/A,#N/A,FALSE,"Ratio Analysis";#N/A,#N/A,FALSE,"Test 120 Day Accts";#N/A,#N/A,FALSE,"Tickmarks"}</definedName>
    <definedName name="s" hidden="1">{#N/A,#N/A,TRUE,"PROFIT V RF1";#N/A,#N/A,TRUE,"PROFIT V BUD";#N/A,#N/A,TRUE,"HISTORY";#N/A,#N/A,TRUE,"PROFIT K&amp;P";#N/A,#N/A,TRUE,"COUNTRY CHEF";#N/A,#N/A,TRUE,"BAL SHT";#N/A,#N/A,TRUE,"bal detail";#N/A,#N/A,TRUE,"EVA";#N/A,#N/A,TRUE,"FACT PROFIT";#N/A,#N/A,TRUE,"DRIFFIELD";#N/A,#N/A,TRUE,"ROTHERHAM";#N/A,#N/A,TRUE,"YARMOUTH";#N/A,#N/A,TRUE,"SELBY";#N/A,#N/A,TRUE,"SCUNTHORPE";#N/A,#N/A,TRUE,"EMPLOYEES";#N/A,#N/A,TRUE,"SUMMARY";#N/A,#N/A,TRUE,"POULTRY SALES";#N/A,#N/A,TRUE,"SEAFOOD SALES";#N/A,#N/A,TRUE,"POTATO SALES";#N/A,#N/A,TRUE,"SALES GRAPH";#N/A,#N/A,TRUE,"ASDA";#N/A,#N/A,TRUE,"JS";#N/A,#N/A,TRUE,"TESCO";#N/A,#N/A,TRUE,"M&amp;S";#N/A,#N/A,TRUE,"OTHER RETAIL";#N/A,#N/A,TRUE,"FOODSERVICE";#N/A,#N/A,TRUE,"EXPORT";#N/A,#N/A,TRUE,"SUMMARY LY";#N/A,#N/A,TRUE,"POULTRY LY";#N/A,#N/A,TRUE,"SEAFOOD LY";#N/A,#N/A,TRUE,"POTATO LY"}</definedName>
    <definedName name="sadasd" hidden="1">{#N/A,#N/A,TRUE,"Goal";#N/A,#N/A,TRUE,"About";#N/A,#N/A,TRUE,"Linking";#N/A,#N/A,TRUE,"Compliance";#N/A,#N/A,TRUE,"Competitive";#N/A,#N/A,TRUE,"Proactive";#N/A,#N/A,TRUE,"Challenging";#N/A,#N/A,TRUE,"Development"}</definedName>
    <definedName name="sadf" hidden="1">{"mgmt forecast",#N/A,FALSE,"Mgmt Forecast";"dcf table",#N/A,FALSE,"Mgmt Forecast";"sensitivity",#N/A,FALSE,"Mgmt Forecast";"table inputs",#N/A,FALSE,"Mgmt Forecast";"calculations",#N/A,FALSE,"Mgmt Forecast"}</definedName>
    <definedName name="safsfefer" hidden="1">{#N/A,#N/A,TRUE,"Goal";#N/A,#N/A,TRUE,"About";#N/A,#N/A,TRUE,"Linking";#N/A,#N/A,TRUE,"Compliance";#N/A,#N/A,TRUE,"Competitive";#N/A,#N/A,TRUE,"Proactive";#N/A,#N/A,TRUE,"Challenging";#N/A,#N/A,TRUE,"Development"}</definedName>
    <definedName name="saheet1" hidden="1">{#N/A,#N/A,TRUE,"Goal";#N/A,#N/A,TRUE,"About";#N/A,#N/A,TRUE,"Linking";#N/A,#N/A,TRUE,"Compliance";#N/A,#N/A,TRUE,"Competitive";#N/A,#N/A,TRUE,"Proactive";#N/A,#N/A,TRUE,"Challenging";#N/A,#N/A,TRUE,"Development"}</definedName>
    <definedName name="SAPBEXdnldView" hidden="1">"4D78X9HFI84EKC11Y11AQ7XG8"</definedName>
    <definedName name="SAPBEXrevision" hidden="1">18</definedName>
    <definedName name="SAPBEXsysID" hidden="1">"BWG"</definedName>
    <definedName name="SAPBEXwbID" hidden="1">"3LG2HDNOMZXXPT5GCGTKWGJ0B"</definedName>
    <definedName name="SAPFuncF4Help" localSheetId="5" hidden="1">Main.SAPF4Help()</definedName>
    <definedName name="SAPFuncF4Help" localSheetId="6" hidden="1">Main.SAPF4Help()</definedName>
    <definedName name="SAPFuncF4Help" localSheetId="7" hidden="1">Main.SAPF4Help()</definedName>
    <definedName name="SAPFuncF4Help" localSheetId="8" hidden="1">Main.SAPF4Help()</definedName>
    <definedName name="SAPFuncF4Help" localSheetId="9" hidden="1">Main.SAPF4Help()</definedName>
    <definedName name="SAPFuncF4Help" localSheetId="10" hidden="1">Main.SAPF4Help()</definedName>
    <definedName name="SAPFuncF4Help" localSheetId="13" hidden="1">Main.SAPF4Help()</definedName>
    <definedName name="SAPFuncF4Help" localSheetId="15" hidden="1">Main.SAPF4Help()</definedName>
    <definedName name="SAPFuncF4Help" localSheetId="17" hidden="1">Main.SAPF4Help()</definedName>
    <definedName name="SAPFuncF4Help" localSheetId="18" hidden="1">Main.SAPF4Help()</definedName>
    <definedName name="SAPFuncF4Help" localSheetId="19" hidden="1">Main.SAPF4Help()</definedName>
    <definedName name="SAPFuncF4Help" localSheetId="20" hidden="1">Main.SAPF4Help()</definedName>
    <definedName name="SAPFuncF4Help" localSheetId="21" hidden="1">Main.SAPF4Help()</definedName>
    <definedName name="SAPFuncF4Help" localSheetId="22" hidden="1">Main.SAPF4Help()</definedName>
    <definedName name="SAPFuncF4Help" localSheetId="0" hidden="1">Main.SAPF4Help()</definedName>
    <definedName name="SAPFuncF4Help" localSheetId="23" hidden="1">Main.SAPF4Help()</definedName>
    <definedName name="SAPFuncF4Help" localSheetId="25" hidden="1">Main.SAPF4Help()</definedName>
    <definedName name="SAPFuncF4Help" localSheetId="24" hidden="1">Main.SAPF4Help()</definedName>
    <definedName name="SAPFuncF4Help" localSheetId="4" hidden="1">Main.SAPF4Help()</definedName>
    <definedName name="SAPFuncF4Help" localSheetId="3" hidden="1">Main.SAPF4Help()</definedName>
    <definedName name="SAPFuncF4Help" hidden="1">Main.SAPF4Help()</definedName>
    <definedName name="sasd" hidden="1">{"fdsup://directions/FAT Viewer?action=UPDATE&amp;creator=factset&amp;DYN_ARGS=TRUE&amp;DOC_NAME=FAT:FQL_AUDITING_CLIENT_TEMPLATE.FAT&amp;display_string=Audit&amp;VAR:KEY=VUTMNOVKFM&amp;VAR:QUERY=RkZfRUJJVF9PUEVSKEFOTiwyMDA5LCwsLElDX0NVUlJFTkNZX0lTTygpLE0p&amp;WINDOW=FIRST_POPUP&amp;HEIGH","T=450&amp;WIDTH=450&amp;START_MAXIMIZED=FALSE&amp;VAR:CALENDAR=US&amp;VAR:SYMBOL=09057220&amp;VAR:INDEX=0"}</definedName>
    <definedName name="sasfds" hidden="1">{#N/A,#N/A,TRUE,"Goal";#N/A,#N/A,TRUE,"About";#N/A,#N/A,TRUE,"Linking";#N/A,#N/A,TRUE,"Compliance";#N/A,#N/A,TRUE,"Competitive";#N/A,#N/A,TRUE,"Proactive";#N/A,#N/A,TRUE,"Challenging";#N/A,#N/A,TRUE,"Development"}</definedName>
    <definedName name="sdager" hidden="1">{#N/A,#N/A,TRUE,"Goal";#N/A,#N/A,TRUE,"About";#N/A,#N/A,TRUE,"Linking";#N/A,#N/A,TRUE,"Compliance";#N/A,#N/A,TRUE,"Competitive";#N/A,#N/A,TRUE,"Proactive";#N/A,#N/A,TRUE,"Challenging";#N/A,#N/A,TRUE,"Development"}</definedName>
    <definedName name="sdf" hidden="1">{#N/A,#N/A,FALSE,"ORIX CSC"}</definedName>
    <definedName name="sdfa" hidden="1">{#N/A,#N/A,TRUE,"Goal";#N/A,#N/A,TRUE,"About";#N/A,#N/A,TRUE,"Linking";#N/A,#N/A,TRUE,"Compliance";#N/A,#N/A,TRUE,"Competitive";#N/A,#N/A,TRUE,"Proactive";#N/A,#N/A,TRUE,"Challenging";#N/A,#N/A,TRUE,"Development"}</definedName>
    <definedName name="sdfadf" hidden="1">{#N/A,#N/A,TRUE,"Goal";#N/A,#N/A,TRUE,"About";#N/A,#N/A,TRUE,"Linking";#N/A,#N/A,TRUE,"Compliance";#N/A,#N/A,TRUE,"Competitive";#N/A,#N/A,TRUE,"Proactive";#N/A,#N/A,TRUE,"Challenging";#N/A,#N/A,TRUE,"Development"}</definedName>
    <definedName name="sdfkaæludsfan" hidden="1">{#N/A,#N/A,TRUE,"Goal";#N/A,#N/A,TRUE,"About";#N/A,#N/A,TRUE,"Linking";#N/A,#N/A,TRUE,"Compliance";#N/A,#N/A,TRUE,"Competitive";#N/A,#N/A,TRUE,"Proactive";#N/A,#N/A,TRUE,"Challenging";#N/A,#N/A,TRUE,"Development"}</definedName>
    <definedName name="sdfsdfsdfsdfs" hidden="1">{#N/A,#N/A,TRUE,"Goal";#N/A,#N/A,TRUE,"About";#N/A,#N/A,TRUE,"Linking";#N/A,#N/A,TRUE,"Compliance";#N/A,#N/A,TRUE,"Competitive";#N/A,#N/A,TRUE,"Proactive";#N/A,#N/A,TRUE,"Challenging";#N/A,#N/A,TRUE,"Development"}</definedName>
    <definedName name="sdg" hidden="1">{#N/A,#N/A,TRUE,"Goal";#N/A,#N/A,TRUE,"About";#N/A,#N/A,TRUE,"Linking";#N/A,#N/A,TRUE,"Compliance";#N/A,#N/A,TRUE,"Competitive";#N/A,#N/A,TRUE,"Proactive";#N/A,#N/A,TRUE,"Challenging";#N/A,#N/A,TRUE,"Development"}</definedName>
    <definedName name="sdqsda" hidden="1">{#N/A,#N/A,TRUE,"Goal";#N/A,#N/A,TRUE,"About";#N/A,#N/A,TRUE,"Linking";#N/A,#N/A,TRUE,"Compliance";#N/A,#N/A,TRUE,"Competitive";#N/A,#N/A,TRUE,"Proactive";#N/A,#N/A,TRUE,"Challenging";#N/A,#N/A,TRUE,"Development"}</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sd" hidden="1">{#N/A,#N/A,FALSE,"1996PL";#N/A,#N/A,FALSE,"1997PL";#N/A,#N/A,FALSE,"1998PL";#N/A,#N/A,FALSE,"1999PL"}</definedName>
    <definedName name="sdssss" hidden="1">{#N/A,#N/A,FALSE,"1996PL";#N/A,#N/A,FALSE,"1997PL";#N/A,#N/A,FALSE,"1998PL";#N/A,#N/A,FALSE,"1999PL"}</definedName>
    <definedName name="sencount" hidden="1">1</definedName>
    <definedName name="sfdsafda" hidden="1">{#N/A,#N/A,TRUE,"Goal";#N/A,#N/A,TRUE,"About";#N/A,#N/A,TRUE,"Linking";#N/A,#N/A,TRUE,"Compliance";#N/A,#N/A,TRUE,"Competitive";#N/A,#N/A,TRUE,"Proactive";#N/A,#N/A,TRUE,"Challenging";#N/A,#N/A,TRUE,"Development"}</definedName>
    <definedName name="sheet" hidden="1">{"orixcsc",#N/A,FALSE,"ORIX CSC";"orixcsc2",#N/A,FALSE,"ORIX CSC"}</definedName>
    <definedName name="shit" hidden="1">{#N/A,#N/A,FALSE,"Aging Summary";#N/A,#N/A,FALSE,"Ratio Analysis";#N/A,#N/A,FALSE,"Test 120 Day Accts";#N/A,#N/A,FALSE,"Tickmarks"}</definedName>
    <definedName name="shit1" hidden="1">{#N/A,#N/A,FALSE,"Aging Summary";#N/A,#N/A,FALSE,"Ratio Analysis";#N/A,#N/A,FALSE,"Test 120 Day Accts";#N/A,#N/A,FALSE,"Tickmarks"}</definedName>
    <definedName name="shit11" hidden="1">{#N/A,#N/A,FALSE,"Aging Summary";#N/A,#N/A,FALSE,"Ratio Analysis";#N/A,#N/A,FALSE,"Test 120 Day Accts";#N/A,#N/A,FALSE,"Tickmarks"}</definedName>
    <definedName name="shit2" hidden="1">{#N/A,#N/A,FALSE,"Aging Summary";#N/A,#N/A,FALSE,"Ratio Analysis";#N/A,#N/A,FALSE,"Test 120 Day Accts";#N/A,#N/A,FALSE,"Tickmarks"}</definedName>
    <definedName name="shit3" hidden="1">{#N/A,#N/A,FALSE,"Aging Summary";#N/A,#N/A,FALSE,"Ratio Analysis";#N/A,#N/A,FALSE,"Test 120 Day Accts";#N/A,#N/A,FALSE,"Tickmarks"}</definedName>
    <definedName name="shit5" hidden="1">{#N/A,#N/A,FALSE,"Aging Summary";#N/A,#N/A,FALSE,"Ratio Analysis";#N/A,#N/A,FALSE,"Test 120 Day Accts";#N/A,#N/A,FALSE,"Tickmarks"}</definedName>
    <definedName name="SimpleXx" hidden="1">{#N/A,#N/A,TRUE,"Goal";#N/A,#N/A,TRUE,"About";#N/A,#N/A,TRUE,"Linking";#N/A,#N/A,TRUE,"Compliance";#N/A,#N/A,TRUE,"Competitive";#N/A,#N/A,TRUE,"Proactive";#N/A,#N/A,TRUE,"Challenging";#N/A,#N/A,TRUE,"Development"}</definedName>
    <definedName name="skælskør" hidden="1">{#N/A,#N/A,TRUE,"SUMMARY F";#N/A,#N/A,TRUE,"ASDA F";#N/A,#N/A,TRUE,"FARMFOODS F";#N/A,#N/A,TRUE,"JS F";#N/A,#N/A,TRUE,"MORRISONS F";#N/A,#N/A,TRUE,"TESCO F";#N/A,#N/A,TRUE,"MS F";#N/A,#N/A,TRUE,"ICELAND F";#N/A,#N/A,TRUE,"KWIKSAVE F";#N/A,#N/A,TRUE,"OTHER RETAIL F";#N/A,#N/A,TRUE,"BK F";#N/A,#N/A,TRUE,"KFC F";#N/A,#N/A,TRUE,"OTHER FOODSERVICE F";#N/A,#N/A,TRUE,"EXPORT F"}</definedName>
    <definedName name="Smlouvy" hidden="1">{"celkový rozpočet - detail",#N/A,FALSE,"Aktualizace č. 1"}</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2</definedName>
    <definedName name="solver_nwt" hidden="1">1</definedName>
    <definedName name="solver_pre" hidden="1">0.1</definedName>
    <definedName name="solver_rel1" hidden="1">2</definedName>
    <definedName name="solver_rel2" hidden="1">2</definedName>
    <definedName name="solver_rhs1" hidden="1">7</definedName>
    <definedName name="solver_rhs2" hidden="1">7</definedName>
    <definedName name="solver_scl" hidden="1">2</definedName>
    <definedName name="solver_sho" hidden="1">2</definedName>
    <definedName name="solver_tim" hidden="1">100</definedName>
    <definedName name="solver_tol" hidden="1">0.1</definedName>
    <definedName name="solver_typ" hidden="1">3</definedName>
    <definedName name="solver_val" hidden="1">7</definedName>
    <definedName name="ss" hidden="1">{"fdsup://Directions/FactSet Auditing Viewer?action=AUDIT_VALUE&amp;DB=129&amp;ID1=573282&amp;VALUEID=01250&amp;SDATE=2008&amp;PERIODTYPE=ANN_STD&amp;window=popup_no_bar&amp;width=385&amp;height=120&amp;START_MAXIMIZED=FALSE&amp;creator=factset&amp;display_string=Audit"}</definedName>
    <definedName name="ssdf" hidden="1">{#N/A,#N/A,TRUE,"Goal";#N/A,#N/A,TRUE,"About";#N/A,#N/A,TRUE,"Linking";#N/A,#N/A,TRUE,"Compliance";#N/A,#N/A,TRUE,"Competitive";#N/A,#N/A,TRUE,"Proactive";#N/A,#N/A,TRUE,"Challenging";#N/A,#N/A,TRUE,"Development"}</definedName>
    <definedName name="sss" hidden="1">{"mgmt forecast",#N/A,FALSE,"Mgmt Forecast";"dcf table",#N/A,FALSE,"Mgmt Forecast";"sensitivity",#N/A,FALSE,"Mgmt Forecast";"table inputs",#N/A,FALSE,"Mgmt Forecast";"calculations",#N/A,FALSE,"Mgmt Forecast"}</definedName>
    <definedName name="SSSa" hidden="1">{#N/A,#N/A,TRUE,"Goal";#N/A,#N/A,TRUE,"About";#N/A,#N/A,TRUE,"Linking";#N/A,#N/A,TRUE,"Compliance";#N/A,#N/A,TRUE,"Competitive";#N/A,#N/A,TRUE,"Proactive";#N/A,#N/A,TRUE,"Challenging";#N/A,#N/A,TRUE,"Development"}</definedName>
    <definedName name="sssssssssssssss" hidden="1">{#N/A,#N/A,FALSE,"Aging Summary";#N/A,#N/A,FALSE,"Ratio Analysis";#N/A,#N/A,FALSE,"Test 120 Day Accts";#N/A,#N/A,FALSE,"Tickmarks"}</definedName>
    <definedName name="STARTDATE" hidden="1">" "</definedName>
    <definedName name="STARTDATEYTD" hidden="1">" "</definedName>
    <definedName name="Stefan" hidden="1">{#N/A,#N/A,TRUE,"Goal";#N/A,#N/A,TRUE,"About";#N/A,#N/A,TRUE,"Linking";#N/A,#N/A,TRUE,"Compliance";#N/A,#N/A,TRUE,"Competitive";#N/A,#N/A,TRUE,"Proactive";#N/A,#N/A,TRUE,"Challenging";#N/A,#N/A,TRUE,"Development"}</definedName>
    <definedName name="Stefan1" hidden="1">{#N/A,#N/A,TRUE,"Goal";#N/A,#N/A,TRUE,"About";#N/A,#N/A,TRUE,"Linking";#N/A,#N/A,TRUE,"Compliance";#N/A,#N/A,TRUE,"Competitive";#N/A,#N/A,TRUE,"Proactive";#N/A,#N/A,TRUE,"Challenging";#N/A,#N/A,TRUE,"Development"}</definedName>
    <definedName name="summary310103" hidden="1">{#N/A,#N/A,FALSE,"Aging Summary";#N/A,#N/A,FALSE,"Ratio Analysis";#N/A,#N/A,FALSE,"Test 120 Day Accts";#N/A,#N/A,FALSE,"Tickmarks"}</definedName>
    <definedName name="T" hidden="1">{#N/A,#N/A,FALSE,"Aging Summary";#N/A,#N/A,FALSE,"Ratio Analysis";#N/A,#N/A,FALSE,"Test 120 Day Accts";#N/A,#N/A,FALSE,"Tickmarks"}</definedName>
    <definedName name="tDKKtilDKK">'2.1 Model setup'!$N$32</definedName>
    <definedName name="tDKKtiløre">'2.1 Model setup'!$N$33</definedName>
    <definedName name="temp" hidden="1">{"contributory1",#N/A,FALSE,"Contributory Assets Detail";"contributory2",#N/A,FALSE,"Contributory Assets Detail"}</definedName>
    <definedName name="TEMP1" hidden="1">{"contributory1",#N/A,FALSE,"Contributory Assets Detail";"contributory2",#N/A,FALSE,"Contributory Assets Detail"}</definedName>
    <definedName name="TEMPLATE" hidden="1">"ManagementReport"</definedName>
    <definedName name="test" hidden="1">{"'Daten'!$A$3:$J$9"}</definedName>
    <definedName name="test2" hidden="1">{"'Daten'!$A$3:$J$9"}</definedName>
    <definedName name="TextRefCopyRangeCount" hidden="1">38</definedName>
    <definedName name="Thousands">1000</definedName>
    <definedName name="TR_DSO_update" hidden="1">{#N/A,#N/A,TRUE,"Goal";#N/A,#N/A,TRUE,"About";#N/A,#N/A,TRUE,"Linking";#N/A,#N/A,TRUE,"Compliance";#N/A,#N/A,TRUE,"Competitive";#N/A,#N/A,TRUE,"Proactive";#N/A,#N/A,TRUE,"Challenging";#N/A,#N/A,TRUE,"Development"}</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 hidden="1">{#N/A,#N/A,FALSE,"Aging Summary";#N/A,#N/A,FALSE,"Ratio Analysis";#N/A,#N/A,FALSE,"Test 120 Day Accts";#N/A,#N/A,FALSE,"Tickmarks"}</definedName>
    <definedName name="ttttttttttttttttt" hidden="1">{#N/A,#N/A,FALSE,"Aging Summary";#N/A,#N/A,FALSE,"Ratio Analysis";#N/A,#N/A,FALSE,"Test 120 Day Accts";#N/A,#N/A,FALSE,"Tickmarks"}</definedName>
    <definedName name="_xlnm.Print_Area" localSheetId="6">'1.1 Provenu'!$A$1:$Y$254</definedName>
    <definedName name="_xlnm.Print_Area" localSheetId="7">'1.2 Tarifoversigt'!$A$1:$AC$52</definedName>
    <definedName name="_xlnm.Print_Area" localSheetId="8">'1.3 Varslingsanalyse'!$A$1:$AO$40,'1.3 Varslingsanalyse'!$A$41:$V$103</definedName>
    <definedName name="_xlnm.Print_Area" localSheetId="9">'1.4 Hoveddata'!$A$1:$X$50</definedName>
    <definedName name="_xlnm.Print_Area" localSheetId="10">'1.5 Indfødningstarif'!$A$1:$X$64</definedName>
    <definedName name="_xlnm.Print_Area" localSheetId="12">'2.1 Model setup'!$A$1:$R$149</definedName>
    <definedName name="_xlnm.Print_Area" localSheetId="2">Disclaimer!$A$1:$N$21</definedName>
    <definedName name="_xlnm.Print_Area" localSheetId="1">Modeloverblik!$A$1:$AD$104</definedName>
    <definedName name="_xlnm.Print_Area" localSheetId="4">'Opdateringslog, Green Power Den'!$A$1:$Q$68</definedName>
    <definedName name="_xlnm.Print_Area" localSheetId="3">'Opdateringslog, netselskab'!$A$1:$P$68</definedName>
    <definedName name="_xlnm.Print_Titles" localSheetId="6">'1.1 Provenu'!$1:$11</definedName>
    <definedName name="_xlnm.Print_Titles" localSheetId="7">'1.2 Tarifoversigt'!$1:$11</definedName>
    <definedName name="_xlnm.Print_Titles" localSheetId="8">'1.3 Varslingsanalyse'!$A:$N,'1.3 Varslingsanalyse'!$1:$10</definedName>
    <definedName name="_xlnm.Print_Titles" localSheetId="9">'1.4 Hoveddata'!$1:$11</definedName>
    <definedName name="_xlnm.Print_Titles" localSheetId="10">'1.5 Indfødningstarif'!$1:$11</definedName>
    <definedName name="_xlnm.Print_Titles" localSheetId="12">'2.1 Model setup'!$1:$11</definedName>
    <definedName name="_xlnm.Print_Titles" localSheetId="13">'2.2 Generelle input'!$1:$11</definedName>
    <definedName name="_xlnm.Print_Titles" localSheetId="14">'2.3 Selskabsspecifikke input'!$1:$24</definedName>
    <definedName name="_xlnm.Print_Titles" localSheetId="16">'3.1 Opsplitning af forbrug'!$1:$11</definedName>
    <definedName name="_xlnm.Print_Titles" localSheetId="17">'3.2 Abonnement'!$1:$11</definedName>
    <definedName name="_xlnm.Print_Titles" localSheetId="18">'3.3 Forbrugstariffer og effekt'!$1:$11</definedName>
    <definedName name="_xlnm.Print_Titles" localSheetId="19">'3.4 Tidsdifferentieret tarif'!$1:$11</definedName>
    <definedName name="_xlnm.Print_Titles" localSheetId="20">'3.5 Indfødningstarif'!$1:$11</definedName>
    <definedName name="_xlnm.Print_Titles" localSheetId="22">'4.1 Fejl- og kontroloversigt'!$1:$11</definedName>
    <definedName name="_xlnm.Print_Titles" localSheetId="25">'Hjælpeark, fall-back-metoden'!$1:$11</definedName>
    <definedName name="_xlnm.Print_Titles" localSheetId="24">'Hjælpeark, forbrugsnøgler'!$1:$11</definedName>
    <definedName name="uiiii" hidden="1">{#N/A,#N/A,FALSE,"ORIX CSC"}</definedName>
    <definedName name="uio" hidden="1">{"mgmt forecast",#N/A,FALSE,"Mgmt Forecast";"dcf table",#N/A,FALSE,"Mgmt Forecast";"sensitivity",#N/A,FALSE,"Mgmt Forecast";"table inputs",#N/A,FALSE,"Mgmt Forecast";"calculations",#N/A,FALSE,"Mgmt Forecast"}</definedName>
    <definedName name="UPDATEACT" hidden="1">TRUE</definedName>
    <definedName name="UPDATEADHOC" hidden="1">FALSE</definedName>
    <definedName name="UPDATEBUD" hidden="1">TRUE</definedName>
    <definedName name="UPDATELY" hidden="1">TRUE</definedName>
    <definedName name="UPDATEPRG" hidden="1">TRUE</definedName>
    <definedName name="USEQUANTITY" hidden="1">FALSE</definedName>
    <definedName name="uytry" hidden="1">{"mgmt forecast",#N/A,FALSE,"Mgmt Forecast";"dcf table",#N/A,FALSE,"Mgmt Forecast";"sensitivity",#N/A,FALSE,"Mgmt Forecast";"table inputs",#N/A,FALSE,"Mgmt Forecast";"calculations",#N/A,FALSE,"Mgmt Forecast"}</definedName>
    <definedName name="Valuation" hidden="1">{"TITLE_PAGE",#N/A,FALSE,"MODEL";"DEP_SCHED",#N/A,FALSE,"MODEL";"DCF",#N/A,FALSE,"MODEL"}</definedName>
    <definedName name="VCONSOLID" hidden="1">TRUE</definedName>
    <definedName name="Ver" hidden="1">{#N/A,#N/A,FALSE,"Aging Summary";#N/A,#N/A,FALSE,"Ratio Analysis";#N/A,#N/A,FALSE,"Test 120 Day Accts";#N/A,#N/A,FALSE,"Tickmarks"}</definedName>
    <definedName name="verg" hidden="1">{#N/A,#N/A,FALSE,"1996PL";#N/A,#N/A,FALSE,"1997PL";#N/A,#N/A,FALSE,"1998PL";#N/A,#N/A,FALSE,"1999PL"}</definedName>
    <definedName name="VEXPORT" hidden="1">TRUE</definedName>
    <definedName name="vv" hidden="1">{"orixcsc",#N/A,FALSE,"ORIX CSC";"orixcsc2",#N/A,FALSE,"ORIX CSC"}</definedName>
    <definedName name="Waterfall_NEW" hidden="1">'[21]Half&amp;Half Page'!$A:$IV</definedName>
    <definedName name="weraw"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JFINAL" hidden="1">{"TITLE_PAGE",#N/A,FALSE,"MODEL";"DEP_SCHED",#N/A,FALSE,"MODEL";"DCF",#N/A,FALSE,"MODEL"}</definedName>
    <definedName name="wrn" hidden="1">{#N/A,#N/A,TRUE,"SUMMARY F";#N/A,#N/A,TRUE,"ASDA F";#N/A,#N/A,TRUE,"FARMFOODS F";#N/A,#N/A,TRUE,"JS F";#N/A,#N/A,TRUE,"MORRISONS F";#N/A,#N/A,TRUE,"TESCO F";#N/A,#N/A,TRUE,"MS F";#N/A,#N/A,TRUE,"ICELAND F";#N/A,#N/A,TRUE,"KWIKSAVE F";#N/A,#N/A,TRUE,"OTHER RETAIL F";#N/A,#N/A,TRUE,"BK F";#N/A,#N/A,TRUE,"KFC F";#N/A,#N/A,TRUE,"OTHER FOODSERVICE F";#N/A,#N/A,TRUE,"EXPORT F"}</definedName>
    <definedName name="wrn.10yp._.balance._.sheet." hidden="1">{"10yp balance sheet",#N/A,FALSE,"Celtel alternative 6"}</definedName>
    <definedName name="wrn.10yp._.capex." hidden="1">{"10yp capex",#N/A,FALSE,"Celtel alternative 6"}</definedName>
    <definedName name="wrn.10yp._.customers." hidden="1">{"10yp customers",#N/A,FALSE,"Celtel alternative 6"}</definedName>
    <definedName name="wrn.10yp._.graphs." hidden="1">{"10yp graphs",#N/A,FALSE,"Market Data"}</definedName>
    <definedName name="wrn.10yp._.key._.data." hidden="1">{"10yp key data",#N/A,FALSE,"Market Data"}</definedName>
    <definedName name="wrn.10yp._.profit._.and._.loss." hidden="1">{"10yp profit and loss",#N/A,FALSE,"Celtel alternative 6"}</definedName>
    <definedName name="wrn.10yp._.tariffs." hidden="1">{"10yp tariffs",#N/A,FALSE,"Celtel alternative 6"}</definedName>
    <definedName name="wrn.ACCOUNTS._.PACK." hidden="1">{#N/A,#N/A,TRUE,"PROFIT V RF1";#N/A,#N/A,TRUE,"PROFIT V BUD";#N/A,#N/A,TRUE,"HISTORY";#N/A,#N/A,TRUE,"PROFIT K&amp;P";#N/A,#N/A,TRUE,"COUNTRY CHEF";#N/A,#N/A,TRUE,"BAL SHT";#N/A,#N/A,TRUE,"bal detail";#N/A,#N/A,TRUE,"EVA";#N/A,#N/A,TRUE,"FACT PROFIT";#N/A,#N/A,TRUE,"DRIFFIELD";#N/A,#N/A,TRUE,"ROTHERHAM";#N/A,#N/A,TRUE,"YARMOUTH";#N/A,#N/A,TRUE,"SELBY";#N/A,#N/A,TRUE,"SCUNTHORPE";#N/A,#N/A,TRUE,"EMPLOYEES";#N/A,#N/A,TRUE,"SUMMARY";#N/A,#N/A,TRUE,"POULTRY SALES";#N/A,#N/A,TRUE,"SEAFOOD SALES";#N/A,#N/A,TRUE,"POTATO SALES";#N/A,#N/A,TRUE,"SALES GRAPH";#N/A,#N/A,TRUE,"ASDA";#N/A,#N/A,TRUE,"JS";#N/A,#N/A,TRUE,"TESCO";#N/A,#N/A,TRUE,"M&amp;S";#N/A,#N/A,TRUE,"OTHER RETAIL";#N/A,#N/A,TRUE,"FOODSERVICE";#N/A,#N/A,TRUE,"EXPORT";#N/A,#N/A,TRUE,"SUMMARY LY";#N/A,#N/A,TRUE,"POULTRY LY";#N/A,#N/A,TRUE,"SEAFOOD LY";#N/A,#N/A,TRUE,"POTATO LY"}</definedName>
    <definedName name="wrn.AcqState."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sition_Divestment._.file." hidden="1">{#N/A,#N/A,FALSE,"INPUT Opening_Closing BS";#N/A,#N/A,FALSE,"M8 ACTUAL";#N/A,#N/A,FALSE,"M8 LE"}</definedName>
    <definedName name="wrn.AcqVal." hidden="1">{#N/A,#N/A,FALSE,"Acq-Val";#N/A,#N/A,FALSE,"Acq-Mult Val"}</definedName>
    <definedName name="wrn.Aging"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LL." hidden="1">{#N/A,#N/A,TRUE,"HarryGam-Ass";#N/A,#N/A,TRUE,"HarryGam-BS";#N/A,#N/A,TRUE,"HarryGam-IS";#N/A,#N/A,TRUE,"HarryGam-CF";#N/A,#N/A,TRUE,"HarryGam-CapEx";#N/A,#N/A,TRUE,"HarryGam-Int";#N/A,#N/A,TRUE,"HarryGam-Debt";#N/A,#N/A,TRUE,"HarryGam-Val";#N/A,#N/A,TRUE,"HarryGam-Mult Val";#N/A,#N/A,TRUE,"HarryGam-Credit"}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ogdanka." hidden="1">{#N/A,#N/A,FALSE,"Assum";#N/A,#N/A,FALSE,"WorkCap";#N/A,#N/A,FALSE,"Capex";#N/A,#N/A,FALSE,"P&amp;L";#N/A,#N/A,FALSE,"BS";#N/A,#N/A,FALSE,"CF";#N/A,#N/A,FALSE,"Value"}</definedName>
    <definedName name="wrn.BROWAR_KRAKOW." hidden="1">{#N/A,#N/A,FALSE,"TOC";#N/A,#N/A,FALSE,"summ";#N/A,#N/A,FALSE,"Macro";#N/A,#N/A,FALSE,"MarketAnalysis";#N/A,#N/A,FALSE,"DCF";#N/A,#N/A,FALSE,"assump";#N/A,#N/A,FALSE,"P&amp;L";#N/A,#N/A,FALSE,"BS";#N/A,#N/A,FALSE,"CF";#N/A,#N/A,FALSE,"ratios";#N/A,#N/A,FALSE,"costs";#N/A,#N/A,FALSE,"Fixed assets";#N/A,#N/A,FALSE,"CAPM";#N/A,#N/A,FALSE,"R(f)POL";#N/A,#N/A,FALSE,"M&amp;E summary";#N/A,#N/A,FALSE,"M&amp;E detail"}</definedName>
    <definedName name="wrn.budget._.balance._.sheet." hidden="1">{"bugdet992000 balance sheet",#N/A,FALSE,"Celtel alternative 6"}</definedName>
    <definedName name="wrn.budget._.capex." hidden="1">{"budget992000 capex",#N/A,FALSE,"Celtel alternative 6"}</definedName>
    <definedName name="wrn.budget._.customers." hidden="1">{"budget992000_customers",#N/A,FALSE,"Celtel alternative 6"}</definedName>
    <definedName name="wrn.budget._.profit._.and._.loss." hidden="1">{"budget992000 profit and loss",#N/A,FALSE,"Celtel alternative 6"}</definedName>
    <definedName name="wrn.budget._.tariffs._.and._.usage." hidden="1">{"budget992000 tariff and usage",#N/A,FALSE,"Celtel alternative 6"}</definedName>
    <definedName name="wrn.Business._.Plan." hidden="1">{#N/A,#N/A,TRUE,"Cover sheet";#N/A,#N/A,TRUE,"F.S.";#N/A,#N/A,TRUE,"Macroecon.";#N/A,#N/A,TRUE,"Microeconomics";#N/A,#N/A,TRUE,"Revenues";#N/A,#N/A,TRUE,"COS-supporting";#N/A,#N/A,TRUE,"COS";#N/A,#N/A,TRUE,"Other costs-supporting";#N/A,#N/A,TRUE,"Other costs";#N/A,#N/A,TRUE,"Other income&amp;expense";#N/A,#N/A,TRUE,"Capital ex.";#N/A,#N/A,TRUE,"Financing";#N/A,#N/A,TRUE,"Equity";#N/A,#N/A,TRUE,"Corporate taxation";#N/A,#N/A,TRUE,"current A.&amp;L."}</definedName>
    <definedName name="wrn.Cash._.Plan." hidden="1">{"cash plan",#N/A,FALSE,"fccashflow"}</definedName>
    <definedName name="wrn.celkový._.tisk._.detail." hidden="1">{"celkový rozpočet - detail",#N/A,FALSE,"Aktualizace č. 1"}</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oResults."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pany._.Total._.Accountability." hidden="1">{"total sales",#N/A,TRUE,"ACCT-94";"total expense 1",#N/A,TRUE,"ACCT-94";"total expense 2",#N/A,TRUE,"ACCT-94";"total expense 3",#N/A,TRUE,"ACCT-94";"total sales 2",#N/A,TRUE,"ACCT-94";"total margin",#N/A,TRUE,"ACCT-94";"total margin rate",#N/A,TRUE,"ACCT-94"}</definedName>
    <definedName name="wrn.Consolidated._.Statements." hidden="1">{"view1",#N/A,FALSE,"EARN (US$)";"view1",#N/A,FALSE,"DASTBS (US$)";"view1",#N/A,FALSE,"DASTCF (US$)"}</definedName>
    <definedName name="wrn.contribution." hidden="1">{#N/A,#N/A,FALSE,"Contribution Analysis"}</definedName>
    <definedName name="wrn.contributory._.asset._.charges." hidden="1">{"contributory1",#N/A,FALSE,"Contributory Assets Detail";"contributory2",#N/A,FALSE,"Contributory Assets Detail"}</definedName>
    <definedName name="wrn.Control._.month." hidden="1">{#N/A,#N/A,FALSE,"Control Month"}</definedName>
    <definedName name="wrn.Control._.Quarter." hidden="1">{#N/A,#N/A,TRUE,"Control Month";#N/A,#N/A,TRUE,"Control Quarter"}</definedName>
    <definedName name="wrn.Cover." hidden="1">{"coverall",#N/A,FALSE,"Definitions";"cover1",#N/A,FALSE,"Definitions";"cover2",#N/A,FALSE,"Definitions";"cover3",#N/A,FALSE,"Definitions";"cover4",#N/A,FALSE,"Definitions";"cover5",#N/A,FALSE,"Definitions";"blank",#N/A,FALSE,"Definitions"}</definedName>
    <definedName name="wrn.Covers." hidden="1">{"view1",#N/A,FALSE,"MOTEARN";"view1",#N/A,FALSE,"Bal Sht";"view1",#N/A,FALSE,"Cash Flows"}</definedName>
    <definedName name="wrn.csc." hidden="1">{"orixcsc",#N/A,FALSE,"ORIX CSC";"orixcsc2",#N/A,FALSE,"ORIX CSC"}</definedName>
    <definedName name="wrn.csc2." hidden="1">{#N/A,#N/A,FALSE,"ORIX CSC"}</definedName>
    <definedName name="wrn.Customer_base." hidden="1">{"customer base",#N/A,FALSE,"customer_base";"customer base perf estimates",#N/A,FALSE,"customer_base"}</definedName>
    <definedName name="wrn.dcf."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HL._.Minor." hidden="1">{#N/A,#N/A,FALSE,"TOC";#N/A,#N/A,FALSE,"Summary";#N/A,#N/A,FALSE,"DCF";#N/A,#N/A,FALSE,"FS";#N/A,#N/A,FALSE,"Macro";#N/A,#N/A,FALSE,"Stats";#N/A,#N/A,FALSE,"GLC";#N/A,#N/A,FALSE,"GLCdescr";#N/A,#N/A,FALSE,"GLCmult";#N/A,#N/A,FALSE,"GLCratios";#N/A,#N/A,FALSE,"GLCcommon";#N/A,#N/A,FALSE,"Sales";#N/A,#N/A,FALSE,"Oper costs";#N/A,#N/A,FALSE,"Other oper";#N/A,#N/A,FALSE,"Finan";#N/A,#N/A,FALSE,"WC";#N/A,#N/A,FALSE,"Tax";#N/A,#N/A,FALSE,"WACC";#N/A,#N/A,FALSE,"Rf";#N/A,#N/A,FALSE,"ERP";#N/A,#N/A,FALSE,"B";#N/A,#N/A,FALSE,"Size";#N/A,#N/A,FALSE,"Ctrl";#N/A,#N/A,FALSE,"Mkt disc";#N/A,#N/A,FALSE,"GLCdata"}</definedName>
    <definedName name="wrn.Discuss." hidden="1">{#N/A,#N/A,FALSE,"TOC";#N/A,#N/A,FALSE,"Macro Assumptions";#N/A,#N/A,FALSE,"Bank Assumptions";#N/A,#N/A,FALSE,"BS";#N/A,#N/A,FALSE,"P&amp;L";#N/A,#N/A,FALSE,"Capital";#N/A,#N/A,FALSE,"Ratios";#N/A,#N/A,FALSE,"Loan Quality";#N/A,#N/A,FALSE,"Avg_Assets";#N/A,#N/A,FALSE,"Fixed assets";#N/A,#N/A,FALSE,"Trading Income";#N/A,#N/A,FALSE,"Employees";#N/A,#N/A,FALSE,"Other costs";#N/A,#N/A,FALSE,"Other income";#N/A,#N/A,FALSE,"FCF"}</definedName>
    <definedName name="wrn.documentation." hidden="1">{"documentation1",#N/A,FALSE,"Documentation";"documentation2",#N/A,FALSE,"Documentation"}</definedName>
    <definedName name="wrn.Draft." hidden="1">{"Draft",#N/A,FALSE,"Feb-96"}</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rstecpmrt." hidden="1">{#N/A,#N/A,FALSE,"TOC";#N/A,#N/A,FALSE,"CPM";#N/A,#N/A,FALSE,"Growth";#N/A,#N/A,FALSE,"TRANS_con";#N/A,#N/A,FALSE,"TRANS_min";#N/A,#N/A,FALSE,"control";#N/A,#N/A,FALSE,"ecRat1";#N/A,#N/A,FALSE,"ecBS";#N/A,#N/A,FALSE,"ecCBS";#N/A,#N/A,FALSE,"ecIS";#N/A,#N/A,FALSE,"ecCIS";#N/A,#N/A,FALSE,"WecRat1";#N/A,#N/A,FALSE,"WecBS";#N/A,#N/A,FALSE,"WecCBS";#N/A,#N/A,FALSE,"WecIS";#N/A,#N/A,FALSE,"WecCI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inal." hidden="1">{"Final",#N/A,FALSE,"Feb-96"}</definedName>
    <definedName name="wrn.financials." hidden="1">{#N/A,#N/A,TRUE,"Mkt Assumptions";#N/A,#N/A,TRUE,"Income_Statement";#N/A,#N/A,TRUE,"Balance_Sheet";#N/A,#N/A,TRUE,"Cash_Flow_Stmt";#N/A,#N/A,TRUE,"Debt_Repayment";#N/A,#N/A,TRUE,"Ratio_Analysis";#N/A,#N/A,TRUE,"Inc_Stmt_Assumptions"}</definedName>
    <definedName name="wrn.FISV._.5._.year._.model." hidden="1">{"Assns Fax",#N/A,FALSE,"Assumptions";"Financial View",#N/A,FALSE,"Earnings";"DCF View",#N/A,FALSE,"Earnings";"Sensitivity",#N/A,FALSE,"DCF"}</definedName>
    <definedName name="wrn.forecast." hidden="1">{#N/A,#N/A,FALSE,"model"}</definedName>
    <definedName name="wrn.forecast2" hidden="1">{#N/A,#N/A,FALSE,"model"}</definedName>
    <definedName name="wrn.forecastassumptions." hidden="1">{#N/A,#N/A,FALSE,"model"}</definedName>
    <definedName name="wrn.forecastassumptions2" hidden="1">{#N/A,#N/A,FALSE,"model"}</definedName>
    <definedName name="wrn.forecastROIC." hidden="1">{#N/A,#N/A,FALSE,"model"}</definedName>
    <definedName name="wrn.forecastROIC2" hidden="1">{#N/A,#N/A,FALSE,"model"}</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Y97SBP." hidden="1">{#N/A,#N/A,FALSE,"FY97";#N/A,#N/A,FALSE,"FY98";#N/A,#N/A,FALSE,"FY99";#N/A,#N/A,FALSE,"FY00";#N/A,#N/A,FALSE,"FY01"}</definedName>
    <definedName name="wrn.Goals." hidden="1">{#N/A,#N/A,TRUE,"Goal";#N/A,#N/A,TRUE,"About";#N/A,#N/A,TRUE,"Linking";#N/A,#N/A,TRUE,"Compliance";#N/A,#N/A,TRUE,"Competitive";#N/A,#N/A,TRUE,"Proactive";#N/A,#N/A,TRUE,"Challenging";#N/A,#N/A,TRUE,"Development"}</definedName>
    <definedName name="wrn.handout." hidden="1">{"quarterly",#N/A,FALSE,"Income Statement New CPB";"annual",#N/A,FALSE,"Income Statement New CPB";"cash flow",#N/A,FALSE,"Cash Flow";"balance",#N/A,FALSE,"Balance Sheet";"seg",#N/A,FALSE,"New Segment Breakout"}</definedName>
    <definedName name="wrn.history." hidden="1">{#N/A,#N/A,FALSE,"model"}</definedName>
    <definedName name="wrn.history2" hidden="1">{#N/A,#N/A,FALSE,"model"}</definedName>
    <definedName name="wrn.histROIC." hidden="1">{#N/A,#N/A,FALSE,"model"}</definedName>
    <definedName name="wrn.histROIC2" hidden="1">{#N/A,#N/A,FALSE,"model"}</definedName>
    <definedName name="wrn.Iconomed._.Financials." hidden="1">{#N/A,#N/A,TRUE,"4-YEAR P&amp;L";#N/A,#N/A,TRUE,"Assumptions_Expense";#N/A,#N/A,TRUE,"Monthly Expenses";#N/A,#N/A,TRUE,"Expenses QTR &amp; YR";#N/A,#N/A,TRUE,"Assumptions_Revenue";#N/A,#N/A,TRUE,"Monthly Revenues";#N/A,#N/A,TRUE,"Revenues QTR &amp; YR"}</definedName>
    <definedName name="wrn.income._.statements." hidden="1">{#N/A,#N/A,FALSE,"1996PL";#N/A,#N/A,FALSE,"1997PL";#N/A,#N/A,FALSE,"1998PL";#N/A,#N/A,FALSE,"1999PL"}</definedName>
    <definedName name="wrn.Kompania._.Piwowarska." hidden="1">{#N/A,#N/A,FALSE,"TOC";#N/A,#N/A,FALSE,"Summary";#N/A,#N/A,FALSE,"DCF";#N/A,#N/A,FALSE,"Stats";#N/A,#N/A,FALSE,"Trans";#N/A,#N/A,FALSE,"GLC Method";#N/A,#N/A,FALSE,"IndAnalysis";#N/A,#N/A,FALSE,"DCF_EVA";#N/A,#N/A,FALSE,"Sales";#N/A,#N/A,FALSE,"Costs";#N/A,#N/A,FALSE,"Labour";#N/A,#N/A,FALSE,"Capex";#N/A,#N/A,FALSE,"Amort";#N/A,#N/A,FALSE,"Other IncExp";#N/A,#N/A,FALSE,"WC";#N/A,#N/A,FALSE,"Finan";#N/A,#N/A,FALSE,"TaxPBT";#N/A,#N/A,FALSE,"TaxEBIT";#N/A,#N/A,FALSE,"WACC";#N/A,#N/A,FALSE,"R(f)";#N/A,#N/A,FALSE,"Beta";#N/A,#N/A,FALSE,"Size";#N/A,#N/A,FALSE,"Marketability";#N/A,#N/A,FALSE,"Ctrl";#N/A,#N/A,FALSE,"Redundant"}</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onthly._.report." hidden="1">{#N/A,#N/A,TRUE,"PARAMETERS";#N/A,#N/A,TRUE,"M1";#N/A,#N/A,TRUE,"DETAILS M1";#N/A,#N/A,TRUE,"M2";#N/A,#N/A,TRUE,"DETAILS M2";#N/A,#N/A,TRUE,"M3";#N/A,#N/A,TRUE,"DETAILS M3";#N/A,#N/A,TRUE,"M4";#N/A,#N/A,TRUE,"M5";#N/A,#N/A,TRUE,"M8";#N/A,#N/A,TRUE,"M9";#N/A,#N/A,TRUE,"M11";#N/A,#N/A,TRUE,"KFF Month"}</definedName>
    <definedName name="wrn.Outlook._.for._.US._.Domestic._.Paging." hidden="1">{"Yearend_units",#N/A,TRUE,"Paging";"Unit_growth",#N/A,TRUE,"Paging";"Yearend_nationwide_units",#N/A,TRUE,"Paging";"nationwide_growth",#N/A,TRUE,"Paging";"ARPU",#N/A,TRUE,"Paging";"paging_industry_revenues",#N/A,TRUE,"Paging";"paging_net_add_breakdown",#N/A,TRUE,"Paging";"paging_churn",#N/A,TRUE,"Paging";"paging_gross_adds",#N/A,TRUE,"Pag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L._.JPY." hidden="1">{#N/A,#N/A,FALSE,"A"}</definedName>
    <definedName name="wrn.plbscf." hidden="1">{"p_l",#N/A,FALSE,"Summary Accounts"}</definedName>
    <definedName name="wrn.Print." hidden="1">{#N/A,#N/A,FALSE,"Assum";#N/A,#N/A,FALSE,"IS";#N/A,#N/A,FALSE,"Op-BS";#N/A,#N/A,FALSE,"BSCF";#N/A,#N/A,FALSE,"Brad_IS";#N/A,#N/A,FALSE,"Brad_BSCF";#N/A,#N/A,FALSE,"Nick_IS";#N/A,#N/A,FALSE,"Nick_BSCF";#N/A,#N/A,FALSE,"Mobile_IS";#N/A,#N/A,FALSE,"Mobile_BSCF";#N/A,#N/A,FALSE,"Syn+Elim";#N/A,#N/A,FALSE,"Ratings"}</definedName>
    <definedName name="wrn.Print._.24." hidden="1">{#N/A,#N/A,FALSE,"Index";"Stmts_Qtrs",#N/A,FALSE,"Summary";"Stmts_24 mo",#N/A,FALSE,"Summary";"Summary_24",#N/A,FALSE,"Revenue";"Month_24",#N/A,FALSE,"Engineering";"Month_24",#N/A,FALSE,"Marketing";"Month_24",#N/A,FALSE,"G &amp; A";"Month_24",#N/A,FALSE,"Manufacturing"}</definedName>
    <definedName name="wrn.print._.all." hidden="1">{"sum of the parts",#N/A,FALSE,"Sum-of-the-Parts";"LBO analysis",#N/A,FALSE,"LBO P&amp;L";"p&amp;L",#N/A,FALSE,"LBO P&amp;L";"cash flow",#N/A,FALSE,"CF";"cap struct",#N/A,FALSE,"LBO P&amp;L";"equity return",#N/A,FALSE,"return"}</definedName>
    <definedName name="wrn.print._.all._.sheets." hidden="1">{"summary1",#N/A,FALSE,"Summary of Values";"developed valuation",#N/A,FALSE,"Valuation Analysis";"inprocess valuation",#N/A,FALSE,"Valuation Analysis";"trademark1",#N/A,FALSE,"Trademark(s) and Trade Name(s)";"developed income statement",#N/A,FALSE,"Abbreviated Income Statement";"inprocess income statement",#N/A,FALSE,"Abbreviated Income Statement";"revenue detail 1",#N/A,FALSE,"Revenue Detail";"revenue detail 2",#N/A,FALSE,"Revenue Detail";"revenue detail 3",#N/A,FALSE,"Revenue Detail";"revenue detail 4",#N/A,FALSE,"Revenue Detail";"contributory1",#N/A,FALSE,"Contributory Assets Detail";"contributory2",#N/A,FALSE,"Contributory Assets Detail";"weighted average returns",#N/A,FALSE,"WACC and WARA";"fixed asset detail",#N/A,FALSE,"Fixed Asset Detail";"customer base",#N/A,FALSE,"customer_base";"customer base perf estimates",#N/A,FALSE,"customer_base"}</definedName>
    <definedName name="wrn.printac." hidden="1">{#N/A,#N/A,FALSE,"Op-BS";#N/A,#N/A,FALSE,"Assum";#N/A,#N/A,FALSE,"IS";#N/A,#N/A,FALSE,"Syn+Elim";#N/A,#N/A,FALSE,"BSCF";#N/A,#N/A,FALSE,"Blue_IS";#N/A,#N/A,FALSE,"Blue_BSCF";#N/A,#N/A,FALSE,"Ratings"}</definedName>
    <definedName name="wrn.Proforma." hidden="1">{#N/A,#N/A,TRUE,"Overview";#N/A,#N/A,TRUE,"Projections";#N/A,#N/A,TRUE,"Expense Summary";#N/A,#N/A,TRUE,"Revenue Summary";#N/A,#N/A,TRUE,"AOL1";#N/A,#N/A,TRUE,"AOL2";#N/A,#N/A,TRUE,"AOL3";#N/A,#N/A,TRUE,"Web1";#N/A,#N/A,TRUE,"Web2";#N/A,#N/A,TRUE,"Web3";#N/A,#N/A,TRUE,"Permission";#N/A,#N/A,TRUE,"Other Revenue";#N/A,#N/A,TRUE,"Expensens by Line Item"}</definedName>
    <definedName name="wrn.Quarterly._.report." hidden="1">{#N/A,#N/A,TRUE,"PARAMETERS";#N/A,#N/A,TRUE,"M1";#N/A,#N/A,TRUE,"DETAILS M1";#N/A,#N/A,TRUE,"M2";#N/A,#N/A,TRUE,"DETAILS M2";#N/A,#N/A,TRUE,"M3";#N/A,#N/A,TRUE,"DETAILS M3";#N/A,#N/A,TRUE,"M4";#N/A,#N/A,TRUE,"M5";#N/A,#N/A,TRUE,"Q6";#N/A,#N/A,TRUE,"Q7";#N/A,#N/A,TRUE,"M8";#N/A,#N/A,TRUE,"M9";#N/A,#N/A,TRUE,"M11";#N/A,#N/A,TRUE,"KFF Quarter"}</definedName>
    <definedName name="wrn.radio" hidden="1">{#N/A,#N/A,FALSE,"Virgin Flightdeck"}</definedName>
    <definedName name="wrn.Radio." hidden="1">{#N/A,#N/A,FALSE,"Virgin Flightdeck"}</definedName>
    <definedName name="wrn.ratios." hidden="1">{"ratios",#N/A,FALSE,"Summary Accounts"}</definedName>
    <definedName name="wrn.Report._.2." hidden="1">{#N/A,#N/A,TRUE,"Pivots-Employee";#N/A,"Scenerio2",TRUE,"Assumptions Summary"}</definedName>
    <definedName name="wrn.REPORT_ALL." hidden="1">{"TITLE_PAGE",#N/A,FALSE,"MODEL";"DEP_SCHED",#N/A,FALSE,"MODEL";"DCF",#N/A,FALSE,"MODEL"}</definedName>
    <definedName name="wrn.Report1." hidden="1">{#N/A,#N/A,TRUE,"Pivots-Employee";#N/A,"Scenario1",TRUE,"Assumptions Summary"}</definedName>
    <definedName name="wrn.revenue._.detail." hidden="1">{"revenue detail 1",#N/A,FALSE,"Revenue Detail";"revenue detail 2",#N/A,FALSE,"Revenue Detail";"revenue detail 3",#N/A,FALSE,"Revenue Detail";"revenue detail 4",#N/A,FALSE,"Revenue Detail"}</definedName>
    <definedName name="wrn.SALES._.FCST." hidden="1">{#N/A,#N/A,TRUE,"SUMMARY F";#N/A,#N/A,TRUE,"ASDA F";#N/A,#N/A,TRUE,"FARMFOODS F";#N/A,#N/A,TRUE,"JS F";#N/A,#N/A,TRUE,"MORRISONS F";#N/A,#N/A,TRUE,"TESCO F";#N/A,#N/A,TRUE,"MS F";#N/A,#N/A,TRUE,"ICELAND F";#N/A,#N/A,TRUE,"KWIKSAVE F";#N/A,#N/A,TRUE,"OTHER RETAIL F";#N/A,#N/A,TRUE,"BK F";#N/A,#N/A,TRUE,"KFC F";#N/A,#N/A,TRUE,"OTHER FOODSERVICE F";#N/A,#N/A,TRUE,"EXPORT F"}</definedName>
    <definedName name="wrn.Segments." hidden="1">{"view1",#N/A,FALSE,"Consolidated";"view2",#N/A,FALSE,"Consolidated (sum)";"view1",#N/A,FALSE,"Gen Sys";"view1",#N/A,FALSE,"Semicon";"view1",#N/A,FALSE,"Mess|Med";"view1",#N/A,FALSE,"Land Mob";"view1",#N/A,FALSE,"Other Prod";"view1",#N/A,FALSE,"Adj|Elim"}</definedName>
    <definedName name="wrn.sensitivity." hidden="1">{"sensitivity",#N/A,FALSE,"Sensitivity"}</definedName>
    <definedName name="wrn.Sensitivity._.Analysis." hidden="1">{"Sensitivity Tables",#N/A,FALSE,"DCF"}</definedName>
    <definedName name="wrn.Standard." hidden="1">{#N/A,#N/A,FALSE,"Service + Produktion kum";#N/A,#N/A,FALSE,"Produktion kum";#N/A,#N/A,FALSE,"Service kum";#N/A,#N/A,FALSE,"Service Monat";#N/A,#N/A,FALSE,"CARAT"}</definedName>
    <definedName name="wrn.Summary." hidden="1">{#N/A,#N/A,FALSE,"Capex";#N/A,#N/A,FALSE,"Market"}</definedName>
    <definedName name="wrn.summary._.schedules." hidden="1">{"summary1",#N/A,FALSE,"Summary of Values";"summary2",#N/A,FALSE,"Summary of Values"}</definedName>
    <definedName name="wrn.Tables." hidden="1">{"view1",#N/A,FALSE,"Tables";"view2",#N/A,FALSE,"Tables";"view3",#N/A,FALSE,"Tables"}</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LBO."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st." hidden="1">{"test2",#N/A,TRUE,"Prices"}</definedName>
    <definedName name="wrn.TestRep." hidden="1">{"Test",#N/A,FALSE,"Index";#N/A,"RISK",FALSE,"MarketProjection"}</definedName>
    <definedName name="wrn.Total." hidden="1">{#N/A,#N/A,FALSE,"Resultat";#N/A,#N/A,FALSE,"Balance"}</definedName>
    <definedName name="wrn.trademark._.and._.trade._.name." hidden="1">{"trademark1",#N/A,FALSE,"Trademark(s) and Trade Name(s)"}</definedName>
    <definedName name="wrn.Typhoon." hidden="1">{"Agg Output",#N/A,FALSE,"Operational Drivers Output";"NW Output",#N/A,FALSE,"Operational Drivers Output";"South Output",#N/A,FALSE,"Operational Drivers Output";"Central Output",#N/A,FALSE,"Operational Drivers Output"}</definedName>
    <definedName name="wrn.upstairs." hidden="1">{"histincome",#N/A,FALSE,"hyfins";"closing balance",#N/A,FALSE,"hyfins"}</definedName>
    <definedName name="wrn.UTL._.Position." hidden="1">{"UTL effect",#N/A,FALSE,"Sensitivity"}</definedName>
    <definedName name="wrn.wara." hidden="1">{"weighted average returns",#N/A,FALSE,"WACC and WARA"}</definedName>
    <definedName name="wrn.work._.paper._.shcedules." hidden="1">{"summary1",#N/A,FALSE,"Summary of Values";"summary2",#N/A,FALSE,"Summary of Values";"weighted average returns",#N/A,FALSE,"WACC and WARA";"fixed asset detail",#N/A,FALSE,"Fixed Asset Detail"}</definedName>
    <definedName name="wrn1.history" hidden="1">{#N/A,#N/A,FALSE,"model"}</definedName>
    <definedName name="wrn3.histroic" hidden="1">{#N/A,#N/A,FALSE,"model"}</definedName>
    <definedName name="ww" hidden="1">{#N/A,#N/A,FALSE,"Aging Summary";#N/A,#N/A,FALSE,"Ratio Analysis";#N/A,#N/A,FALSE,"Test 120 Day Accts";#N/A,#N/A,FALSE,"Tickmarks"}</definedName>
    <definedName name="www" hidden="1">{"fdsup://Directions/FactSet Auditing Viewer?action=AUDIT_VALUE&amp;DB=129&amp;ID1=573282&amp;VALUEID=01201&amp;SDATE=2008&amp;PERIODTYPE=ANN_STD&amp;window=popup_no_bar&amp;width=385&amp;height=120&amp;START_MAXIMIZED=FALSE&amp;creator=factset&amp;display_string=Audit"}</definedName>
    <definedName name="wwww" hidden="1">{#N/A,#N/A,FALSE,"Aging Summary";#N/A,#N/A,FALSE,"Ratio Analysis";#N/A,#N/A,FALSE,"Test 120 Day Accts";#N/A,#N/A,FALSE,"Tickmarks"}</definedName>
    <definedName name="x" hidden="1">{#N/A,#N/A,FALSE,"Aging Summary";#N/A,#N/A,FALSE,"Ratio Analysis";#N/A,#N/A,FALSE,"Test 120 Day Accts";#N/A,#N/A,FALSE,"Tickmarks"}</definedName>
    <definedName name="xc" hidden="1">{"fdsup://directions/FAT Viewer?action=UPDATE&amp;creator=factset&amp;DYN_ARGS=TRUE&amp;DOC_NAME=FAT:FQL_AUDITING_CLIENT_TEMPLATE.FAT&amp;display_string=Audit&amp;VAR:KEY=LMBUXEBOXC&amp;VAR:QUERY=RkZfRUJJVERBX09QRVIoQU5OLDIwMDgsLCwsSUNfQ1VSUkVOQ1lfSVNPKCksTSk=&amp;WINDOW=FIRST_POPUP&amp;H","EIGHT=450&amp;WIDTH=450&amp;START_MAXIMIZED=FALSE&amp;VAR:CALENDAR=US&amp;VAR:SYMBOL=711038&amp;VAR:INDEX=0"}</definedName>
    <definedName name="XRefColumnsCount" hidden="1">1</definedName>
    <definedName name="XRefCopyRangeCount" hidden="1">1</definedName>
    <definedName name="xx" hidden="1">#REF!</definedName>
    <definedName name="XXX" hidden="1">{#N/A,#N/A,TRUE,"SUMMARY F";#N/A,#N/A,TRUE,"ASDA F";#N/A,#N/A,TRUE,"FARMFOODS F";#N/A,#N/A,TRUE,"JS F";#N/A,#N/A,TRUE,"MORRISONS F";#N/A,#N/A,TRUE,"TESCO F";#N/A,#N/A,TRUE,"MS F";#N/A,#N/A,TRUE,"ICELAND F";#N/A,#N/A,TRUE,"KWIKSAVE F";#N/A,#N/A,TRUE,"OTHER RETAIL F";#N/A,#N/A,TRUE,"BK F";#N/A,#N/A,TRUE,"KFC F";#N/A,#N/A,TRUE,"OTHER FOODSERVICE F";#N/A,#N/A,TRUE,"EXPORT F"}</definedName>
    <definedName name="xxxx" hidden="1">{"mgmt forecast",#N/A,FALSE,"Mgmt Forecast";"dcf table",#N/A,FALSE,"Mgmt Forecast";"sensitivity",#N/A,FALSE,"Mgmt Forecast";"table inputs",#N/A,FALSE,"Mgmt Forecast";"calculations",#N/A,FALSE,"Mgmt Forecast"}</definedName>
    <definedName name="xxxxx" hidden="1">{"10yp capex",#N/A,FALSE,"Celtel alternative 6"}</definedName>
    <definedName name="xxxxxx" hidden="1">{"10yp graphs",#N/A,FALSE,"Market Data"}</definedName>
    <definedName name="xzc" hidden="1">{"fdsup://Directions/FactSet Auditing Viewer?action=AUDIT_VALUE&amp;DB=129&amp;ID1=573282&amp;VALUEID=01201&amp;SDATE=2009&amp;PERIODTYPE=ANN_STD&amp;window=popup_no_bar&amp;width=385&amp;height=120&amp;START_MAXIMIZED=FALSE&amp;creator=factset&amp;display_string=Audit"}</definedName>
    <definedName name="xzxxxxxxxxxxxx" hidden="1">{#N/A,#N/A,FALSE,"Aging Summary";#N/A,#N/A,FALSE,"Ratio Analysis";#N/A,#N/A,FALSE,"Test 120 Day Accts";#N/A,#N/A,FALSE,"Tickmarks"}</definedName>
    <definedName name="y" hidden="1">{#N/A,#N/A,FALSE,"Aging Summary";#N/A,#N/A,FALSE,"Ratio Analysis";#N/A,#N/A,FALSE,"Test 120 Day Accts";#N/A,#N/A,FALSE,"Tickmarks"}</definedName>
    <definedName name="YEAR" hidden="1">2017</definedName>
    <definedName name="yu" hidden="1">{"mgmt forecast",#N/A,FALSE,"Mgmt Forecast";"dcf table",#N/A,FALSE,"Mgmt Forecast";"sensitivity",#N/A,FALSE,"Mgmt Forecast";"table inputs",#N/A,FALSE,"Mgmt Forecast";"calculations",#N/A,FALSE,"Mgmt Forecast"}</definedName>
    <definedName name="yuuuuuuu" hidden="1">{"ratios",#N/A,FALSE,"Summary Accounts"}</definedName>
    <definedName name="YY" hidden="1">{#N/A,#N/A,FALSE,"Aging Summary";#N/A,#N/A,FALSE,"Ratio Analysis";#N/A,#N/A,FALSE,"Test 120 Day Accts";#N/A,#N/A,FALSE,"Tickmarks"}</definedName>
    <definedName name="yyyyyy" hidden="1">{"p_l",#N/A,FALSE,"Summary Accounts"}</definedName>
    <definedName name="z" hidden="1">{"mgmt forecast",#N/A,FALSE,"Mgmt Forecast";"dcf table",#N/A,FALSE,"Mgmt Forecast";"sensitivity",#N/A,FALSE,"Mgmt Forecast";"table inputs",#N/A,FALSE,"Mgmt Forecast";"calculations",#N/A,FALSE,"Mgmt Forecast"}</definedName>
    <definedName name="zgbzd" hidden="1">{#N/A,#N/A,FALSE,"Aging Summary";#N/A,#N/A,FALSE,"Ratio Analysis";#N/A,#N/A,FALSE,"Test 120 Day Accts";#N/A,#N/A,FALSE,"Tickmarks"}</definedName>
    <definedName name="zsx" hidden="1">{#N/A,#N/A,FALSE,"Aging Summary";#N/A,#N/A,FALSE,"Ratio Analysis";#N/A,#N/A,FALSE,"Test 120 Day Accts";#N/A,#N/A,FALSE,"Tickmarks"}</definedName>
    <definedName name="ZZZ" hidden="1">{"AR",#N/A,FALSE,"ASMGTSUM";"INV",#N/A,FALSE,"ASMGTSUM";"HCCOMP",#N/A,FALSE,"ASMGTSUM";"cap.depr",#N/A,FALSE,"ASMGTSUM"}</definedName>
    <definedName name="aa" hidden="1">{"'Daten'!$A$3:$J$9"}</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åpo" hidden="1">{"fdsup://Directions/FactSet Auditing Viewer?action=AUDIT_VALUE&amp;DB=129&amp;ID1=573282&amp;VALUEID=05194&amp;SDATE=2008&amp;PERIODTYPE=ANNR_STD&amp;window=popup_no_bar&amp;width=385&amp;height=120&amp;START_MAXIMIZED=FALSE&amp;creator=factset&amp;display_string=Audit"}</definedName>
    <definedName name="aaaaaaaaaaaaaaaaaa" hidden="1">{#N/A,#N/A,FALSE,"Aging Summary";#N/A,#N/A,FALSE,"Ratio Analysis";#N/A,#N/A,FALSE,"Test 120 Day Accts";#N/A,#N/A,FALSE,"Tickmarks"}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5" i="39" l="1"/>
  <c r="U25" i="39"/>
  <c r="T49" i="40" l="1"/>
  <c r="AL30" i="21"/>
  <c r="AL17" i="21"/>
  <c r="R49" i="40"/>
  <c r="D785" i="39"/>
  <c r="D768" i="39"/>
  <c r="D751" i="39"/>
  <c r="D734" i="39"/>
  <c r="D717" i="39"/>
  <c r="D700" i="39"/>
  <c r="D675" i="39"/>
  <c r="N79" i="11"/>
  <c r="R79" i="11"/>
  <c r="T79" i="11"/>
  <c r="V79" i="11"/>
  <c r="N81" i="11"/>
  <c r="N82" i="11"/>
  <c r="N83" i="11"/>
  <c r="N84" i="11"/>
  <c r="N87" i="11"/>
  <c r="N88" i="11"/>
  <c r="R88" i="11"/>
  <c r="S88" i="11"/>
  <c r="T88" i="11"/>
  <c r="U88" i="11"/>
  <c r="V88" i="11"/>
  <c r="N89" i="11"/>
  <c r="S89" i="11"/>
  <c r="U89" i="11"/>
  <c r="N90" i="11"/>
  <c r="R90" i="11"/>
  <c r="T90" i="11"/>
  <c r="V90" i="11"/>
  <c r="N91" i="11"/>
  <c r="D242" i="19"/>
  <c r="D221" i="19"/>
  <c r="D653" i="39"/>
  <c r="D635" i="39"/>
  <c r="D617" i="39"/>
  <c r="D599" i="39"/>
  <c r="D581" i="39"/>
  <c r="D563" i="39"/>
  <c r="D545" i="39"/>
  <c r="D527" i="39"/>
  <c r="D509" i="39"/>
  <c r="D492" i="39"/>
  <c r="D475" i="39"/>
  <c r="D458" i="39"/>
  <c r="D441" i="39"/>
  <c r="D424" i="39"/>
  <c r="D407" i="39"/>
  <c r="D390" i="39"/>
  <c r="D373" i="39"/>
  <c r="D356" i="39"/>
  <c r="D339" i="39"/>
  <c r="D315" i="39"/>
  <c r="D298" i="39"/>
  <c r="D281" i="39"/>
  <c r="D259" i="39"/>
  <c r="D241" i="39"/>
  <c r="D224" i="39"/>
  <c r="D207" i="39"/>
  <c r="D190" i="39"/>
  <c r="D151" i="39"/>
  <c r="D133" i="39"/>
  <c r="D115" i="39"/>
  <c r="D98" i="39"/>
  <c r="D80" i="39"/>
  <c r="D59" i="39"/>
  <c r="D42" i="39"/>
  <c r="D25" i="39"/>
  <c r="D128" i="11"/>
  <c r="D110" i="11"/>
  <c r="D331" i="16"/>
  <c r="D173" i="39"/>
  <c r="N173" i="39"/>
  <c r="D280" i="16"/>
  <c r="D258" i="16"/>
  <c r="D237" i="16"/>
  <c r="M109" i="11"/>
  <c r="M108" i="11"/>
  <c r="M101" i="11"/>
  <c r="M100" i="11"/>
  <c r="M59" i="11"/>
  <c r="N115" i="11"/>
  <c r="N121" i="11"/>
  <c r="P121" i="11"/>
  <c r="O121" i="11"/>
  <c r="N128" i="11"/>
  <c r="D101" i="11"/>
  <c r="D102" i="11"/>
  <c r="D103" i="11"/>
  <c r="D104" i="11"/>
  <c r="D105" i="11"/>
  <c r="D106" i="11"/>
  <c r="D107" i="11"/>
  <c r="D108" i="11"/>
  <c r="D109" i="11"/>
  <c r="D111" i="11"/>
  <c r="D112" i="11"/>
  <c r="D113" i="11"/>
  <c r="D114" i="11"/>
  <c r="D100" i="11"/>
  <c r="T115" i="11"/>
  <c r="S115" i="11"/>
  <c r="R115" i="11"/>
  <c r="P115" i="11"/>
  <c r="O115" i="11"/>
  <c r="L115" i="11"/>
  <c r="M110" i="11"/>
  <c r="M103" i="11"/>
  <c r="K115" i="11"/>
  <c r="W114" i="11"/>
  <c r="K114" i="11"/>
  <c r="W113" i="11"/>
  <c r="K113" i="11"/>
  <c r="W112" i="11"/>
  <c r="K112" i="11"/>
  <c r="W111" i="11"/>
  <c r="K111" i="11"/>
  <c r="W110" i="11"/>
  <c r="L110" i="11" s="1"/>
  <c r="K110" i="11"/>
  <c r="W109" i="11"/>
  <c r="L109" i="11" s="1"/>
  <c r="K109" i="11"/>
  <c r="W108" i="11"/>
  <c r="L108" i="11" s="1"/>
  <c r="K108" i="11"/>
  <c r="W107" i="11"/>
  <c r="K107" i="11"/>
  <c r="W106" i="11"/>
  <c r="K106" i="11"/>
  <c r="W105" i="11"/>
  <c r="K105" i="11"/>
  <c r="W104" i="11"/>
  <c r="K104" i="11"/>
  <c r="W103" i="11"/>
  <c r="L103" i="11" s="1"/>
  <c r="K103" i="11"/>
  <c r="W102" i="11"/>
  <c r="K102" i="11"/>
  <c r="W101" i="11"/>
  <c r="L101" i="11" s="1"/>
  <c r="K101" i="11"/>
  <c r="W100" i="11"/>
  <c r="L100" i="11" s="1"/>
  <c r="K100" i="11"/>
  <c r="N74" i="11"/>
  <c r="M74" i="11" s="1"/>
  <c r="W115" i="11" l="1"/>
  <c r="M69" i="11"/>
  <c r="D62" i="11"/>
  <c r="D63" i="11"/>
  <c r="D64" i="11"/>
  <c r="D65" i="11"/>
  <c r="D66" i="11"/>
  <c r="D67" i="11"/>
  <c r="D68" i="11"/>
  <c r="D69" i="11"/>
  <c r="D70" i="11"/>
  <c r="D71" i="11"/>
  <c r="D72" i="11"/>
  <c r="D73" i="11"/>
  <c r="W73" i="11"/>
  <c r="L73" i="11" s="1"/>
  <c r="M73" i="11"/>
  <c r="K73" i="11"/>
  <c r="W72" i="11"/>
  <c r="L72" i="11" s="1"/>
  <c r="M72" i="11"/>
  <c r="K72" i="11"/>
  <c r="W71" i="11"/>
  <c r="L71" i="11" s="1"/>
  <c r="M71" i="11"/>
  <c r="K71" i="11"/>
  <c r="W70" i="11"/>
  <c r="L70" i="11" s="1"/>
  <c r="M70" i="11"/>
  <c r="K70" i="11"/>
  <c r="W69" i="11"/>
  <c r="L69" i="11" s="1"/>
  <c r="K69" i="11"/>
  <c r="W66" i="11"/>
  <c r="L66" i="11" s="1"/>
  <c r="M66" i="11"/>
  <c r="K66" i="11"/>
  <c r="W65" i="11"/>
  <c r="L65" i="11" s="1"/>
  <c r="M65" i="11"/>
  <c r="K65" i="11"/>
  <c r="W64" i="11"/>
  <c r="L64" i="11" s="1"/>
  <c r="M64" i="11"/>
  <c r="K64" i="11"/>
  <c r="W63" i="11"/>
  <c r="L63" i="11" s="1"/>
  <c r="M63" i="11"/>
  <c r="K63" i="11"/>
  <c r="W62" i="11"/>
  <c r="K62" i="11"/>
  <c r="D61" i="11"/>
  <c r="W61" i="11"/>
  <c r="L61" i="11" s="1"/>
  <c r="M61" i="11"/>
  <c r="K61" i="11"/>
  <c r="V74" i="11"/>
  <c r="U74" i="11"/>
  <c r="T74" i="11"/>
  <c r="S74" i="11"/>
  <c r="R74" i="11"/>
  <c r="K74" i="11"/>
  <c r="K67" i="11"/>
  <c r="M67" i="11"/>
  <c r="W67" i="11"/>
  <c r="M68" i="11"/>
  <c r="M60" i="11"/>
  <c r="M187" i="11"/>
  <c r="R298" i="11"/>
  <c r="W68" i="11"/>
  <c r="L68" i="11" s="1"/>
  <c r="K68" i="11"/>
  <c r="D60" i="11"/>
  <c r="D59" i="11"/>
  <c r="W60" i="11"/>
  <c r="L60" i="11" s="1"/>
  <c r="K60" i="11"/>
  <c r="W59" i="11"/>
  <c r="L59" i="11" s="1"/>
  <c r="K59" i="11"/>
  <c r="L67" i="11" l="1"/>
  <c r="W74" i="11"/>
  <c r="D19" i="11"/>
  <c r="D20" i="11"/>
  <c r="D21" i="11"/>
  <c r="D18" i="11"/>
  <c r="S298" i="11"/>
  <c r="S108" i="18" s="1"/>
  <c r="T298" i="11"/>
  <c r="U298" i="11"/>
  <c r="U108" i="18" s="1"/>
  <c r="V298"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67" i="11"/>
  <c r="M266" i="11"/>
  <c r="M265" i="11"/>
  <c r="M264" i="11"/>
  <c r="M263" i="11"/>
  <c r="M262" i="11"/>
  <c r="M261" i="11"/>
  <c r="M260" i="11"/>
  <c r="M259" i="11"/>
  <c r="M258" i="11"/>
  <c r="M257" i="11"/>
  <c r="M256" i="11"/>
  <c r="M255" i="11"/>
  <c r="M254" i="11"/>
  <c r="M253" i="11"/>
  <c r="M252" i="11"/>
  <c r="M251" i="11"/>
  <c r="M250" i="11"/>
  <c r="M249" i="11"/>
  <c r="M248" i="11"/>
  <c r="M247" i="11"/>
  <c r="M246" i="11"/>
  <c r="M245" i="11"/>
  <c r="M244"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17"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190" i="11"/>
  <c r="Q16" i="40"/>
  <c r="O17" i="40"/>
  <c r="K16" i="40"/>
  <c r="P307" i="11"/>
  <c r="P16" i="40" s="1"/>
  <c r="R307" i="11"/>
  <c r="R16" i="40" s="1"/>
  <c r="S307" i="11"/>
  <c r="S16" i="40" s="1"/>
  <c r="T307" i="11"/>
  <c r="T16" i="40" s="1"/>
  <c r="U307" i="11"/>
  <c r="U16" i="40" s="1"/>
  <c r="V307" i="11"/>
  <c r="V16" i="40" s="1"/>
  <c r="O307" i="11"/>
  <c r="O16" i="40" s="1"/>
  <c r="K307" i="11"/>
  <c r="P15" i="40"/>
  <c r="R15" i="40"/>
  <c r="S15" i="40"/>
  <c r="T15" i="40"/>
  <c r="U15" i="40"/>
  <c r="V15" i="40"/>
  <c r="P17" i="40"/>
  <c r="R17" i="40"/>
  <c r="S17" i="40"/>
  <c r="T17" i="40"/>
  <c r="U17" i="40"/>
  <c r="V17" i="40"/>
  <c r="O15" i="40"/>
  <c r="K15" i="40"/>
  <c r="D151" i="38"/>
  <c r="D152" i="38"/>
  <c r="D153" i="38"/>
  <c r="D150" i="38"/>
  <c r="K153" i="38"/>
  <c r="K152" i="38"/>
  <c r="K151" i="38"/>
  <c r="K150" i="38"/>
  <c r="W15" i="40" l="1"/>
  <c r="W16" i="40"/>
  <c r="W307" i="11"/>
  <c r="M305" i="11"/>
  <c r="M306" i="11"/>
  <c r="V310" i="11"/>
  <c r="T310" i="11"/>
  <c r="U310" i="11"/>
  <c r="S310" i="11"/>
  <c r="R310" i="11"/>
  <c r="P310" i="11"/>
  <c r="O310" i="11"/>
  <c r="K305" i="11"/>
  <c r="W305" i="11"/>
  <c r="L305" i="11" s="1"/>
  <c r="U36" i="38" l="1"/>
  <c r="U140" i="38" s="1"/>
  <c r="U42" i="39"/>
  <c r="V36" i="38"/>
  <c r="V138" i="38" s="1"/>
  <c r="V42" i="39"/>
  <c r="K187" i="11"/>
  <c r="M177" i="11"/>
  <c r="L343" i="16"/>
  <c r="L342" i="16"/>
  <c r="L341" i="16"/>
  <c r="L340" i="16"/>
  <c r="L339" i="16"/>
  <c r="L338" i="16"/>
  <c r="M343" i="16"/>
  <c r="M342" i="16"/>
  <c r="M341" i="16"/>
  <c r="M340" i="16"/>
  <c r="M338" i="16"/>
  <c r="M339" i="16"/>
  <c r="M96" i="30"/>
  <c r="L311" i="16"/>
  <c r="L312" i="16"/>
  <c r="L313" i="16"/>
  <c r="L314" i="16"/>
  <c r="M311" i="16"/>
  <c r="K20" i="40"/>
  <c r="O49" i="40"/>
  <c r="N164" i="39"/>
  <c r="N165" i="39"/>
  <c r="N166" i="39"/>
  <c r="N167" i="39"/>
  <c r="N168" i="39"/>
  <c r="N169" i="39"/>
  <c r="N170" i="39"/>
  <c r="N171" i="39"/>
  <c r="N172" i="39"/>
  <c r="N174" i="39"/>
  <c r="N175" i="39"/>
  <c r="N176" i="39"/>
  <c r="N177" i="39"/>
  <c r="N163" i="39"/>
  <c r="N89" i="39"/>
  <c r="N90" i="39"/>
  <c r="N91" i="39"/>
  <c r="N92" i="39"/>
  <c r="N93" i="39"/>
  <c r="N94" i="39"/>
  <c r="N95" i="39"/>
  <c r="N96" i="39"/>
  <c r="N97" i="39"/>
  <c r="N98" i="39"/>
  <c r="N99" i="39"/>
  <c r="N100" i="39"/>
  <c r="N101" i="39"/>
  <c r="N102" i="39"/>
  <c r="N88" i="39"/>
  <c r="G2" i="40"/>
  <c r="V139" i="38" l="1"/>
  <c r="V141" i="38"/>
  <c r="V140" i="38"/>
  <c r="U141" i="38"/>
  <c r="U139" i="38"/>
  <c r="U138" i="38"/>
  <c r="Q319" i="11"/>
  <c r="M317" i="11"/>
  <c r="M318" i="11"/>
  <c r="M322" i="11"/>
  <c r="M323" i="11"/>
  <c r="M28" i="11"/>
  <c r="K23" i="5" l="1"/>
  <c r="K22" i="5"/>
  <c r="P49" i="40" l="1"/>
  <c r="S49" i="40"/>
  <c r="U49" i="40"/>
  <c r="V49" i="40"/>
  <c r="K17" i="40"/>
  <c r="N10" i="40"/>
  <c r="M10" i="40"/>
  <c r="I5" i="40" s="1"/>
  <c r="K81" i="1" s="1"/>
  <c r="L10" i="40"/>
  <c r="K10" i="40"/>
  <c r="B10" i="40"/>
  <c r="B12" i="40" s="1"/>
  <c r="L8" i="40"/>
  <c r="I2" i="40"/>
  <c r="H2" i="40"/>
  <c r="F2" i="40"/>
  <c r="B2" i="40"/>
  <c r="E81" i="1" s="1"/>
  <c r="D57" i="38"/>
  <c r="D58" i="38"/>
  <c r="D59" i="38"/>
  <c r="D183" i="38"/>
  <c r="D184" i="38"/>
  <c r="D185" i="38"/>
  <c r="D176" i="38"/>
  <c r="D177" i="38"/>
  <c r="D178" i="38"/>
  <c r="D169" i="38"/>
  <c r="D170" i="38"/>
  <c r="D171" i="38"/>
  <c r="D163" i="38"/>
  <c r="D164" i="38"/>
  <c r="D165" i="38"/>
  <c r="D157" i="38"/>
  <c r="D158" i="38"/>
  <c r="D159" i="38"/>
  <c r="D145" i="38"/>
  <c r="D146" i="38"/>
  <c r="D147" i="38"/>
  <c r="D139" i="38"/>
  <c r="D140" i="38"/>
  <c r="D141" i="38"/>
  <c r="D125" i="38"/>
  <c r="D126" i="38"/>
  <c r="D127" i="38"/>
  <c r="D118" i="38"/>
  <c r="D119" i="38"/>
  <c r="D120" i="38"/>
  <c r="D112" i="38"/>
  <c r="D113" i="38"/>
  <c r="D114" i="38"/>
  <c r="D106" i="38"/>
  <c r="D107" i="38"/>
  <c r="D108" i="38"/>
  <c r="D100" i="38"/>
  <c r="D101" i="38"/>
  <c r="D102" i="38"/>
  <c r="D94" i="38"/>
  <c r="D95" i="38"/>
  <c r="D96" i="38"/>
  <c r="D83" i="38"/>
  <c r="D84" i="38"/>
  <c r="D85" i="38"/>
  <c r="D76" i="38"/>
  <c r="D77" i="38"/>
  <c r="D78" i="38"/>
  <c r="D69" i="38"/>
  <c r="D70" i="38"/>
  <c r="D71" i="38"/>
  <c r="D63" i="38"/>
  <c r="D64" i="38"/>
  <c r="D65" i="38"/>
  <c r="D51" i="38"/>
  <c r="D52" i="38"/>
  <c r="D53" i="38"/>
  <c r="D45" i="38"/>
  <c r="D46" i="38"/>
  <c r="D47" i="38"/>
  <c r="N44" i="38"/>
  <c r="M17" i="38"/>
  <c r="M16" i="38"/>
  <c r="D182" i="38"/>
  <c r="D175" i="38"/>
  <c r="D168" i="38"/>
  <c r="D162" i="38"/>
  <c r="D156" i="38"/>
  <c r="D144" i="38"/>
  <c r="D138" i="38"/>
  <c r="D124" i="38"/>
  <c r="D117" i="38"/>
  <c r="D111" i="38"/>
  <c r="D105" i="38"/>
  <c r="D99" i="38"/>
  <c r="D93" i="38"/>
  <c r="D82" i="38"/>
  <c r="D75" i="38"/>
  <c r="D68" i="38"/>
  <c r="D62" i="38"/>
  <c r="D56" i="38"/>
  <c r="D50" i="38"/>
  <c r="D44" i="38"/>
  <c r="D16" i="38"/>
  <c r="D19" i="38"/>
  <c r="D18" i="38"/>
  <c r="D17" i="38"/>
  <c r="M297" i="16"/>
  <c r="L61" i="30"/>
  <c r="M61" i="30"/>
  <c r="M60" i="30"/>
  <c r="L344" i="11"/>
  <c r="L107" i="30" s="1"/>
  <c r="M344" i="11"/>
  <c r="M107" i="30" s="1"/>
  <c r="M334" i="11"/>
  <c r="M340" i="11"/>
  <c r="L339" i="11"/>
  <c r="M339" i="11"/>
  <c r="R22" i="36"/>
  <c r="R29" i="36" s="1"/>
  <c r="S36" i="38"/>
  <c r="U22" i="36"/>
  <c r="U29" i="36" s="1"/>
  <c r="V22" i="36"/>
  <c r="V29" i="36" s="1"/>
  <c r="O22" i="36"/>
  <c r="O29" i="36" s="1"/>
  <c r="P133" i="11"/>
  <c r="N48" i="11"/>
  <c r="N38" i="11"/>
  <c r="M192" i="16"/>
  <c r="M273" i="16"/>
  <c r="M122" i="16"/>
  <c r="M102" i="16"/>
  <c r="K29" i="36"/>
  <c r="K22" i="36"/>
  <c r="AH27" i="21"/>
  <c r="AG27" i="21"/>
  <c r="AM27" i="21"/>
  <c r="AL27" i="21"/>
  <c r="AK27" i="21"/>
  <c r="AJ27" i="21"/>
  <c r="AN27" i="21"/>
  <c r="O233" i="19"/>
  <c r="O234" i="19"/>
  <c r="O235" i="19"/>
  <c r="O236" i="19"/>
  <c r="O237" i="19"/>
  <c r="O238" i="19"/>
  <c r="O239" i="19"/>
  <c r="O240" i="19"/>
  <c r="O241" i="19"/>
  <c r="O242" i="19"/>
  <c r="O243" i="19"/>
  <c r="O244" i="19"/>
  <c r="O245" i="19"/>
  <c r="O246" i="19"/>
  <c r="O84" i="19"/>
  <c r="O232" i="19"/>
  <c r="V225" i="19"/>
  <c r="V222" i="19"/>
  <c r="V223" i="19"/>
  <c r="V224" i="19"/>
  <c r="V212" i="19"/>
  <c r="V213" i="19"/>
  <c r="V214" i="19"/>
  <c r="V215" i="19"/>
  <c r="V216" i="19"/>
  <c r="V217" i="19"/>
  <c r="V218" i="19"/>
  <c r="V219" i="19"/>
  <c r="V220" i="19"/>
  <c r="V211" i="19"/>
  <c r="P83" i="19"/>
  <c r="P82" i="19"/>
  <c r="P84" i="19"/>
  <c r="O82" i="19"/>
  <c r="O83" i="19"/>
  <c r="D233" i="19"/>
  <c r="D234" i="19"/>
  <c r="D235" i="19"/>
  <c r="D236" i="19"/>
  <c r="D237" i="19"/>
  <c r="D238" i="19"/>
  <c r="D239" i="19"/>
  <c r="D240" i="19"/>
  <c r="D241" i="19"/>
  <c r="D243" i="19"/>
  <c r="D244" i="19"/>
  <c r="D245" i="19"/>
  <c r="D246" i="19"/>
  <c r="D247" i="19"/>
  <c r="D248" i="19"/>
  <c r="D249" i="19"/>
  <c r="D232" i="19"/>
  <c r="D212" i="19"/>
  <c r="D213" i="19"/>
  <c r="D214" i="19"/>
  <c r="D215" i="19"/>
  <c r="D216" i="19"/>
  <c r="D217" i="19"/>
  <c r="D218" i="19"/>
  <c r="D219" i="19"/>
  <c r="D220" i="19"/>
  <c r="D222" i="19"/>
  <c r="D223" i="19"/>
  <c r="D224" i="19"/>
  <c r="D225" i="19"/>
  <c r="D226" i="19"/>
  <c r="D227" i="19"/>
  <c r="D228" i="19"/>
  <c r="D211" i="19"/>
  <c r="K250" i="19"/>
  <c r="K249" i="19"/>
  <c r="K248" i="19"/>
  <c r="K247" i="19"/>
  <c r="K246" i="19"/>
  <c r="K245" i="19"/>
  <c r="K244" i="19"/>
  <c r="K243" i="19"/>
  <c r="K242" i="19"/>
  <c r="K241" i="19"/>
  <c r="K240" i="19"/>
  <c r="K239" i="19"/>
  <c r="K238" i="19"/>
  <c r="K237" i="19"/>
  <c r="K236" i="19"/>
  <c r="K235" i="19"/>
  <c r="K234" i="19"/>
  <c r="K233" i="19"/>
  <c r="K232" i="19"/>
  <c r="K229" i="19"/>
  <c r="K228" i="19"/>
  <c r="K227" i="19"/>
  <c r="K226" i="19"/>
  <c r="K225" i="19"/>
  <c r="K224" i="19"/>
  <c r="K223" i="19"/>
  <c r="K222" i="19"/>
  <c r="K221" i="19"/>
  <c r="K220" i="19"/>
  <c r="K219" i="19"/>
  <c r="K218" i="19"/>
  <c r="K217" i="19"/>
  <c r="K216" i="19"/>
  <c r="K215" i="19"/>
  <c r="K214" i="19"/>
  <c r="K213" i="19"/>
  <c r="K212" i="19"/>
  <c r="K211" i="19"/>
  <c r="D70" i="19"/>
  <c r="K70" i="19"/>
  <c r="O86" i="19"/>
  <c r="P86" i="19"/>
  <c r="K24" i="19"/>
  <c r="K25" i="19"/>
  <c r="K26" i="19"/>
  <c r="O272" i="39"/>
  <c r="P272" i="39"/>
  <c r="R272" i="39"/>
  <c r="S272" i="39"/>
  <c r="T272" i="39"/>
  <c r="U272" i="39"/>
  <c r="V272" i="39"/>
  <c r="O273" i="39"/>
  <c r="P273" i="39"/>
  <c r="R273" i="39"/>
  <c r="S273" i="39"/>
  <c r="T273" i="39"/>
  <c r="U273" i="39"/>
  <c r="V273" i="39"/>
  <c r="O274" i="39"/>
  <c r="P274" i="39"/>
  <c r="R274" i="39"/>
  <c r="S274" i="39"/>
  <c r="T274" i="39"/>
  <c r="U274" i="39"/>
  <c r="V274" i="39"/>
  <c r="O275" i="39"/>
  <c r="P275" i="39"/>
  <c r="R275" i="39"/>
  <c r="S275" i="39"/>
  <c r="T275" i="39"/>
  <c r="U275" i="39"/>
  <c r="V275" i="39"/>
  <c r="O276" i="39"/>
  <c r="P276" i="39"/>
  <c r="R276" i="39"/>
  <c r="S276" i="39"/>
  <c r="T276" i="39"/>
  <c r="U276" i="39"/>
  <c r="V276" i="39"/>
  <c r="O277" i="39"/>
  <c r="P277" i="39"/>
  <c r="R277" i="39"/>
  <c r="S277" i="39"/>
  <c r="T277" i="39"/>
  <c r="U277" i="39"/>
  <c r="V277" i="39"/>
  <c r="O278" i="39"/>
  <c r="P278" i="39"/>
  <c r="R278" i="39"/>
  <c r="S278" i="39"/>
  <c r="T278" i="39"/>
  <c r="U278" i="39"/>
  <c r="V278" i="39"/>
  <c r="O279" i="39"/>
  <c r="P279" i="39"/>
  <c r="R279" i="39"/>
  <c r="S279" i="39"/>
  <c r="T279" i="39"/>
  <c r="U279" i="39"/>
  <c r="V279" i="39"/>
  <c r="O280" i="39"/>
  <c r="P280" i="39"/>
  <c r="R280" i="39"/>
  <c r="S280" i="39"/>
  <c r="T280" i="39"/>
  <c r="U280" i="39"/>
  <c r="V280" i="39"/>
  <c r="O281" i="39"/>
  <c r="P281" i="39"/>
  <c r="R281" i="39"/>
  <c r="S281" i="39"/>
  <c r="T281" i="39"/>
  <c r="U281" i="39"/>
  <c r="V281" i="39"/>
  <c r="O282" i="39"/>
  <c r="P282" i="39"/>
  <c r="R282" i="39"/>
  <c r="S282" i="39"/>
  <c r="T282" i="39"/>
  <c r="U282" i="39"/>
  <c r="V282" i="39"/>
  <c r="O283" i="39"/>
  <c r="P283" i="39"/>
  <c r="R283" i="39"/>
  <c r="S283" i="39"/>
  <c r="T283" i="39"/>
  <c r="U283" i="39"/>
  <c r="V283" i="39"/>
  <c r="O284" i="39"/>
  <c r="P284" i="39"/>
  <c r="R284" i="39"/>
  <c r="S284" i="39"/>
  <c r="T284" i="39"/>
  <c r="U284" i="39"/>
  <c r="V284" i="39"/>
  <c r="O285" i="39"/>
  <c r="P285" i="39"/>
  <c r="R285" i="39"/>
  <c r="S285" i="39"/>
  <c r="T285" i="39"/>
  <c r="U285" i="39"/>
  <c r="V285" i="39"/>
  <c r="P271" i="39"/>
  <c r="R271" i="39"/>
  <c r="S271" i="39"/>
  <c r="T271" i="39"/>
  <c r="U271" i="39"/>
  <c r="V271" i="39"/>
  <c r="O271" i="39"/>
  <c r="D272" i="39"/>
  <c r="D273" i="39"/>
  <c r="D274" i="39"/>
  <c r="D275" i="39"/>
  <c r="D276" i="39"/>
  <c r="D277" i="39"/>
  <c r="D278" i="39"/>
  <c r="D279" i="39"/>
  <c r="D280" i="39"/>
  <c r="D282" i="39"/>
  <c r="D283" i="39"/>
  <c r="D284" i="39"/>
  <c r="D285" i="39"/>
  <c r="D271" i="39"/>
  <c r="D302" i="39"/>
  <c r="D289" i="39"/>
  <c r="D290" i="39"/>
  <c r="D291" i="39"/>
  <c r="D292" i="39"/>
  <c r="D293" i="39"/>
  <c r="D294" i="39"/>
  <c r="D295" i="39"/>
  <c r="D296" i="39"/>
  <c r="D297" i="39"/>
  <c r="D299" i="39"/>
  <c r="D300" i="39"/>
  <c r="D301" i="39"/>
  <c r="D288" i="39"/>
  <c r="K288" i="39"/>
  <c r="K289" i="39"/>
  <c r="K290" i="39"/>
  <c r="K291" i="39"/>
  <c r="K292" i="39"/>
  <c r="K293" i="39"/>
  <c r="K294" i="39"/>
  <c r="K295" i="39"/>
  <c r="K296" i="39"/>
  <c r="K297" i="39"/>
  <c r="K298" i="39"/>
  <c r="K299" i="39"/>
  <c r="K300" i="39"/>
  <c r="K301" i="39"/>
  <c r="K302" i="39"/>
  <c r="D305" i="39"/>
  <c r="N305" i="39"/>
  <c r="D306" i="39"/>
  <c r="N306" i="39"/>
  <c r="D307" i="39"/>
  <c r="N307" i="39"/>
  <c r="S141" i="38" l="1"/>
  <c r="S138" i="38"/>
  <c r="S140" i="38"/>
  <c r="S139" i="38"/>
  <c r="V288" i="39"/>
  <c r="V296" i="39"/>
  <c r="B37" i="40"/>
  <c r="V295" i="39"/>
  <c r="T22" i="36"/>
  <c r="T29" i="36" s="1"/>
  <c r="S22" i="36"/>
  <c r="S29" i="36" s="1"/>
  <c r="T36" i="38"/>
  <c r="O36" i="38"/>
  <c r="P36" i="38"/>
  <c r="P22" i="36"/>
  <c r="P29" i="36" s="1"/>
  <c r="P31" i="36" s="1"/>
  <c r="R36" i="38"/>
  <c r="I4" i="40"/>
  <c r="J81" i="1" s="1"/>
  <c r="U302" i="39"/>
  <c r="U294" i="39"/>
  <c r="U295" i="39"/>
  <c r="U288" i="39"/>
  <c r="U296" i="39"/>
  <c r="V302" i="39"/>
  <c r="U301" i="39"/>
  <c r="V294" i="39"/>
  <c r="U293" i="39"/>
  <c r="O31" i="36"/>
  <c r="V297" i="39"/>
  <c r="V298" i="39"/>
  <c r="U297" i="39"/>
  <c r="V290" i="39"/>
  <c r="U289" i="39"/>
  <c r="V299" i="39"/>
  <c r="U298" i="39"/>
  <c r="V291" i="39"/>
  <c r="U290" i="39"/>
  <c r="V300" i="39"/>
  <c r="U299" i="39"/>
  <c r="V292" i="39"/>
  <c r="U291" i="39"/>
  <c r="V289" i="39"/>
  <c r="V301" i="39"/>
  <c r="U300" i="39"/>
  <c r="V293" i="39"/>
  <c r="U292" i="39"/>
  <c r="O250" i="19"/>
  <c r="O139" i="38" l="1"/>
  <c r="O138" i="38"/>
  <c r="O141" i="38"/>
  <c r="O140" i="38"/>
  <c r="R140" i="38"/>
  <c r="R138" i="38"/>
  <c r="R139" i="38"/>
  <c r="R141" i="38"/>
  <c r="T141" i="38"/>
  <c r="T138" i="38"/>
  <c r="T140" i="38"/>
  <c r="T139" i="38"/>
  <c r="P139" i="38"/>
  <c r="P141" i="38"/>
  <c r="P140" i="38"/>
  <c r="P138" i="38"/>
  <c r="P37" i="38"/>
  <c r="O37" i="38"/>
  <c r="W36" i="38"/>
  <c r="W17" i="40"/>
  <c r="W29" i="36"/>
  <c r="K499" i="39"/>
  <c r="K500" i="39"/>
  <c r="K501" i="39"/>
  <c r="K502" i="39"/>
  <c r="K503" i="39"/>
  <c r="K504" i="39"/>
  <c r="K505" i="39"/>
  <c r="K506" i="39"/>
  <c r="K507" i="39"/>
  <c r="K508" i="39"/>
  <c r="K509" i="39"/>
  <c r="K510" i="39"/>
  <c r="K511" i="39"/>
  <c r="K512" i="39"/>
  <c r="K513" i="39"/>
  <c r="K514" i="39"/>
  <c r="K517" i="39"/>
  <c r="K518" i="39"/>
  <c r="K519" i="39"/>
  <c r="K520" i="39"/>
  <c r="K521" i="39"/>
  <c r="K522" i="39"/>
  <c r="K523" i="39"/>
  <c r="K524" i="39"/>
  <c r="K525" i="39"/>
  <c r="K526" i="39"/>
  <c r="K527" i="39"/>
  <c r="K528" i="39"/>
  <c r="K529" i="39"/>
  <c r="K530" i="39"/>
  <c r="K531" i="39"/>
  <c r="K532" i="39"/>
  <c r="K535" i="39"/>
  <c r="K536" i="39"/>
  <c r="K537" i="39"/>
  <c r="K538" i="39"/>
  <c r="K539" i="39"/>
  <c r="K540" i="39"/>
  <c r="K541" i="39"/>
  <c r="K542" i="39"/>
  <c r="K543" i="39"/>
  <c r="K544" i="39"/>
  <c r="K545" i="39"/>
  <c r="K546" i="39"/>
  <c r="K547" i="39"/>
  <c r="K548" i="39"/>
  <c r="K549" i="39"/>
  <c r="K550" i="39"/>
  <c r="K553" i="39"/>
  <c r="K554" i="39"/>
  <c r="K555" i="39"/>
  <c r="K556" i="39"/>
  <c r="K557" i="39"/>
  <c r="K558" i="39"/>
  <c r="K559" i="39"/>
  <c r="K560" i="39"/>
  <c r="K561" i="39"/>
  <c r="K562" i="39"/>
  <c r="K563" i="39"/>
  <c r="K564" i="39"/>
  <c r="K565" i="39"/>
  <c r="K566" i="39"/>
  <c r="K567" i="39"/>
  <c r="K568" i="39"/>
  <c r="K411" i="39"/>
  <c r="K410" i="39"/>
  <c r="K409" i="39"/>
  <c r="K408" i="39"/>
  <c r="K407" i="39"/>
  <c r="K406" i="39"/>
  <c r="K405" i="39"/>
  <c r="K404" i="39"/>
  <c r="K403" i="39"/>
  <c r="K402" i="39"/>
  <c r="K401" i="39"/>
  <c r="K400" i="39"/>
  <c r="K399" i="39"/>
  <c r="K398" i="39"/>
  <c r="K397" i="39"/>
  <c r="K394" i="39"/>
  <c r="K393" i="39"/>
  <c r="K392" i="39"/>
  <c r="K391" i="39"/>
  <c r="K390" i="39"/>
  <c r="K389" i="39"/>
  <c r="K388" i="39"/>
  <c r="K387" i="39"/>
  <c r="K386" i="39"/>
  <c r="K385" i="39"/>
  <c r="K384" i="39"/>
  <c r="K383" i="39"/>
  <c r="K382" i="39"/>
  <c r="K381" i="39"/>
  <c r="K380" i="39"/>
  <c r="K377" i="39"/>
  <c r="K376" i="39"/>
  <c r="K375" i="39"/>
  <c r="K374" i="39"/>
  <c r="K373" i="39"/>
  <c r="K372" i="39"/>
  <c r="K371" i="39"/>
  <c r="K370" i="39"/>
  <c r="K369" i="39"/>
  <c r="K368" i="39"/>
  <c r="K367" i="39"/>
  <c r="K366" i="39"/>
  <c r="K365" i="39"/>
  <c r="K364" i="39"/>
  <c r="K363" i="39"/>
  <c r="K360" i="39"/>
  <c r="K359" i="39"/>
  <c r="K358" i="39"/>
  <c r="K357" i="39"/>
  <c r="K356" i="39"/>
  <c r="K355" i="39"/>
  <c r="K354" i="39"/>
  <c r="K353" i="39"/>
  <c r="K352" i="39"/>
  <c r="K351" i="39"/>
  <c r="K350" i="39"/>
  <c r="K349" i="39"/>
  <c r="K348" i="39"/>
  <c r="K347" i="39"/>
  <c r="K346" i="39"/>
  <c r="K331" i="39"/>
  <c r="K332" i="39"/>
  <c r="K333" i="39"/>
  <c r="K334" i="39"/>
  <c r="K335" i="39"/>
  <c r="K336" i="39"/>
  <c r="K337" i="39"/>
  <c r="K338" i="39"/>
  <c r="K339" i="39"/>
  <c r="K340" i="39"/>
  <c r="K341" i="39"/>
  <c r="K342" i="39"/>
  <c r="K343" i="39"/>
  <c r="K330" i="39"/>
  <c r="N312" i="39"/>
  <c r="N308" i="39"/>
  <c r="Q658" i="39" l="1"/>
  <c r="K658" i="39"/>
  <c r="K657" i="39"/>
  <c r="K656" i="39"/>
  <c r="K655" i="39"/>
  <c r="K654" i="39"/>
  <c r="K653" i="39"/>
  <c r="K652" i="39"/>
  <c r="K651" i="39"/>
  <c r="K650" i="39"/>
  <c r="K649" i="39"/>
  <c r="K648" i="39"/>
  <c r="K647" i="39"/>
  <c r="K646" i="39"/>
  <c r="K645" i="39"/>
  <c r="K644" i="39"/>
  <c r="K643" i="39"/>
  <c r="D656" i="39"/>
  <c r="D657" i="39"/>
  <c r="D654" i="39"/>
  <c r="D655" i="39"/>
  <c r="D644" i="39"/>
  <c r="D645" i="39"/>
  <c r="D646" i="39"/>
  <c r="D647" i="39"/>
  <c r="D648" i="39"/>
  <c r="D649" i="39"/>
  <c r="D650" i="39"/>
  <c r="D651" i="39"/>
  <c r="D652" i="39"/>
  <c r="D643" i="39"/>
  <c r="K329" i="39"/>
  <c r="D199" i="38"/>
  <c r="D200" i="38"/>
  <c r="D201" i="38"/>
  <c r="D198" i="38"/>
  <c r="K202" i="38"/>
  <c r="K201" i="38"/>
  <c r="K200" i="38"/>
  <c r="K199" i="38"/>
  <c r="K198" i="38"/>
  <c r="P16" i="39"/>
  <c r="K799" i="39"/>
  <c r="U686" i="39"/>
  <c r="V686" i="39"/>
  <c r="D704" i="39"/>
  <c r="D691" i="39"/>
  <c r="D692" i="39"/>
  <c r="D693" i="39"/>
  <c r="D694" i="39"/>
  <c r="D695" i="39"/>
  <c r="D696" i="39"/>
  <c r="D697" i="39"/>
  <c r="D698" i="39"/>
  <c r="D699" i="39"/>
  <c r="D701" i="39"/>
  <c r="D702" i="39"/>
  <c r="D703" i="39"/>
  <c r="D690" i="39"/>
  <c r="D708" i="39"/>
  <c r="D709" i="39"/>
  <c r="D710" i="39"/>
  <c r="D711" i="39"/>
  <c r="D712" i="39"/>
  <c r="D713" i="39"/>
  <c r="D714" i="39"/>
  <c r="D715" i="39"/>
  <c r="D716" i="39"/>
  <c r="D718" i="39"/>
  <c r="D719" i="39"/>
  <c r="D720" i="39"/>
  <c r="D721" i="39"/>
  <c r="D707" i="39"/>
  <c r="D789" i="39"/>
  <c r="D776" i="39"/>
  <c r="D777" i="39"/>
  <c r="D778" i="39"/>
  <c r="D779" i="39"/>
  <c r="D780" i="39"/>
  <c r="D781" i="39"/>
  <c r="D782" i="39"/>
  <c r="D783" i="39"/>
  <c r="D784" i="39"/>
  <c r="D786" i="39"/>
  <c r="D787" i="39"/>
  <c r="D788" i="39"/>
  <c r="D775" i="39"/>
  <c r="D770" i="39"/>
  <c r="D771" i="39"/>
  <c r="D772" i="39"/>
  <c r="D759" i="39"/>
  <c r="D760" i="39"/>
  <c r="D761" i="39"/>
  <c r="D762" i="39"/>
  <c r="D763" i="39"/>
  <c r="D764" i="39"/>
  <c r="D765" i="39"/>
  <c r="D766" i="39"/>
  <c r="D767" i="39"/>
  <c r="D769" i="39"/>
  <c r="D758" i="39"/>
  <c r="D754" i="39"/>
  <c r="D755" i="39"/>
  <c r="D742" i="39"/>
  <c r="D743" i="39"/>
  <c r="D744" i="39"/>
  <c r="D745" i="39"/>
  <c r="D746" i="39"/>
  <c r="D747" i="39"/>
  <c r="D748" i="39"/>
  <c r="D749" i="39"/>
  <c r="D750" i="39"/>
  <c r="D752" i="39"/>
  <c r="D753" i="39"/>
  <c r="D741" i="39"/>
  <c r="D736" i="39"/>
  <c r="D737" i="39"/>
  <c r="D738" i="39"/>
  <c r="D735" i="39"/>
  <c r="D733" i="39"/>
  <c r="D725" i="39"/>
  <c r="D726" i="39"/>
  <c r="D727" i="39"/>
  <c r="D728" i="39"/>
  <c r="D729" i="39"/>
  <c r="D730" i="39"/>
  <c r="D731" i="39"/>
  <c r="D732" i="39"/>
  <c r="D724" i="39"/>
  <c r="K687" i="39"/>
  <c r="K686" i="39"/>
  <c r="N666" i="39"/>
  <c r="N667" i="39"/>
  <c r="N668" i="39"/>
  <c r="N669" i="39"/>
  <c r="N670" i="39"/>
  <c r="N671" i="39"/>
  <c r="N672" i="39"/>
  <c r="N673" i="39"/>
  <c r="N674" i="39"/>
  <c r="N675" i="39"/>
  <c r="N676" i="39"/>
  <c r="N677" i="39"/>
  <c r="N678" i="39"/>
  <c r="N679" i="39"/>
  <c r="N665" i="39"/>
  <c r="D678" i="39"/>
  <c r="D679" i="39"/>
  <c r="D666" i="39"/>
  <c r="D667" i="39"/>
  <c r="D668" i="39"/>
  <c r="D669" i="39"/>
  <c r="D670" i="39"/>
  <c r="D671" i="39"/>
  <c r="D672" i="39"/>
  <c r="D673" i="39"/>
  <c r="D674" i="39"/>
  <c r="D676" i="39"/>
  <c r="D677" i="39"/>
  <c r="D665" i="39"/>
  <c r="D626" i="39"/>
  <c r="D627" i="39"/>
  <c r="D628" i="39"/>
  <c r="D629" i="39"/>
  <c r="D630" i="39"/>
  <c r="D631" i="39"/>
  <c r="D632" i="39"/>
  <c r="D633" i="39"/>
  <c r="D634" i="39"/>
  <c r="D636" i="39"/>
  <c r="D637" i="39"/>
  <c r="D638" i="39"/>
  <c r="D639" i="39"/>
  <c r="D625" i="39"/>
  <c r="K640" i="39"/>
  <c r="K639" i="39"/>
  <c r="K638" i="39"/>
  <c r="K637" i="39"/>
  <c r="K636" i="39"/>
  <c r="K635" i="39"/>
  <c r="K634" i="39"/>
  <c r="K633" i="39"/>
  <c r="K632" i="39"/>
  <c r="K631" i="39"/>
  <c r="K630" i="39"/>
  <c r="K629" i="39"/>
  <c r="K628" i="39"/>
  <c r="K627" i="39"/>
  <c r="K626" i="39"/>
  <c r="O640" i="39"/>
  <c r="K625" i="39"/>
  <c r="D608" i="39"/>
  <c r="D609" i="39"/>
  <c r="D610" i="39"/>
  <c r="D611" i="39"/>
  <c r="D612" i="39"/>
  <c r="D613" i="39"/>
  <c r="D614" i="39"/>
  <c r="D615" i="39"/>
  <c r="D616" i="39"/>
  <c r="D618" i="39"/>
  <c r="D619" i="39"/>
  <c r="D620" i="39"/>
  <c r="D621" i="39"/>
  <c r="D607" i="39"/>
  <c r="K622" i="39"/>
  <c r="K621" i="39"/>
  <c r="K620" i="39"/>
  <c r="K619" i="39"/>
  <c r="K618" i="39"/>
  <c r="K617" i="39"/>
  <c r="K616" i="39"/>
  <c r="K615" i="39"/>
  <c r="K614" i="39"/>
  <c r="K613" i="39"/>
  <c r="K612" i="39"/>
  <c r="K611" i="39"/>
  <c r="K610" i="39"/>
  <c r="K609" i="39"/>
  <c r="K608" i="39"/>
  <c r="K607" i="39"/>
  <c r="K604" i="39"/>
  <c r="K586" i="39"/>
  <c r="D590" i="39"/>
  <c r="D591" i="39"/>
  <c r="D592" i="39"/>
  <c r="D593" i="39"/>
  <c r="D594" i="39"/>
  <c r="D595" i="39"/>
  <c r="D596" i="39"/>
  <c r="D597" i="39"/>
  <c r="D598" i="39"/>
  <c r="D600" i="39"/>
  <c r="D601" i="39"/>
  <c r="D602" i="39"/>
  <c r="D603" i="39"/>
  <c r="D589" i="39"/>
  <c r="K603" i="39"/>
  <c r="K602" i="39"/>
  <c r="K601" i="39"/>
  <c r="K600" i="39"/>
  <c r="K599" i="39"/>
  <c r="K598" i="39"/>
  <c r="K597" i="39"/>
  <c r="K596" i="39"/>
  <c r="K595" i="39"/>
  <c r="K594" i="39"/>
  <c r="K593" i="39"/>
  <c r="K592" i="39"/>
  <c r="K591" i="39"/>
  <c r="K590" i="39"/>
  <c r="K589" i="39"/>
  <c r="D572" i="39"/>
  <c r="D573" i="39"/>
  <c r="D574" i="39"/>
  <c r="D575" i="39"/>
  <c r="D576" i="39"/>
  <c r="D577" i="39"/>
  <c r="D578" i="39"/>
  <c r="D579" i="39"/>
  <c r="D580" i="39"/>
  <c r="D582" i="39"/>
  <c r="D583" i="39"/>
  <c r="D584" i="39"/>
  <c r="D585" i="39"/>
  <c r="D571" i="39"/>
  <c r="K585" i="39"/>
  <c r="K584" i="39"/>
  <c r="K583" i="39"/>
  <c r="K582" i="39"/>
  <c r="K581" i="39"/>
  <c r="K580" i="39"/>
  <c r="K579" i="39"/>
  <c r="K578" i="39"/>
  <c r="K577" i="39"/>
  <c r="K576" i="39"/>
  <c r="K575" i="39"/>
  <c r="K574" i="39"/>
  <c r="K573" i="39"/>
  <c r="K572" i="39"/>
  <c r="K571" i="39"/>
  <c r="D554" i="39"/>
  <c r="D555" i="39"/>
  <c r="D556" i="39"/>
  <c r="D557" i="39"/>
  <c r="D558" i="39"/>
  <c r="D559" i="39"/>
  <c r="D560" i="39"/>
  <c r="D561" i="39"/>
  <c r="D562" i="39"/>
  <c r="D564" i="39"/>
  <c r="D565" i="39"/>
  <c r="D566" i="39"/>
  <c r="D567" i="39"/>
  <c r="D553" i="39"/>
  <c r="D536" i="39"/>
  <c r="D537" i="39"/>
  <c r="D538" i="39"/>
  <c r="D539" i="39"/>
  <c r="D540" i="39"/>
  <c r="D541" i="39"/>
  <c r="D542" i="39"/>
  <c r="D543" i="39"/>
  <c r="D544" i="39"/>
  <c r="D546" i="39"/>
  <c r="D547" i="39"/>
  <c r="D548" i="39"/>
  <c r="D549" i="39"/>
  <c r="D535" i="39"/>
  <c r="D518" i="39"/>
  <c r="D519" i="39"/>
  <c r="D520" i="39"/>
  <c r="D521" i="39"/>
  <c r="D522" i="39"/>
  <c r="D523" i="39"/>
  <c r="D524" i="39"/>
  <c r="D525" i="39"/>
  <c r="D526" i="39"/>
  <c r="D528" i="39"/>
  <c r="D529" i="39"/>
  <c r="D530" i="39"/>
  <c r="D531" i="39"/>
  <c r="D517" i="39"/>
  <c r="D500" i="39"/>
  <c r="D501" i="39"/>
  <c r="D502" i="39"/>
  <c r="D503" i="39"/>
  <c r="D504" i="39"/>
  <c r="D505" i="39"/>
  <c r="D506" i="39"/>
  <c r="D507" i="39"/>
  <c r="D508" i="39"/>
  <c r="D510" i="39"/>
  <c r="D511" i="39"/>
  <c r="D512" i="39"/>
  <c r="D513" i="39"/>
  <c r="D499" i="39"/>
  <c r="D483" i="39"/>
  <c r="D484" i="39"/>
  <c r="D485" i="39"/>
  <c r="D486" i="39"/>
  <c r="D487" i="39"/>
  <c r="D488" i="39"/>
  <c r="D489" i="39"/>
  <c r="D490" i="39"/>
  <c r="D491" i="39"/>
  <c r="D493" i="39"/>
  <c r="D494" i="39"/>
  <c r="D495" i="39"/>
  <c r="D496" i="39"/>
  <c r="D482" i="39"/>
  <c r="D466" i="39"/>
  <c r="D467" i="39"/>
  <c r="D468" i="39"/>
  <c r="D469" i="39"/>
  <c r="D470" i="39"/>
  <c r="D471" i="39"/>
  <c r="D472" i="39"/>
  <c r="D473" i="39"/>
  <c r="D474" i="39"/>
  <c r="D476" i="39"/>
  <c r="D477" i="39"/>
  <c r="D478" i="39"/>
  <c r="D479" i="39"/>
  <c r="D465" i="39"/>
  <c r="D449" i="39"/>
  <c r="D450" i="39"/>
  <c r="D451" i="39"/>
  <c r="D452" i="39"/>
  <c r="D453" i="39"/>
  <c r="D454" i="39"/>
  <c r="D455" i="39"/>
  <c r="D456" i="39"/>
  <c r="D457" i="39"/>
  <c r="D459" i="39"/>
  <c r="D460" i="39"/>
  <c r="D461" i="39"/>
  <c r="D462" i="39"/>
  <c r="D448" i="39"/>
  <c r="D432" i="39"/>
  <c r="D433" i="39"/>
  <c r="D434" i="39"/>
  <c r="D435" i="39"/>
  <c r="D436" i="39"/>
  <c r="D437" i="39"/>
  <c r="D438" i="39"/>
  <c r="D439" i="39"/>
  <c r="D440" i="39"/>
  <c r="D442" i="39"/>
  <c r="D443" i="39"/>
  <c r="D444" i="39"/>
  <c r="D445" i="39"/>
  <c r="D431" i="39"/>
  <c r="D415" i="39"/>
  <c r="D416" i="39"/>
  <c r="D417" i="39"/>
  <c r="D418" i="39"/>
  <c r="D419" i="39"/>
  <c r="D420" i="39"/>
  <c r="D421" i="39"/>
  <c r="D422" i="39"/>
  <c r="D423" i="39"/>
  <c r="D425" i="39"/>
  <c r="D426" i="39"/>
  <c r="D427" i="39"/>
  <c r="D428" i="39"/>
  <c r="D414" i="39"/>
  <c r="D398" i="39"/>
  <c r="D399" i="39"/>
  <c r="D400" i="39"/>
  <c r="D401" i="39"/>
  <c r="D402" i="39"/>
  <c r="D403" i="39"/>
  <c r="D404" i="39"/>
  <c r="D405" i="39"/>
  <c r="D406" i="39"/>
  <c r="D408" i="39"/>
  <c r="D409" i="39"/>
  <c r="D410" i="39"/>
  <c r="D411" i="39"/>
  <c r="D397" i="39"/>
  <c r="D381" i="39"/>
  <c r="D382" i="39"/>
  <c r="D383" i="39"/>
  <c r="D384" i="39"/>
  <c r="D385" i="39"/>
  <c r="D386" i="39"/>
  <c r="D387" i="39"/>
  <c r="D388" i="39"/>
  <c r="D389" i="39"/>
  <c r="D391" i="39"/>
  <c r="D392" i="39"/>
  <c r="D393" i="39"/>
  <c r="D394" i="39"/>
  <c r="D380" i="39"/>
  <c r="D364" i="39"/>
  <c r="D365" i="39"/>
  <c r="D366" i="39"/>
  <c r="D367" i="39"/>
  <c r="D368" i="39"/>
  <c r="D369" i="39"/>
  <c r="D370" i="39"/>
  <c r="D371" i="39"/>
  <c r="D372" i="39"/>
  <c r="D374" i="39"/>
  <c r="D375" i="39"/>
  <c r="D376" i="39"/>
  <c r="D377" i="39"/>
  <c r="D363" i="39"/>
  <c r="D347" i="39"/>
  <c r="D348" i="39"/>
  <c r="D349" i="39"/>
  <c r="D350" i="39"/>
  <c r="D351" i="39"/>
  <c r="D352" i="39"/>
  <c r="D353" i="39"/>
  <c r="D354" i="39"/>
  <c r="D355" i="39"/>
  <c r="D357" i="39"/>
  <c r="D358" i="39"/>
  <c r="D359" i="39"/>
  <c r="D360" i="39"/>
  <c r="D346" i="39"/>
  <c r="W22" i="36" l="1"/>
  <c r="R686" i="39"/>
  <c r="R687" i="39" s="1"/>
  <c r="R779" i="39" s="1"/>
  <c r="R301" i="39"/>
  <c r="R290" i="39"/>
  <c r="R297" i="39"/>
  <c r="R300" i="39"/>
  <c r="R302" i="39"/>
  <c r="R295" i="39"/>
  <c r="R299" i="39"/>
  <c r="R289" i="39"/>
  <c r="R294" i="39"/>
  <c r="R288" i="39"/>
  <c r="R298" i="39"/>
  <c r="R292" i="39"/>
  <c r="R291" i="39"/>
  <c r="R296" i="39"/>
  <c r="R293" i="39"/>
  <c r="P686" i="39"/>
  <c r="P687" i="39" s="1"/>
  <c r="P736" i="39" s="1"/>
  <c r="P290" i="39"/>
  <c r="P300" i="39"/>
  <c r="P289" i="39"/>
  <c r="P292" i="39"/>
  <c r="P302" i="39"/>
  <c r="P296" i="39"/>
  <c r="P295" i="39"/>
  <c r="P298" i="39"/>
  <c r="P301" i="39"/>
  <c r="P291" i="39"/>
  <c r="P299" i="39"/>
  <c r="P293" i="39"/>
  <c r="P294" i="39"/>
  <c r="P297" i="39"/>
  <c r="P288" i="39"/>
  <c r="S686" i="39"/>
  <c r="S687" i="39" s="1"/>
  <c r="S787" i="39" s="1"/>
  <c r="S295" i="39"/>
  <c r="S289" i="39"/>
  <c r="S301" i="39"/>
  <c r="S297" i="39"/>
  <c r="S300" i="39"/>
  <c r="S299" i="39"/>
  <c r="S288" i="39"/>
  <c r="S292" i="39"/>
  <c r="S290" i="39"/>
  <c r="S298" i="39"/>
  <c r="S296" i="39"/>
  <c r="S294" i="39"/>
  <c r="S302" i="39"/>
  <c r="S291" i="39"/>
  <c r="S293" i="39"/>
  <c r="P33" i="39"/>
  <c r="T686" i="39"/>
  <c r="T687" i="39" s="1"/>
  <c r="T780" i="39" s="1"/>
  <c r="T299" i="39"/>
  <c r="T301" i="39"/>
  <c r="T298" i="39"/>
  <c r="T300" i="39"/>
  <c r="T295" i="39"/>
  <c r="T289" i="39"/>
  <c r="T297" i="39"/>
  <c r="T288" i="39"/>
  <c r="T290" i="39"/>
  <c r="T302" i="39"/>
  <c r="T296" i="39"/>
  <c r="T294" i="39"/>
  <c r="T292" i="39"/>
  <c r="T293" i="39"/>
  <c r="T291" i="39"/>
  <c r="O686" i="39"/>
  <c r="O292" i="39"/>
  <c r="O290" i="39"/>
  <c r="O302" i="39"/>
  <c r="O289" i="39"/>
  <c r="O288" i="39"/>
  <c r="O299" i="39"/>
  <c r="O300" i="39"/>
  <c r="O298" i="39"/>
  <c r="O297" i="39"/>
  <c r="O295" i="39"/>
  <c r="O294" i="39"/>
  <c r="O296" i="39"/>
  <c r="O301" i="39"/>
  <c r="O293" i="39"/>
  <c r="O291" i="39"/>
  <c r="U687" i="39"/>
  <c r="U786" i="39" s="1"/>
  <c r="V687" i="39"/>
  <c r="V781" i="39" s="1"/>
  <c r="O687" i="39" l="1"/>
  <c r="O786" i="39" s="1"/>
  <c r="W686" i="39"/>
  <c r="W687" i="39" s="1"/>
  <c r="P714" i="39"/>
  <c r="P777" i="39"/>
  <c r="P701" i="39"/>
  <c r="P786" i="39"/>
  <c r="P704" i="39"/>
  <c r="P729" i="39"/>
  <c r="W302" i="39"/>
  <c r="W301" i="39"/>
  <c r="W299" i="39"/>
  <c r="W300" i="39"/>
  <c r="P789" i="39"/>
  <c r="P728" i="39"/>
  <c r="P718" i="39"/>
  <c r="P711" i="39"/>
  <c r="P730" i="39"/>
  <c r="P709" i="39"/>
  <c r="P735" i="39"/>
  <c r="P702" i="39"/>
  <c r="P782" i="39"/>
  <c r="P788" i="39"/>
  <c r="P780" i="39"/>
  <c r="P726" i="39"/>
  <c r="P695" i="39"/>
  <c r="P703" i="39"/>
  <c r="P713" i="39"/>
  <c r="P721" i="39"/>
  <c r="P719" i="39"/>
  <c r="P712" i="39"/>
  <c r="P781" i="39"/>
  <c r="P737" i="39"/>
  <c r="P692" i="39"/>
  <c r="P720" i="39"/>
  <c r="P787" i="39"/>
  <c r="P738" i="39"/>
  <c r="P697" i="39"/>
  <c r="P694" i="39"/>
  <c r="P696" i="39"/>
  <c r="P779" i="39"/>
  <c r="P731" i="39"/>
  <c r="R788" i="39"/>
  <c r="R782" i="39"/>
  <c r="S788" i="39"/>
  <c r="S786" i="39"/>
  <c r="R789" i="39"/>
  <c r="S789" i="39"/>
  <c r="T789" i="39"/>
  <c r="U753" i="39"/>
  <c r="U787" i="39"/>
  <c r="R777" i="39"/>
  <c r="S777" i="39"/>
  <c r="T777" i="39"/>
  <c r="T788" i="39"/>
  <c r="T787" i="39"/>
  <c r="S779" i="39"/>
  <c r="T779" i="39"/>
  <c r="U779" i="39"/>
  <c r="U789" i="39"/>
  <c r="U788" i="39"/>
  <c r="S780" i="39"/>
  <c r="U780" i="39"/>
  <c r="V780" i="39"/>
  <c r="V779" i="39"/>
  <c r="T719" i="39"/>
  <c r="T782" i="39"/>
  <c r="V789" i="39"/>
  <c r="T781" i="39"/>
  <c r="U781" i="39"/>
  <c r="V788" i="39"/>
  <c r="V787" i="39"/>
  <c r="S694" i="39"/>
  <c r="S782" i="39"/>
  <c r="S781" i="39"/>
  <c r="T786" i="39"/>
  <c r="U782" i="39"/>
  <c r="V782" i="39"/>
  <c r="U777" i="39"/>
  <c r="R781" i="39"/>
  <c r="R780" i="39"/>
  <c r="V777" i="39"/>
  <c r="V786" i="39"/>
  <c r="R787" i="39"/>
  <c r="R786" i="39"/>
  <c r="U748" i="39"/>
  <c r="R738" i="39"/>
  <c r="R703" i="39"/>
  <c r="U752" i="39"/>
  <c r="S743" i="39"/>
  <c r="T772" i="39"/>
  <c r="S719" i="39"/>
  <c r="S755" i="39"/>
  <c r="S714" i="39"/>
  <c r="T760" i="39"/>
  <c r="T709" i="39"/>
  <c r="R694" i="39"/>
  <c r="S737" i="39"/>
  <c r="S718" i="39"/>
  <c r="S735" i="39"/>
  <c r="R720" i="39"/>
  <c r="U737" i="39"/>
  <c r="S729" i="39"/>
  <c r="S695" i="39"/>
  <c r="T721" i="39"/>
  <c r="R714" i="39"/>
  <c r="T747" i="39"/>
  <c r="S701" i="39"/>
  <c r="T726" i="39"/>
  <c r="U696" i="39"/>
  <c r="T735" i="39"/>
  <c r="S703" i="39"/>
  <c r="S731" i="39"/>
  <c r="S692" i="39"/>
  <c r="T704" i="39"/>
  <c r="U730" i="39"/>
  <c r="S746" i="39"/>
  <c r="T711" i="39"/>
  <c r="T764" i="39"/>
  <c r="S704" i="39"/>
  <c r="R696" i="39"/>
  <c r="S754" i="39"/>
  <c r="S745" i="39"/>
  <c r="V730" i="39"/>
  <c r="V746" i="39"/>
  <c r="V748" i="39"/>
  <c r="V752" i="39"/>
  <c r="V754" i="39"/>
  <c r="V735" i="39"/>
  <c r="V765" i="39"/>
  <c r="V747" i="39"/>
  <c r="V755" i="39"/>
  <c r="V731" i="39"/>
  <c r="V737" i="39"/>
  <c r="V695" i="39"/>
  <c r="V697" i="39"/>
  <c r="V763" i="39"/>
  <c r="V701" i="39"/>
  <c r="V729" i="39"/>
  <c r="V703" i="39"/>
  <c r="V771" i="39"/>
  <c r="V711" i="39"/>
  <c r="V726" i="39"/>
  <c r="V772" i="39"/>
  <c r="V702" i="39"/>
  <c r="V714" i="39"/>
  <c r="V704" i="39"/>
  <c r="V720" i="39"/>
  <c r="V769" i="39"/>
  <c r="V753" i="39"/>
  <c r="V760" i="39"/>
  <c r="V738" i="39"/>
  <c r="V764" i="39"/>
  <c r="V713" i="39"/>
  <c r="V745" i="39"/>
  <c r="V743" i="39"/>
  <c r="V694" i="39"/>
  <c r="V770" i="39"/>
  <c r="V696" i="39"/>
  <c r="V709" i="39"/>
  <c r="V736" i="39"/>
  <c r="V718" i="39"/>
  <c r="V712" i="39"/>
  <c r="V719" i="39"/>
  <c r="V728" i="39"/>
  <c r="V762" i="39"/>
  <c r="V721" i="39"/>
  <c r="V692" i="39"/>
  <c r="U755" i="39"/>
  <c r="R721" i="39"/>
  <c r="T728" i="39"/>
  <c r="T694" i="39"/>
  <c r="T753" i="39"/>
  <c r="U769" i="39"/>
  <c r="U754" i="39"/>
  <c r="T720" i="39"/>
  <c r="R695" i="39"/>
  <c r="S726" i="39"/>
  <c r="R704" i="39"/>
  <c r="S747" i="39"/>
  <c r="U692" i="39"/>
  <c r="T743" i="39"/>
  <c r="U765" i="39"/>
  <c r="T738" i="39"/>
  <c r="R709" i="39"/>
  <c r="U760" i="39"/>
  <c r="U771" i="39"/>
  <c r="U701" i="39"/>
  <c r="U745" i="39"/>
  <c r="U694" i="39"/>
  <c r="S711" i="39"/>
  <c r="T736" i="39"/>
  <c r="U770" i="39"/>
  <c r="T702" i="39"/>
  <c r="R729" i="39"/>
  <c r="R712" i="39"/>
  <c r="T762" i="39"/>
  <c r="U736" i="39"/>
  <c r="R713" i="39"/>
  <c r="R701" i="39"/>
  <c r="U728" i="39"/>
  <c r="U702" i="39"/>
  <c r="T737" i="39"/>
  <c r="T729" i="39"/>
  <c r="T763" i="39"/>
  <c r="T771" i="39"/>
  <c r="T695" i="39"/>
  <c r="T697" i="39"/>
  <c r="T701" i="39"/>
  <c r="T703" i="39"/>
  <c r="T746" i="39"/>
  <c r="T731" i="39"/>
  <c r="T752" i="39"/>
  <c r="T748" i="39"/>
  <c r="T769" i="39"/>
  <c r="T754" i="39"/>
  <c r="T712" i="39"/>
  <c r="T692" i="39"/>
  <c r="U743" i="39"/>
  <c r="T714" i="39"/>
  <c r="S738" i="39"/>
  <c r="S730" i="39"/>
  <c r="S713" i="39"/>
  <c r="S721" i="39"/>
  <c r="S736" i="39"/>
  <c r="S720" i="39"/>
  <c r="S712" i="39"/>
  <c r="U746" i="39"/>
  <c r="S696" i="39"/>
  <c r="U764" i="39"/>
  <c r="T696" i="39"/>
  <c r="R726" i="39"/>
  <c r="R718" i="39"/>
  <c r="U704" i="39"/>
  <c r="T755" i="39"/>
  <c r="U747" i="39"/>
  <c r="T730" i="39"/>
  <c r="S697" i="39"/>
  <c r="S709" i="39"/>
  <c r="S748" i="39"/>
  <c r="U731" i="39"/>
  <c r="T713" i="39"/>
  <c r="U711" i="39"/>
  <c r="R711" i="39"/>
  <c r="S753" i="39"/>
  <c r="S702" i="39"/>
  <c r="R731" i="39"/>
  <c r="R735" i="39"/>
  <c r="R702" i="39"/>
  <c r="R697" i="39"/>
  <c r="T765" i="39"/>
  <c r="U738" i="39"/>
  <c r="U763" i="39"/>
  <c r="R730" i="39"/>
  <c r="T745" i="39"/>
  <c r="R728" i="39"/>
  <c r="T770" i="39"/>
  <c r="R719" i="39"/>
  <c r="U712" i="39"/>
  <c r="U720" i="39"/>
  <c r="U714" i="39"/>
  <c r="U718" i="39"/>
  <c r="U695" i="39"/>
  <c r="U703" i="39"/>
  <c r="U709" i="39"/>
  <c r="U721" i="39"/>
  <c r="U713" i="39"/>
  <c r="U726" i="39"/>
  <c r="U729" i="39"/>
  <c r="U772" i="39"/>
  <c r="U735" i="39"/>
  <c r="R737" i="39"/>
  <c r="T718" i="39"/>
  <c r="R692" i="39"/>
  <c r="S752" i="39"/>
  <c r="U697" i="39"/>
  <c r="U762" i="39"/>
  <c r="U719" i="39"/>
  <c r="R736" i="39"/>
  <c r="S728" i="39"/>
  <c r="D330" i="39"/>
  <c r="D331" i="39"/>
  <c r="D332" i="39"/>
  <c r="D333" i="39"/>
  <c r="D334" i="39"/>
  <c r="D335" i="39"/>
  <c r="D336" i="39"/>
  <c r="D337" i="39"/>
  <c r="D338" i="39"/>
  <c r="D340" i="39"/>
  <c r="D341" i="39"/>
  <c r="D342" i="39"/>
  <c r="D343" i="39"/>
  <c r="D329" i="39"/>
  <c r="D323" i="39"/>
  <c r="D324" i="39"/>
  <c r="D325" i="39"/>
  <c r="D326" i="39"/>
  <c r="D322" i="39"/>
  <c r="O325" i="39"/>
  <c r="P325" i="39"/>
  <c r="R325" i="39"/>
  <c r="S325" i="39"/>
  <c r="T325" i="39"/>
  <c r="U325" i="39"/>
  <c r="V325" i="39"/>
  <c r="O326" i="39"/>
  <c r="P326" i="39"/>
  <c r="R326" i="39"/>
  <c r="S326" i="39"/>
  <c r="T326" i="39"/>
  <c r="U326" i="39"/>
  <c r="V326" i="39"/>
  <c r="O323" i="39"/>
  <c r="P323" i="39"/>
  <c r="R323" i="39"/>
  <c r="S323" i="39"/>
  <c r="T323" i="39"/>
  <c r="U323" i="39"/>
  <c r="V323" i="39"/>
  <c r="O324" i="39"/>
  <c r="P324" i="39"/>
  <c r="R324" i="39"/>
  <c r="S324" i="39"/>
  <c r="T324" i="39"/>
  <c r="U324" i="39"/>
  <c r="V324" i="39"/>
  <c r="V322" i="39"/>
  <c r="P322" i="39"/>
  <c r="R322" i="39"/>
  <c r="S322" i="39"/>
  <c r="T322" i="39"/>
  <c r="U322" i="39"/>
  <c r="O322" i="39"/>
  <c r="O704" i="39" l="1"/>
  <c r="O782" i="39"/>
  <c r="O779" i="39"/>
  <c r="O702" i="39"/>
  <c r="O696" i="39"/>
  <c r="O789" i="39"/>
  <c r="O703" i="39"/>
  <c r="O781" i="39"/>
  <c r="O701" i="39"/>
  <c r="L786" i="39" s="1" a="1"/>
  <c r="L786" i="39" s="1"/>
  <c r="O777" i="39"/>
  <c r="O695" i="39"/>
  <c r="O692" i="39"/>
  <c r="O780" i="39"/>
  <c r="O694" i="39"/>
  <c r="O788" i="39"/>
  <c r="L788" i="39" s="1" a="1"/>
  <c r="L788" i="39" s="1"/>
  <c r="O787" i="39"/>
  <c r="O697" i="39"/>
  <c r="L781" i="39" l="1" a="1"/>
  <c r="L781" i="39" s="1"/>
  <c r="L787" i="39" a="1"/>
  <c r="L787" i="39" s="1"/>
  <c r="L782" i="39" a="1"/>
  <c r="L782" i="39" s="1"/>
  <c r="L789" i="39" a="1"/>
  <c r="L789" i="39" s="1"/>
  <c r="L780" i="39" a="1"/>
  <c r="L780" i="39" s="1"/>
  <c r="L779" i="39" a="1"/>
  <c r="L779" i="39" s="1"/>
  <c r="L777" i="39" a="1"/>
  <c r="L777" i="39" s="1"/>
  <c r="N309" i="39"/>
  <c r="N310" i="39"/>
  <c r="N311" i="39"/>
  <c r="N313" i="39"/>
  <c r="N314" i="39"/>
  <c r="N315" i="39"/>
  <c r="N316" i="39"/>
  <c r="N317" i="39"/>
  <c r="N318" i="39"/>
  <c r="N319" i="39"/>
  <c r="D308" i="39"/>
  <c r="D309" i="39"/>
  <c r="D310" i="39"/>
  <c r="D311" i="39"/>
  <c r="D312" i="39"/>
  <c r="D313" i="39"/>
  <c r="D314" i="39"/>
  <c r="D316" i="39"/>
  <c r="D317" i="39"/>
  <c r="D318" i="39"/>
  <c r="D319" i="39"/>
  <c r="D334" i="16"/>
  <c r="D335" i="16"/>
  <c r="D322" i="16"/>
  <c r="D323" i="16"/>
  <c r="D324" i="16"/>
  <c r="D325" i="16"/>
  <c r="D326" i="16"/>
  <c r="D327" i="16"/>
  <c r="D328" i="16"/>
  <c r="D329" i="16"/>
  <c r="D330" i="16"/>
  <c r="D332" i="16"/>
  <c r="D333" i="16"/>
  <c r="D321" i="16"/>
  <c r="D240" i="16"/>
  <c r="L240" i="16"/>
  <c r="M240" i="16"/>
  <c r="D241" i="16"/>
  <c r="L241" i="16"/>
  <c r="M241" i="16"/>
  <c r="D228" i="16"/>
  <c r="L228" i="16"/>
  <c r="M228" i="16"/>
  <c r="D229" i="16"/>
  <c r="L229" i="16"/>
  <c r="M229" i="16"/>
  <c r="D230" i="16"/>
  <c r="L230" i="16"/>
  <c r="M230" i="16"/>
  <c r="D231" i="16"/>
  <c r="L231" i="16"/>
  <c r="M231" i="16"/>
  <c r="D232" i="16"/>
  <c r="L232" i="16"/>
  <c r="M232" i="16"/>
  <c r="D233" i="16"/>
  <c r="L233" i="16"/>
  <c r="M233" i="16"/>
  <c r="D234" i="16"/>
  <c r="L234" i="16"/>
  <c r="M234" i="16"/>
  <c r="D235" i="16"/>
  <c r="L235" i="16"/>
  <c r="M235" i="16"/>
  <c r="D236" i="16"/>
  <c r="L236" i="16"/>
  <c r="M236" i="16"/>
  <c r="L237" i="16"/>
  <c r="M237" i="16"/>
  <c r="D238" i="16"/>
  <c r="L238" i="16"/>
  <c r="M238" i="16"/>
  <c r="D239" i="16"/>
  <c r="L239" i="16"/>
  <c r="M239" i="16"/>
  <c r="D227" i="16"/>
  <c r="D102" i="16"/>
  <c r="L102" i="16"/>
  <c r="D122" i="16"/>
  <c r="L122" i="16"/>
  <c r="D142" i="16"/>
  <c r="L142" i="16"/>
  <c r="M142" i="16"/>
  <c r="D162" i="16"/>
  <c r="L162" i="16"/>
  <c r="M162" i="16"/>
  <c r="D186" i="16"/>
  <c r="L186" i="16"/>
  <c r="M186" i="16"/>
  <c r="D206" i="16"/>
  <c r="L206" i="16"/>
  <c r="M206" i="16"/>
  <c r="P15" i="39"/>
  <c r="P32" i="39" s="1"/>
  <c r="R15" i="39"/>
  <c r="R32" i="39" s="1"/>
  <c r="S15" i="39"/>
  <c r="S32" i="39" s="1"/>
  <c r="T15" i="39"/>
  <c r="T32" i="39" s="1"/>
  <c r="R16" i="39"/>
  <c r="R33" i="39" s="1"/>
  <c r="S16" i="39"/>
  <c r="S33" i="39" s="1"/>
  <c r="S198" i="39" s="1"/>
  <c r="T16" i="39"/>
  <c r="T33" i="39" s="1"/>
  <c r="P17" i="39"/>
  <c r="P34" i="39" s="1"/>
  <c r="R17" i="39"/>
  <c r="R34" i="39" s="1"/>
  <c r="S17" i="39"/>
  <c r="S34" i="39" s="1"/>
  <c r="T17" i="39"/>
  <c r="T34" i="39" s="1"/>
  <c r="P18" i="39"/>
  <c r="P35" i="39" s="1"/>
  <c r="R18" i="39"/>
  <c r="R35" i="39" s="1"/>
  <c r="S18" i="39"/>
  <c r="S35" i="39" s="1"/>
  <c r="T18" i="39"/>
  <c r="T35" i="39" s="1"/>
  <c r="P19" i="39"/>
  <c r="P36" i="39" s="1"/>
  <c r="R19" i="39"/>
  <c r="R36" i="39" s="1"/>
  <c r="R201" i="39" s="1"/>
  <c r="S19" i="39"/>
  <c r="S36" i="39" s="1"/>
  <c r="T19" i="39"/>
  <c r="T36" i="39" s="1"/>
  <c r="P20" i="39"/>
  <c r="P37" i="39" s="1"/>
  <c r="R20" i="39"/>
  <c r="R37" i="39" s="1"/>
  <c r="S20" i="39"/>
  <c r="S37" i="39" s="1"/>
  <c r="T20" i="39"/>
  <c r="T37" i="39" s="1"/>
  <c r="P21" i="39"/>
  <c r="P38" i="39" s="1"/>
  <c r="R21" i="39"/>
  <c r="R38" i="39" s="1"/>
  <c r="S21" i="39"/>
  <c r="S38" i="39" s="1"/>
  <c r="T21" i="39"/>
  <c r="T38" i="39" s="1"/>
  <c r="P22" i="39"/>
  <c r="P39" i="39" s="1"/>
  <c r="R22" i="39"/>
  <c r="R39" i="39" s="1"/>
  <c r="S22" i="39"/>
  <c r="S39" i="39" s="1"/>
  <c r="T22" i="39"/>
  <c r="T39" i="39" s="1"/>
  <c r="P23" i="39"/>
  <c r="P40" i="39" s="1"/>
  <c r="R23" i="39"/>
  <c r="R40" i="39" s="1"/>
  <c r="S23" i="39"/>
  <c r="S40" i="39" s="1"/>
  <c r="T23" i="39"/>
  <c r="T40" i="39" s="1"/>
  <c r="P24" i="39"/>
  <c r="P41" i="39" s="1"/>
  <c r="R24" i="39"/>
  <c r="R41" i="39" s="1"/>
  <c r="S24" i="39"/>
  <c r="S41" i="39" s="1"/>
  <c r="T24" i="39"/>
  <c r="T41" i="39" s="1"/>
  <c r="P25" i="39"/>
  <c r="P42" i="39" s="1"/>
  <c r="R25" i="39"/>
  <c r="R42" i="39" s="1"/>
  <c r="S25" i="39"/>
  <c r="S42" i="39" s="1"/>
  <c r="T25" i="39"/>
  <c r="T42" i="39" s="1"/>
  <c r="P26" i="39"/>
  <c r="P43" i="39" s="1"/>
  <c r="R26" i="39"/>
  <c r="R43" i="39" s="1"/>
  <c r="S26" i="39"/>
  <c r="S43" i="39" s="1"/>
  <c r="T26" i="39"/>
  <c r="T43" i="39" s="1"/>
  <c r="P27" i="39"/>
  <c r="P44" i="39" s="1"/>
  <c r="R27" i="39"/>
  <c r="R44" i="39" s="1"/>
  <c r="S27" i="39"/>
  <c r="S44" i="39" s="1"/>
  <c r="T27" i="39"/>
  <c r="T44" i="39" s="1"/>
  <c r="P28" i="39"/>
  <c r="P45" i="39" s="1"/>
  <c r="R28" i="39"/>
  <c r="R45" i="39" s="1"/>
  <c r="S28" i="39"/>
  <c r="S45" i="39" s="1"/>
  <c r="T28" i="39"/>
  <c r="T45" i="39" s="1"/>
  <c r="P29" i="39"/>
  <c r="P46" i="39" s="1"/>
  <c r="R29" i="39"/>
  <c r="R46" i="39" s="1"/>
  <c r="S29" i="39"/>
  <c r="S46" i="39" s="1"/>
  <c r="T29" i="39"/>
  <c r="T46" i="39" s="1"/>
  <c r="O16" i="39"/>
  <c r="O33" i="39" s="1"/>
  <c r="O17" i="39"/>
  <c r="O34" i="39" s="1"/>
  <c r="O18" i="39"/>
  <c r="O35" i="39" s="1"/>
  <c r="O19" i="39"/>
  <c r="O36" i="39" s="1"/>
  <c r="O20" i="39"/>
  <c r="O37" i="39" s="1"/>
  <c r="O21" i="39"/>
  <c r="O38" i="39" s="1"/>
  <c r="O22" i="39"/>
  <c r="O39" i="39" s="1"/>
  <c r="O23" i="39"/>
  <c r="O40" i="39" s="1"/>
  <c r="O24" i="39"/>
  <c r="O41" i="39" s="1"/>
  <c r="O25" i="39"/>
  <c r="O42" i="39" s="1"/>
  <c r="O26" i="39"/>
  <c r="O43" i="39" s="1"/>
  <c r="O27" i="39"/>
  <c r="O44" i="39" s="1"/>
  <c r="O28" i="39"/>
  <c r="O45" i="39" s="1"/>
  <c r="O29" i="39"/>
  <c r="O46" i="39" s="1"/>
  <c r="O15" i="39"/>
  <c r="O32" i="39" s="1"/>
  <c r="D249" i="16"/>
  <c r="D250" i="16"/>
  <c r="D251" i="16"/>
  <c r="D252" i="16"/>
  <c r="D253" i="16"/>
  <c r="D254" i="16"/>
  <c r="D255" i="16"/>
  <c r="D256" i="16"/>
  <c r="D257" i="16"/>
  <c r="D259" i="16"/>
  <c r="D260" i="16"/>
  <c r="D261" i="16"/>
  <c r="D262" i="16"/>
  <c r="D248" i="16"/>
  <c r="Q50" i="38" l="1"/>
  <c r="U50" i="38"/>
  <c r="P50" i="38"/>
  <c r="O50" i="38"/>
  <c r="O56" i="38" s="1"/>
  <c r="V50" i="38"/>
  <c r="T50" i="38"/>
  <c r="S50" i="38"/>
  <c r="R50" i="38"/>
  <c r="V53" i="38"/>
  <c r="Q52" i="38"/>
  <c r="P51" i="38"/>
  <c r="U53" i="38" l="1"/>
  <c r="V52" i="38"/>
  <c r="O53" i="38"/>
  <c r="O52" i="38"/>
  <c r="P53" i="38"/>
  <c r="S52" i="38"/>
  <c r="S53" i="38"/>
  <c r="T53" i="38"/>
  <c r="O51" i="38"/>
  <c r="P52" i="38"/>
  <c r="U51" i="38"/>
  <c r="Q53" i="38"/>
  <c r="R51" i="38"/>
  <c r="V51" i="38"/>
  <c r="R52" i="38"/>
  <c r="T51" i="38"/>
  <c r="R53" i="38"/>
  <c r="S51" i="38"/>
  <c r="U52" i="38"/>
  <c r="T52" i="38"/>
  <c r="Q51" i="38"/>
  <c r="D263" i="39"/>
  <c r="K263" i="39"/>
  <c r="D261" i="39"/>
  <c r="K261" i="39"/>
  <c r="D262" i="39"/>
  <c r="K262" i="39"/>
  <c r="K259" i="39"/>
  <c r="D260" i="39"/>
  <c r="K260" i="39"/>
  <c r="D250" i="39"/>
  <c r="K250" i="39"/>
  <c r="D251" i="39"/>
  <c r="K251" i="39"/>
  <c r="D252" i="39"/>
  <c r="K252" i="39"/>
  <c r="D253" i="39"/>
  <c r="K253" i="39"/>
  <c r="D254" i="39"/>
  <c r="K254" i="39"/>
  <c r="D255" i="39"/>
  <c r="K255" i="39"/>
  <c r="D256" i="39"/>
  <c r="K256" i="39"/>
  <c r="D257" i="39"/>
  <c r="K257" i="39"/>
  <c r="D258" i="39"/>
  <c r="K258" i="39"/>
  <c r="D249" i="39"/>
  <c r="D244" i="39"/>
  <c r="K244" i="39"/>
  <c r="D245" i="39"/>
  <c r="K245" i="39"/>
  <c r="D232" i="39"/>
  <c r="K232" i="39"/>
  <c r="D233" i="39"/>
  <c r="K233" i="39"/>
  <c r="D234" i="39"/>
  <c r="K234" i="39"/>
  <c r="D235" i="39"/>
  <c r="K235" i="39"/>
  <c r="D236" i="39"/>
  <c r="K236" i="39"/>
  <c r="D237" i="39"/>
  <c r="K237" i="39"/>
  <c r="D238" i="39"/>
  <c r="K238" i="39"/>
  <c r="D239" i="39"/>
  <c r="K239" i="39"/>
  <c r="D240" i="39"/>
  <c r="K240" i="39"/>
  <c r="K241" i="39"/>
  <c r="D242" i="39"/>
  <c r="K242" i="39"/>
  <c r="D243" i="39"/>
  <c r="K243" i="39"/>
  <c r="D231" i="39"/>
  <c r="D228" i="39"/>
  <c r="D226" i="39"/>
  <c r="D227" i="39"/>
  <c r="D215" i="39"/>
  <c r="D216" i="39"/>
  <c r="D217" i="39"/>
  <c r="D218" i="39"/>
  <c r="D219" i="39"/>
  <c r="D220" i="39"/>
  <c r="D221" i="39"/>
  <c r="D222" i="39"/>
  <c r="D223" i="39"/>
  <c r="D225" i="39"/>
  <c r="D214" i="39"/>
  <c r="D210" i="39"/>
  <c r="K210" i="39"/>
  <c r="D211" i="39"/>
  <c r="K211" i="39"/>
  <c r="D198" i="39"/>
  <c r="K198" i="39"/>
  <c r="D199" i="39"/>
  <c r="K199" i="39"/>
  <c r="D200" i="39"/>
  <c r="K200" i="39"/>
  <c r="D201" i="39"/>
  <c r="K201" i="39"/>
  <c r="D202" i="39"/>
  <c r="K202" i="39"/>
  <c r="D203" i="39"/>
  <c r="K203" i="39"/>
  <c r="D204" i="39"/>
  <c r="K204" i="39"/>
  <c r="D205" i="39"/>
  <c r="K205" i="39"/>
  <c r="D206" i="39"/>
  <c r="K206" i="39"/>
  <c r="K207" i="39"/>
  <c r="D208" i="39"/>
  <c r="K208" i="39"/>
  <c r="D209" i="39"/>
  <c r="K209" i="39"/>
  <c r="D197" i="39"/>
  <c r="D193" i="39"/>
  <c r="D194" i="39"/>
  <c r="D192" i="39"/>
  <c r="D181" i="39"/>
  <c r="D182" i="39"/>
  <c r="D183" i="39"/>
  <c r="D184" i="39"/>
  <c r="D185" i="39"/>
  <c r="D186" i="39"/>
  <c r="D187" i="39"/>
  <c r="D188" i="39"/>
  <c r="D189" i="39"/>
  <c r="D191" i="39"/>
  <c r="D180" i="39"/>
  <c r="D176" i="39"/>
  <c r="D177" i="39"/>
  <c r="D164" i="39"/>
  <c r="D165" i="39"/>
  <c r="D166" i="39"/>
  <c r="D167" i="39"/>
  <c r="D168" i="39"/>
  <c r="D169" i="39"/>
  <c r="D170" i="39"/>
  <c r="D171" i="39"/>
  <c r="D172" i="39"/>
  <c r="D174" i="39"/>
  <c r="D175" i="39"/>
  <c r="D163" i="39"/>
  <c r="D16" i="39"/>
  <c r="D17" i="39"/>
  <c r="D18" i="39"/>
  <c r="D19" i="39"/>
  <c r="D20" i="39"/>
  <c r="D21" i="39"/>
  <c r="D22" i="39"/>
  <c r="D23" i="39"/>
  <c r="D24" i="39"/>
  <c r="D26" i="39"/>
  <c r="D27" i="39"/>
  <c r="D28" i="39"/>
  <c r="D29" i="39"/>
  <c r="D15" i="39"/>
  <c r="K142" i="39"/>
  <c r="K143" i="39"/>
  <c r="K144" i="39"/>
  <c r="K145" i="39"/>
  <c r="K146" i="39"/>
  <c r="K147" i="39"/>
  <c r="K148" i="39"/>
  <c r="K149" i="39"/>
  <c r="K150" i="39"/>
  <c r="K151" i="39"/>
  <c r="K152" i="39"/>
  <c r="K153" i="39"/>
  <c r="K154" i="39"/>
  <c r="K155" i="39"/>
  <c r="D154" i="39"/>
  <c r="D155" i="39"/>
  <c r="D142" i="39"/>
  <c r="D143" i="39"/>
  <c r="D144" i="39"/>
  <c r="D145" i="39"/>
  <c r="D146" i="39"/>
  <c r="D147" i="39"/>
  <c r="D148" i="39"/>
  <c r="D149" i="39"/>
  <c r="D150" i="39"/>
  <c r="D152" i="39"/>
  <c r="D153" i="39"/>
  <c r="D141" i="39"/>
  <c r="D137" i="39"/>
  <c r="K137" i="39"/>
  <c r="D124" i="39"/>
  <c r="K124" i="39"/>
  <c r="D125" i="39"/>
  <c r="K125" i="39"/>
  <c r="D126" i="39"/>
  <c r="K126" i="39"/>
  <c r="D127" i="39"/>
  <c r="K127" i="39"/>
  <c r="D128" i="39"/>
  <c r="K128" i="39"/>
  <c r="D129" i="39"/>
  <c r="K129" i="39"/>
  <c r="D130" i="39"/>
  <c r="K130" i="39"/>
  <c r="D131" i="39"/>
  <c r="K131" i="39"/>
  <c r="D132" i="39"/>
  <c r="K132" i="39"/>
  <c r="K133" i="39"/>
  <c r="D134" i="39"/>
  <c r="K134" i="39"/>
  <c r="D135" i="39"/>
  <c r="K135" i="39"/>
  <c r="D136" i="39"/>
  <c r="K136" i="39"/>
  <c r="D123" i="39"/>
  <c r="D118" i="39"/>
  <c r="K118" i="39"/>
  <c r="D119" i="39"/>
  <c r="K119" i="39"/>
  <c r="D106" i="39"/>
  <c r="K106" i="39"/>
  <c r="D107" i="39"/>
  <c r="K107" i="39"/>
  <c r="D108" i="39"/>
  <c r="K108" i="39"/>
  <c r="D109" i="39"/>
  <c r="K109" i="39"/>
  <c r="D110" i="39"/>
  <c r="K110" i="39"/>
  <c r="D111" i="39"/>
  <c r="K111" i="39"/>
  <c r="D112" i="39"/>
  <c r="K112" i="39"/>
  <c r="D113" i="39"/>
  <c r="K113" i="39"/>
  <c r="D114" i="39"/>
  <c r="K114" i="39"/>
  <c r="K115" i="39"/>
  <c r="D116" i="39"/>
  <c r="K116" i="39"/>
  <c r="D117" i="39"/>
  <c r="K117" i="39"/>
  <c r="D105" i="39"/>
  <c r="D101" i="39"/>
  <c r="D102" i="39"/>
  <c r="D89" i="39"/>
  <c r="D90" i="39"/>
  <c r="D91" i="39"/>
  <c r="D92" i="39"/>
  <c r="D93" i="39"/>
  <c r="D94" i="39"/>
  <c r="D95" i="39"/>
  <c r="D96" i="39"/>
  <c r="D97" i="39"/>
  <c r="D99" i="39"/>
  <c r="D100" i="39"/>
  <c r="D88" i="39"/>
  <c r="D62" i="39"/>
  <c r="D63" i="39"/>
  <c r="D50" i="39"/>
  <c r="D51" i="39"/>
  <c r="D52" i="39"/>
  <c r="D53" i="39"/>
  <c r="D54" i="39"/>
  <c r="D55" i="39"/>
  <c r="D56" i="39"/>
  <c r="D57" i="39"/>
  <c r="D58" i="39"/>
  <c r="D60" i="39"/>
  <c r="D61" i="39"/>
  <c r="D49" i="39"/>
  <c r="K37" i="39"/>
  <c r="K38" i="39"/>
  <c r="K39" i="39"/>
  <c r="K40" i="39"/>
  <c r="K41" i="39"/>
  <c r="K42" i="39"/>
  <c r="K43" i="39"/>
  <c r="K44" i="39"/>
  <c r="K45" i="39"/>
  <c r="K46" i="39"/>
  <c r="D44" i="39"/>
  <c r="D45" i="39"/>
  <c r="D46" i="39"/>
  <c r="D43" i="39"/>
  <c r="D33" i="39"/>
  <c r="D34" i="39"/>
  <c r="D35" i="39"/>
  <c r="D36" i="39"/>
  <c r="D37" i="39"/>
  <c r="D38" i="39"/>
  <c r="D39" i="39"/>
  <c r="D40" i="39"/>
  <c r="D41" i="39"/>
  <c r="D32" i="39"/>
  <c r="O70" i="39"/>
  <c r="O105" i="39" s="1"/>
  <c r="P70" i="39"/>
  <c r="P105" i="39" s="1"/>
  <c r="R70" i="39"/>
  <c r="R105" i="39" s="1"/>
  <c r="T70" i="39"/>
  <c r="T105" i="39" s="1"/>
  <c r="O71" i="39"/>
  <c r="O106" i="39" s="1"/>
  <c r="P71" i="39"/>
  <c r="P106" i="39" s="1"/>
  <c r="O72" i="39"/>
  <c r="O107" i="39" s="1"/>
  <c r="P72" i="39"/>
  <c r="P107" i="39" s="1"/>
  <c r="R72" i="39"/>
  <c r="R107" i="39" s="1"/>
  <c r="S72" i="39"/>
  <c r="S107" i="39" s="1"/>
  <c r="T72" i="39"/>
  <c r="T107" i="39" s="1"/>
  <c r="O73" i="39"/>
  <c r="O108" i="39" s="1"/>
  <c r="P73" i="39"/>
  <c r="P108" i="39" s="1"/>
  <c r="R73" i="39"/>
  <c r="R108" i="39" s="1"/>
  <c r="S73" i="39"/>
  <c r="S108" i="39" s="1"/>
  <c r="T73" i="39"/>
  <c r="T108" i="39" s="1"/>
  <c r="O74" i="39"/>
  <c r="O109" i="39" s="1"/>
  <c r="P74" i="39"/>
  <c r="P109" i="39" s="1"/>
  <c r="R74" i="39"/>
  <c r="R109" i="39" s="1"/>
  <c r="S74" i="39"/>
  <c r="S109" i="39" s="1"/>
  <c r="T74" i="39"/>
  <c r="T109" i="39" s="1"/>
  <c r="O75" i="39"/>
  <c r="O110" i="39" s="1"/>
  <c r="P75" i="39"/>
  <c r="P110" i="39" s="1"/>
  <c r="R75" i="39"/>
  <c r="R110" i="39" s="1"/>
  <c r="S75" i="39"/>
  <c r="S110" i="39" s="1"/>
  <c r="T75" i="39"/>
  <c r="T110" i="39" s="1"/>
  <c r="O76" i="39"/>
  <c r="O111" i="39" s="1"/>
  <c r="P76" i="39"/>
  <c r="P111" i="39" s="1"/>
  <c r="R76" i="39"/>
  <c r="R111" i="39" s="1"/>
  <c r="S76" i="39"/>
  <c r="S111" i="39" s="1"/>
  <c r="T76" i="39"/>
  <c r="T111" i="39" s="1"/>
  <c r="O77" i="39"/>
  <c r="O112" i="39" s="1"/>
  <c r="P77" i="39"/>
  <c r="P112" i="39" s="1"/>
  <c r="R77" i="39"/>
  <c r="R112" i="39" s="1"/>
  <c r="S77" i="39"/>
  <c r="S112" i="39" s="1"/>
  <c r="T77" i="39"/>
  <c r="T112" i="39" s="1"/>
  <c r="O78" i="39"/>
  <c r="O113" i="39" s="1"/>
  <c r="P78" i="39"/>
  <c r="P113" i="39" s="1"/>
  <c r="R78" i="39"/>
  <c r="R113" i="39" s="1"/>
  <c r="T78" i="39"/>
  <c r="T113" i="39" s="1"/>
  <c r="O79" i="39"/>
  <c r="O114" i="39" s="1"/>
  <c r="P79" i="39"/>
  <c r="P114" i="39" s="1"/>
  <c r="O80" i="39"/>
  <c r="O115" i="39" s="1"/>
  <c r="P80" i="39"/>
  <c r="P115" i="39" s="1"/>
  <c r="R80" i="39"/>
  <c r="R115" i="39" s="1"/>
  <c r="S80" i="39"/>
  <c r="S115" i="39" s="1"/>
  <c r="T80" i="39"/>
  <c r="T115" i="39" s="1"/>
  <c r="O81" i="39"/>
  <c r="O116" i="39" s="1"/>
  <c r="P81" i="39"/>
  <c r="P116" i="39" s="1"/>
  <c r="R81" i="39"/>
  <c r="R116" i="39" s="1"/>
  <c r="S81" i="39"/>
  <c r="S116" i="39" s="1"/>
  <c r="T81" i="39"/>
  <c r="T116" i="39" s="1"/>
  <c r="O82" i="39"/>
  <c r="O117" i="39" s="1"/>
  <c r="P82" i="39"/>
  <c r="P117" i="39" s="1"/>
  <c r="R82" i="39"/>
  <c r="R117" i="39" s="1"/>
  <c r="S82" i="39"/>
  <c r="S117" i="39" s="1"/>
  <c r="T82" i="39"/>
  <c r="T117" i="39" s="1"/>
  <c r="O83" i="39"/>
  <c r="O118" i="39" s="1"/>
  <c r="P83" i="39"/>
  <c r="P118" i="39" s="1"/>
  <c r="R83" i="39"/>
  <c r="R118" i="39" s="1"/>
  <c r="S83" i="39"/>
  <c r="S118" i="39" s="1"/>
  <c r="T83" i="39"/>
  <c r="T118" i="39" s="1"/>
  <c r="O84" i="39"/>
  <c r="O119" i="39" s="1"/>
  <c r="P84" i="39"/>
  <c r="P119" i="39" s="1"/>
  <c r="R84" i="39"/>
  <c r="R119" i="39" s="1"/>
  <c r="S84" i="39"/>
  <c r="S119" i="39" s="1"/>
  <c r="T84" i="39"/>
  <c r="T119" i="39" s="1"/>
  <c r="N72" i="39"/>
  <c r="N73" i="39"/>
  <c r="N74" i="39"/>
  <c r="N75" i="39"/>
  <c r="N76" i="39"/>
  <c r="N77" i="39"/>
  <c r="N80" i="39"/>
  <c r="N81" i="39"/>
  <c r="N82" i="39"/>
  <c r="N83" i="39"/>
  <c r="N84" i="39"/>
  <c r="K75" i="39"/>
  <c r="K76" i="39"/>
  <c r="K77" i="39"/>
  <c r="K78" i="39"/>
  <c r="K79" i="39"/>
  <c r="K80" i="39"/>
  <c r="K81" i="39"/>
  <c r="K82" i="39"/>
  <c r="K83" i="39"/>
  <c r="K84" i="39"/>
  <c r="K85" i="39"/>
  <c r="D84" i="39"/>
  <c r="D71" i="39"/>
  <c r="D72" i="39"/>
  <c r="D73" i="39"/>
  <c r="D74" i="39"/>
  <c r="D75" i="39"/>
  <c r="D76" i="39"/>
  <c r="D77" i="39"/>
  <c r="D78" i="39"/>
  <c r="D79" i="39"/>
  <c r="D81" i="39"/>
  <c r="D82" i="39"/>
  <c r="D83" i="39"/>
  <c r="D70" i="39"/>
  <c r="O133" i="11"/>
  <c r="K310" i="11"/>
  <c r="W310" i="11"/>
  <c r="W124" i="11"/>
  <c r="W120" i="11"/>
  <c r="W121" i="11"/>
  <c r="W122" i="11"/>
  <c r="W123" i="11"/>
  <c r="W125" i="11"/>
  <c r="W128" i="11"/>
  <c r="W129" i="11"/>
  <c r="W130" i="11"/>
  <c r="W131" i="11"/>
  <c r="W132" i="11"/>
  <c r="D119" i="11"/>
  <c r="D120" i="11"/>
  <c r="D121" i="11"/>
  <c r="D122" i="11"/>
  <c r="D123" i="11"/>
  <c r="D124" i="11"/>
  <c r="D125" i="11"/>
  <c r="D126" i="11"/>
  <c r="D127" i="11"/>
  <c r="D129" i="11"/>
  <c r="D130" i="11"/>
  <c r="D131" i="11"/>
  <c r="D132" i="11"/>
  <c r="D118" i="11"/>
  <c r="K132" i="11"/>
  <c r="K131" i="11"/>
  <c r="K130" i="11"/>
  <c r="K129" i="11"/>
  <c r="K128" i="11"/>
  <c r="K127" i="11"/>
  <c r="K126" i="11"/>
  <c r="K125" i="11"/>
  <c r="K124" i="11"/>
  <c r="W76" i="39" l="1"/>
  <c r="N186" i="39" s="1"/>
  <c r="W84" i="39"/>
  <c r="N194" i="39" s="1"/>
  <c r="W83" i="39"/>
  <c r="N193" i="39" s="1"/>
  <c r="W74" i="39"/>
  <c r="N184" i="39" s="1"/>
  <c r="W75" i="39"/>
  <c r="N185" i="39" s="1"/>
  <c r="W82" i="39"/>
  <c r="N192" i="39" s="1"/>
  <c r="W81" i="39"/>
  <c r="N191" i="39" s="1"/>
  <c r="W72" i="39"/>
  <c r="N182" i="39" s="1"/>
  <c r="W77" i="39"/>
  <c r="N187" i="39" s="1"/>
  <c r="W73" i="39"/>
  <c r="N183" i="39" s="1"/>
  <c r="W80" i="39"/>
  <c r="N190" i="39" s="1"/>
  <c r="W117" i="39"/>
  <c r="W111" i="39"/>
  <c r="W108" i="39"/>
  <c r="W119" i="39"/>
  <c r="W110" i="39"/>
  <c r="W107" i="39"/>
  <c r="W118" i="39"/>
  <c r="W116" i="39"/>
  <c r="W115" i="39"/>
  <c r="W112" i="39"/>
  <c r="W109" i="39"/>
  <c r="P85" i="39"/>
  <c r="O85" i="39"/>
  <c r="K264" i="39"/>
  <c r="K249" i="39"/>
  <c r="K246" i="39"/>
  <c r="K231" i="39"/>
  <c r="K197" i="39"/>
  <c r="K120" i="39"/>
  <c r="K105" i="39"/>
  <c r="K32" i="39"/>
  <c r="K33" i="39"/>
  <c r="K34" i="39"/>
  <c r="K35" i="39"/>
  <c r="K36" i="39"/>
  <c r="W28" i="11"/>
  <c r="O120" i="39" l="1"/>
  <c r="P120" i="39"/>
  <c r="K156" i="39" l="1"/>
  <c r="K141" i="39"/>
  <c r="K138" i="39"/>
  <c r="K123" i="39"/>
  <c r="K74" i="39"/>
  <c r="K73" i="39"/>
  <c r="K72" i="39"/>
  <c r="K71" i="39"/>
  <c r="K70" i="39"/>
  <c r="N10" i="39"/>
  <c r="M10" i="39"/>
  <c r="L10" i="39"/>
  <c r="K10" i="39"/>
  <c r="B10" i="39"/>
  <c r="L8" i="39"/>
  <c r="I2" i="39"/>
  <c r="H2" i="39"/>
  <c r="G2" i="39"/>
  <c r="F2" i="39"/>
  <c r="B2" i="39"/>
  <c r="E93" i="1" s="1"/>
  <c r="M282" i="16"/>
  <c r="M227" i="16"/>
  <c r="M50" i="30" s="1"/>
  <c r="L227" i="16"/>
  <c r="L50" i="30" s="1"/>
  <c r="W306" i="11"/>
  <c r="L306" i="11" s="1"/>
  <c r="L96" i="30" s="1"/>
  <c r="K306" i="11"/>
  <c r="W79" i="11"/>
  <c r="W80" i="11"/>
  <c r="W81" i="11"/>
  <c r="W82" i="11"/>
  <c r="W83" i="11"/>
  <c r="W84" i="11"/>
  <c r="W87" i="11"/>
  <c r="W88" i="11"/>
  <c r="W89" i="11"/>
  <c r="W90" i="11"/>
  <c r="W91" i="11"/>
  <c r="K121" i="11"/>
  <c r="K133" i="11"/>
  <c r="K123" i="11"/>
  <c r="K122" i="11"/>
  <c r="K120" i="11"/>
  <c r="K119" i="11"/>
  <c r="K118" i="11"/>
  <c r="O140" i="11"/>
  <c r="P140" i="11"/>
  <c r="K142" i="11"/>
  <c r="L142" i="11"/>
  <c r="M142" i="11"/>
  <c r="W142" i="11"/>
  <c r="K144" i="11"/>
  <c r="L144" i="11"/>
  <c r="M144" i="11"/>
  <c r="W144" i="11"/>
  <c r="K147" i="11"/>
  <c r="L147" i="11"/>
  <c r="M147" i="11"/>
  <c r="W147" i="11"/>
  <c r="K149" i="11"/>
  <c r="R152" i="11"/>
  <c r="S152" i="11"/>
  <c r="T152" i="11"/>
  <c r="U152" i="11"/>
  <c r="V152" i="11"/>
  <c r="L153" i="11"/>
  <c r="M153" i="11"/>
  <c r="U163" i="38"/>
  <c r="V163" i="38"/>
  <c r="U164" i="38"/>
  <c r="V164" i="38"/>
  <c r="U165" i="38"/>
  <c r="V165" i="38"/>
  <c r="U162" i="38"/>
  <c r="V162" i="38"/>
  <c r="D192" i="38"/>
  <c r="D193" i="38"/>
  <c r="D194" i="38"/>
  <c r="D191" i="38"/>
  <c r="D77" i="11"/>
  <c r="K195" i="38"/>
  <c r="K194" i="38"/>
  <c r="K193" i="38"/>
  <c r="K192" i="38"/>
  <c r="K191" i="38"/>
  <c r="K147" i="38"/>
  <c r="K146" i="38"/>
  <c r="K145" i="38"/>
  <c r="K144" i="38"/>
  <c r="K141" i="38"/>
  <c r="K140" i="38"/>
  <c r="K139" i="38"/>
  <c r="K138" i="38"/>
  <c r="K105" i="18"/>
  <c r="K104" i="18"/>
  <c r="K108" i="38"/>
  <c r="K107" i="38"/>
  <c r="K106" i="38"/>
  <c r="K105" i="38"/>
  <c r="K103" i="18"/>
  <c r="K102" i="18"/>
  <c r="K101" i="18"/>
  <c r="K89" i="18"/>
  <c r="K90" i="18"/>
  <c r="K91" i="18"/>
  <c r="K92" i="18"/>
  <c r="K93" i="18"/>
  <c r="K94" i="18"/>
  <c r="K95" i="18"/>
  <c r="K96" i="18"/>
  <c r="K97" i="18"/>
  <c r="K98" i="18"/>
  <c r="K99" i="18"/>
  <c r="K100" i="18"/>
  <c r="K88" i="18"/>
  <c r="N46" i="38"/>
  <c r="M203" i="16"/>
  <c r="L203" i="16"/>
  <c r="N45" i="38"/>
  <c r="N47" i="38"/>
  <c r="K44" i="38"/>
  <c r="K45" i="38"/>
  <c r="K46" i="38"/>
  <c r="K47" i="38"/>
  <c r="M81" i="30" l="1"/>
  <c r="P208" i="39"/>
  <c r="P210" i="39"/>
  <c r="P197" i="39"/>
  <c r="P199" i="39"/>
  <c r="P201" i="39"/>
  <c r="P203" i="39"/>
  <c r="P205" i="39"/>
  <c r="P207" i="39"/>
  <c r="P209" i="39"/>
  <c r="P211" i="39"/>
  <c r="P204" i="39"/>
  <c r="P202" i="39"/>
  <c r="P200" i="39"/>
  <c r="T200" i="39"/>
  <c r="T202" i="39"/>
  <c r="T204" i="39"/>
  <c r="T206" i="39"/>
  <c r="T208" i="39"/>
  <c r="T210" i="39"/>
  <c r="T198" i="39"/>
  <c r="T197" i="39"/>
  <c r="T199" i="39"/>
  <c r="T201" i="39"/>
  <c r="T203" i="39"/>
  <c r="T205" i="39"/>
  <c r="T207" i="39"/>
  <c r="T209" i="39"/>
  <c r="T211" i="39"/>
  <c r="R200" i="39"/>
  <c r="R202" i="39"/>
  <c r="R204" i="39"/>
  <c r="R208" i="39"/>
  <c r="R210" i="39"/>
  <c r="R197" i="39"/>
  <c r="R199" i="39"/>
  <c r="R203" i="39"/>
  <c r="R205" i="39"/>
  <c r="R207" i="39"/>
  <c r="R209" i="39"/>
  <c r="R211" i="39"/>
  <c r="S200" i="39"/>
  <c r="S204" i="39"/>
  <c r="S208" i="39"/>
  <c r="S210" i="39"/>
  <c r="S197" i="39"/>
  <c r="S199" i="39"/>
  <c r="S201" i="39"/>
  <c r="S203" i="39"/>
  <c r="S205" i="39"/>
  <c r="S207" i="39"/>
  <c r="S209" i="39"/>
  <c r="S211" i="39"/>
  <c r="O206" i="39"/>
  <c r="P59" i="38"/>
  <c r="Q59" i="38"/>
  <c r="O59" i="38"/>
  <c r="P56" i="38"/>
  <c r="Q56" i="38"/>
  <c r="O57" i="38"/>
  <c r="P57" i="38"/>
  <c r="Q57" i="38"/>
  <c r="P58" i="38"/>
  <c r="O58" i="38"/>
  <c r="Q58" i="38"/>
  <c r="B12" i="39"/>
  <c r="C202" i="30" s="1"/>
  <c r="O397" i="39" l="1"/>
  <c r="R359" i="39"/>
  <c r="S410" i="39"/>
  <c r="S340" i="39"/>
  <c r="V340" i="39"/>
  <c r="V364" i="39"/>
  <c r="V360" i="39"/>
  <c r="V373" i="39"/>
  <c r="U389" i="39"/>
  <c r="V370" i="39"/>
  <c r="T374" i="39"/>
  <c r="V397" i="39"/>
  <c r="U380" i="39"/>
  <c r="P343" i="39"/>
  <c r="U333" i="39"/>
  <c r="S206" i="39"/>
  <c r="O201" i="39"/>
  <c r="W201" i="39" s="1"/>
  <c r="S202" i="39"/>
  <c r="R206" i="39"/>
  <c r="O198" i="39"/>
  <c r="O197" i="39"/>
  <c r="W197" i="39" s="1"/>
  <c r="W32" i="39"/>
  <c r="O209" i="39"/>
  <c r="W209" i="39" s="1"/>
  <c r="W44" i="39"/>
  <c r="O207" i="39"/>
  <c r="W207" i="39" s="1"/>
  <c r="W42" i="39"/>
  <c r="O204" i="39"/>
  <c r="W204" i="39" s="1"/>
  <c r="W39" i="39"/>
  <c r="O210" i="39"/>
  <c r="W210" i="39" s="1"/>
  <c r="W45" i="39"/>
  <c r="O205" i="39"/>
  <c r="W205" i="39" s="1"/>
  <c r="W40" i="39"/>
  <c r="O203" i="39"/>
  <c r="W203" i="39" s="1"/>
  <c r="W38" i="39"/>
  <c r="O211" i="39"/>
  <c r="W211" i="39" s="1"/>
  <c r="W46" i="39"/>
  <c r="O202" i="39"/>
  <c r="P198" i="39"/>
  <c r="R198" i="39"/>
  <c r="O199" i="39"/>
  <c r="W199" i="39" s="1"/>
  <c r="W34" i="39"/>
  <c r="O200" i="39"/>
  <c r="W200" i="39" s="1"/>
  <c r="W35" i="39"/>
  <c r="O208" i="39"/>
  <c r="W208" i="39" s="1"/>
  <c r="W43" i="39"/>
  <c r="V387" i="39"/>
  <c r="R357" i="39"/>
  <c r="R374" i="39"/>
  <c r="R340" i="39"/>
  <c r="R408" i="39"/>
  <c r="R391" i="39"/>
  <c r="V334" i="39"/>
  <c r="V402" i="39"/>
  <c r="V351" i="39"/>
  <c r="V385" i="39"/>
  <c r="V368" i="39"/>
  <c r="V401" i="39"/>
  <c r="V384" i="39"/>
  <c r="V350" i="39"/>
  <c r="V367" i="39"/>
  <c r="V333" i="39"/>
  <c r="U394" i="39"/>
  <c r="U360" i="39"/>
  <c r="U411" i="39"/>
  <c r="U377" i="39"/>
  <c r="U343" i="39"/>
  <c r="T357" i="39"/>
  <c r="T391" i="39"/>
  <c r="V383" i="39"/>
  <c r="V332" i="39"/>
  <c r="V400" i="39"/>
  <c r="V366" i="39"/>
  <c r="V349" i="39"/>
  <c r="V399" i="39"/>
  <c r="V382" i="39"/>
  <c r="V331" i="39"/>
  <c r="V348" i="39"/>
  <c r="V365" i="39"/>
  <c r="U393" i="39"/>
  <c r="U342" i="39"/>
  <c r="U359" i="39"/>
  <c r="U410" i="39"/>
  <c r="U376" i="39"/>
  <c r="U409" i="39"/>
  <c r="U392" i="39"/>
  <c r="U358" i="39"/>
  <c r="U375" i="39"/>
  <c r="U341" i="39"/>
  <c r="O409" i="39"/>
  <c r="O392" i="39"/>
  <c r="O341" i="39"/>
  <c r="O375" i="39"/>
  <c r="O358" i="39"/>
  <c r="R377" i="39"/>
  <c r="R343" i="39"/>
  <c r="R360" i="39"/>
  <c r="R411" i="39"/>
  <c r="R394" i="39"/>
  <c r="V330" i="39"/>
  <c r="V398" i="39"/>
  <c r="V346" i="39"/>
  <c r="O377" i="39"/>
  <c r="O411" i="39"/>
  <c r="O360" i="39"/>
  <c r="O394" i="39"/>
  <c r="O343" i="39"/>
  <c r="U391" i="39"/>
  <c r="U408" i="39"/>
  <c r="U357" i="39"/>
  <c r="U340" i="39"/>
  <c r="U374" i="39"/>
  <c r="U390" i="39"/>
  <c r="U407" i="39"/>
  <c r="U339" i="39"/>
  <c r="U356" i="39"/>
  <c r="U373" i="39"/>
  <c r="S375" i="39"/>
  <c r="S358" i="39"/>
  <c r="U347" i="39"/>
  <c r="U364" i="39"/>
  <c r="U398" i="39"/>
  <c r="U381" i="39"/>
  <c r="U330" i="39"/>
  <c r="S374" i="39"/>
  <c r="S357" i="39"/>
  <c r="S408" i="39"/>
  <c r="S391" i="39"/>
  <c r="V411" i="39"/>
  <c r="P410" i="39"/>
  <c r="P376" i="39"/>
  <c r="U372" i="39"/>
  <c r="U354" i="39"/>
  <c r="U371" i="39"/>
  <c r="U388" i="39"/>
  <c r="U337" i="39"/>
  <c r="U405" i="39"/>
  <c r="V352" i="39"/>
  <c r="V369" i="39"/>
  <c r="V403" i="39"/>
  <c r="V386" i="39"/>
  <c r="V335" i="39"/>
  <c r="V410" i="39"/>
  <c r="V359" i="39"/>
  <c r="V393" i="39"/>
  <c r="V342" i="39"/>
  <c r="V376" i="39"/>
  <c r="V409" i="39"/>
  <c r="V341" i="39"/>
  <c r="V375" i="39"/>
  <c r="V392" i="39"/>
  <c r="V358" i="39"/>
  <c r="O359" i="39"/>
  <c r="O342" i="39"/>
  <c r="O410" i="39"/>
  <c r="O376" i="39"/>
  <c r="O393" i="39"/>
  <c r="U387" i="39"/>
  <c r="U353" i="39"/>
  <c r="U404" i="39"/>
  <c r="U370" i="39"/>
  <c r="U336" i="39"/>
  <c r="U403" i="39"/>
  <c r="U369" i="39"/>
  <c r="U352" i="39"/>
  <c r="U386" i="39"/>
  <c r="U335" i="39"/>
  <c r="T359" i="39"/>
  <c r="T410" i="39"/>
  <c r="T393" i="39"/>
  <c r="T342" i="39"/>
  <c r="T376" i="39"/>
  <c r="P392" i="39"/>
  <c r="V408" i="39"/>
  <c r="V390" i="39"/>
  <c r="O374" i="39"/>
  <c r="O340" i="39"/>
  <c r="O391" i="39"/>
  <c r="O408" i="39"/>
  <c r="O357" i="39"/>
  <c r="U385" i="39"/>
  <c r="U351" i="39"/>
  <c r="U368" i="39"/>
  <c r="U402" i="39"/>
  <c r="U334" i="39"/>
  <c r="T375" i="39"/>
  <c r="T409" i="39"/>
  <c r="T341" i="39"/>
  <c r="T358" i="39"/>
  <c r="T392" i="39"/>
  <c r="R375" i="39"/>
  <c r="R341" i="39"/>
  <c r="R409" i="39"/>
  <c r="R358" i="39"/>
  <c r="R392" i="39"/>
  <c r="S376" i="39"/>
  <c r="S394" i="39"/>
  <c r="V355" i="39"/>
  <c r="V372" i="39"/>
  <c r="V338" i="39"/>
  <c r="V389" i="39"/>
  <c r="V406" i="39"/>
  <c r="V388" i="39"/>
  <c r="P377" i="39"/>
  <c r="U366" i="39"/>
  <c r="U332" i="39"/>
  <c r="U383" i="39"/>
  <c r="U349" i="39"/>
  <c r="U400" i="39"/>
  <c r="U365" i="39"/>
  <c r="U331" i="39"/>
  <c r="U399" i="39"/>
  <c r="U382" i="39"/>
  <c r="U348" i="39"/>
  <c r="B67" i="39"/>
  <c r="C205" i="30" s="1"/>
  <c r="K57" i="38"/>
  <c r="K58" i="38"/>
  <c r="K59" i="38"/>
  <c r="R35" i="38"/>
  <c r="S35" i="38"/>
  <c r="T35" i="38"/>
  <c r="U35" i="38"/>
  <c r="V35" i="38"/>
  <c r="K35" i="38"/>
  <c r="K34" i="38"/>
  <c r="U59" i="39" l="1"/>
  <c r="U133" i="39" s="1"/>
  <c r="V59" i="39"/>
  <c r="V133" i="39" s="1"/>
  <c r="W35" i="38"/>
  <c r="O380" i="39"/>
  <c r="O346" i="39"/>
  <c r="O329" i="39"/>
  <c r="O363" i="39"/>
  <c r="R342" i="39"/>
  <c r="T377" i="39"/>
  <c r="P393" i="39"/>
  <c r="W37" i="39"/>
  <c r="R54" i="39" s="1"/>
  <c r="R128" i="39" s="1"/>
  <c r="R146" i="39" s="1"/>
  <c r="R376" i="39"/>
  <c r="W376" i="39" s="1"/>
  <c r="P342" i="39"/>
  <c r="W202" i="39"/>
  <c r="R393" i="39"/>
  <c r="R410" i="39"/>
  <c r="W410" i="39" s="1"/>
  <c r="P359" i="39"/>
  <c r="P391" i="39"/>
  <c r="T360" i="39"/>
  <c r="P360" i="39"/>
  <c r="S343" i="39"/>
  <c r="V391" i="39"/>
  <c r="U363" i="39"/>
  <c r="V343" i="39"/>
  <c r="P357" i="39"/>
  <c r="S360" i="39"/>
  <c r="V357" i="39"/>
  <c r="U346" i="39"/>
  <c r="V394" i="39"/>
  <c r="P408" i="39"/>
  <c r="S411" i="39"/>
  <c r="U397" i="39"/>
  <c r="P411" i="39"/>
  <c r="V374" i="39"/>
  <c r="U355" i="39"/>
  <c r="V377" i="39"/>
  <c r="U406" i="39"/>
  <c r="P394" i="39"/>
  <c r="S377" i="39"/>
  <c r="U329" i="39"/>
  <c r="U338" i="39"/>
  <c r="P374" i="39"/>
  <c r="P340" i="39"/>
  <c r="S342" i="39"/>
  <c r="U367" i="39"/>
  <c r="V407" i="39"/>
  <c r="T411" i="39"/>
  <c r="S341" i="39"/>
  <c r="V380" i="39"/>
  <c r="V381" i="39"/>
  <c r="V354" i="39"/>
  <c r="U384" i="39"/>
  <c r="T343" i="39"/>
  <c r="S409" i="39"/>
  <c r="V329" i="39"/>
  <c r="T408" i="39"/>
  <c r="V336" i="39"/>
  <c r="V371" i="39"/>
  <c r="S393" i="39"/>
  <c r="U350" i="39"/>
  <c r="P375" i="39"/>
  <c r="W375" i="39" s="1"/>
  <c r="T394" i="39"/>
  <c r="S392" i="39"/>
  <c r="W392" i="39" s="1"/>
  <c r="T340" i="39"/>
  <c r="V404" i="39"/>
  <c r="V405" i="39"/>
  <c r="S359" i="39"/>
  <c r="U401" i="39"/>
  <c r="V339" i="39"/>
  <c r="P409" i="39"/>
  <c r="V356" i="39"/>
  <c r="P341" i="39"/>
  <c r="V347" i="39"/>
  <c r="V353" i="39"/>
  <c r="V363" i="39"/>
  <c r="V337" i="39"/>
  <c r="P358" i="39"/>
  <c r="W358" i="39" s="1"/>
  <c r="W36" i="39"/>
  <c r="O53" i="39" s="1"/>
  <c r="P56" i="39"/>
  <c r="P130" i="39" s="1"/>
  <c r="P148" i="39" s="1"/>
  <c r="T56" i="39"/>
  <c r="T130" i="39" s="1"/>
  <c r="T148" i="39" s="1"/>
  <c r="O56" i="39"/>
  <c r="R56" i="39"/>
  <c r="R130" i="39" s="1"/>
  <c r="R148" i="39" s="1"/>
  <c r="S56" i="39"/>
  <c r="S130" i="39" s="1"/>
  <c r="S148" i="39" s="1"/>
  <c r="S63" i="39"/>
  <c r="S137" i="39" s="1"/>
  <c r="S155" i="39" s="1"/>
  <c r="T63" i="39"/>
  <c r="T137" i="39" s="1"/>
  <c r="T155" i="39" s="1"/>
  <c r="O63" i="39"/>
  <c r="R63" i="39"/>
  <c r="R137" i="39" s="1"/>
  <c r="R155" i="39" s="1"/>
  <c r="P63" i="39"/>
  <c r="P137" i="39" s="1"/>
  <c r="P155" i="39" s="1"/>
  <c r="S51" i="39"/>
  <c r="S125" i="39" s="1"/>
  <c r="S143" i="39" s="1"/>
  <c r="O51" i="39"/>
  <c r="P51" i="39"/>
  <c r="P125" i="39" s="1"/>
  <c r="P143" i="39" s="1"/>
  <c r="R51" i="39"/>
  <c r="R125" i="39" s="1"/>
  <c r="R143" i="39" s="1"/>
  <c r="T51" i="39"/>
  <c r="T125" i="39" s="1"/>
  <c r="T143" i="39" s="1"/>
  <c r="W33" i="39"/>
  <c r="P50" i="39" s="1"/>
  <c r="R55" i="39"/>
  <c r="R129" i="39" s="1"/>
  <c r="R147" i="39" s="1"/>
  <c r="S55" i="39"/>
  <c r="S129" i="39" s="1"/>
  <c r="S147" i="39" s="1"/>
  <c r="T55" i="39"/>
  <c r="T129" i="39" s="1"/>
  <c r="T147" i="39" s="1"/>
  <c r="P55" i="39"/>
  <c r="P129" i="39" s="1"/>
  <c r="P147" i="39" s="1"/>
  <c r="O55" i="39"/>
  <c r="S57" i="39"/>
  <c r="P57" i="39"/>
  <c r="O57" i="39"/>
  <c r="T57" i="39"/>
  <c r="R57" i="39"/>
  <c r="S61" i="39"/>
  <c r="S135" i="39" s="1"/>
  <c r="S153" i="39" s="1"/>
  <c r="T61" i="39"/>
  <c r="T135" i="39" s="1"/>
  <c r="T153" i="39" s="1"/>
  <c r="P61" i="39"/>
  <c r="P135" i="39" s="1"/>
  <c r="P153" i="39" s="1"/>
  <c r="R61" i="39"/>
  <c r="R135" i="39" s="1"/>
  <c r="R153" i="39" s="1"/>
  <c r="O61" i="39"/>
  <c r="O49" i="39"/>
  <c r="S49" i="39"/>
  <c r="R49" i="39"/>
  <c r="T49" i="39"/>
  <c r="P49" i="39"/>
  <c r="W198" i="39"/>
  <c r="T62" i="39"/>
  <c r="T136" i="39" s="1"/>
  <c r="T154" i="39" s="1"/>
  <c r="R62" i="39"/>
  <c r="R136" i="39" s="1"/>
  <c r="R154" i="39" s="1"/>
  <c r="O62" i="39"/>
  <c r="P62" i="39"/>
  <c r="P136" i="39" s="1"/>
  <c r="P154" i="39" s="1"/>
  <c r="S62" i="39"/>
  <c r="S136" i="39" s="1"/>
  <c r="S154" i="39" s="1"/>
  <c r="P59" i="39"/>
  <c r="P133" i="39" s="1"/>
  <c r="P151" i="39" s="1"/>
  <c r="R59" i="39"/>
  <c r="R133" i="39" s="1"/>
  <c r="R151" i="39" s="1"/>
  <c r="S59" i="39"/>
  <c r="S133" i="39" s="1"/>
  <c r="S151" i="39" s="1"/>
  <c r="O59" i="39"/>
  <c r="T59" i="39"/>
  <c r="T133" i="39" s="1"/>
  <c r="T151" i="39" s="1"/>
  <c r="P52" i="39"/>
  <c r="P126" i="39" s="1"/>
  <c r="P144" i="39" s="1"/>
  <c r="O52" i="39"/>
  <c r="R52" i="39"/>
  <c r="R126" i="39" s="1"/>
  <c r="R144" i="39" s="1"/>
  <c r="S52" i="39"/>
  <c r="S126" i="39" s="1"/>
  <c r="S144" i="39" s="1"/>
  <c r="T52" i="39"/>
  <c r="T126" i="39" s="1"/>
  <c r="T144" i="39" s="1"/>
  <c r="O60" i="39"/>
  <c r="S60" i="39"/>
  <c r="S134" i="39" s="1"/>
  <c r="S152" i="39" s="1"/>
  <c r="T60" i="39"/>
  <c r="T134" i="39" s="1"/>
  <c r="T152" i="39" s="1"/>
  <c r="R60" i="39"/>
  <c r="R134" i="39" s="1"/>
  <c r="R152" i="39" s="1"/>
  <c r="P60" i="39"/>
  <c r="P134" i="39" s="1"/>
  <c r="P152" i="39" s="1"/>
  <c r="W41" i="39"/>
  <c r="P206" i="39"/>
  <c r="W206" i="39" s="1"/>
  <c r="B160" i="39"/>
  <c r="S460" i="39" l="1"/>
  <c r="T460" i="39"/>
  <c r="U460" i="39"/>
  <c r="V460" i="39"/>
  <c r="O460" i="39"/>
  <c r="P460" i="39"/>
  <c r="R460" i="39"/>
  <c r="V151" i="39"/>
  <c r="V156" i="39" s="1"/>
  <c r="V138" i="39"/>
  <c r="V241" i="39"/>
  <c r="T461" i="39"/>
  <c r="U461" i="39"/>
  <c r="O461" i="39"/>
  <c r="V461" i="39"/>
  <c r="P461" i="39"/>
  <c r="R461" i="39"/>
  <c r="S461" i="39"/>
  <c r="U151" i="39"/>
  <c r="U156" i="39" s="1"/>
  <c r="U241" i="39"/>
  <c r="U138" i="39"/>
  <c r="B268" i="39"/>
  <c r="C216" i="30" s="1"/>
  <c r="C210" i="30"/>
  <c r="W391" i="39"/>
  <c r="R476" i="39" s="1"/>
  <c r="W357" i="39"/>
  <c r="S442" i="39" s="1"/>
  <c r="W409" i="39"/>
  <c r="O494" i="39" s="1"/>
  <c r="W411" i="39"/>
  <c r="T496" i="39" s="1"/>
  <c r="W360" i="39"/>
  <c r="T445" i="39" s="1"/>
  <c r="W377" i="39"/>
  <c r="W340" i="39"/>
  <c r="P425" i="39" s="1"/>
  <c r="W408" i="39"/>
  <c r="U493" i="39" s="1"/>
  <c r="W359" i="39"/>
  <c r="O444" i="39" s="1"/>
  <c r="W341" i="39"/>
  <c r="U426" i="39" s="1"/>
  <c r="W342" i="39"/>
  <c r="U427" i="39" s="1"/>
  <c r="W394" i="39"/>
  <c r="P479" i="39" s="1"/>
  <c r="W343" i="39"/>
  <c r="V428" i="39" s="1"/>
  <c r="W393" i="39"/>
  <c r="S478" i="39" s="1"/>
  <c r="W374" i="39"/>
  <c r="S54" i="39"/>
  <c r="S128" i="39" s="1"/>
  <c r="O54" i="39"/>
  <c r="O128" i="39" s="1"/>
  <c r="R53" i="39"/>
  <c r="R127" i="39" s="1"/>
  <c r="R145" i="39" s="1"/>
  <c r="P54" i="39"/>
  <c r="P128" i="39" s="1"/>
  <c r="P146" i="39" s="1"/>
  <c r="P53" i="39"/>
  <c r="P127" i="39" s="1"/>
  <c r="P145" i="39" s="1"/>
  <c r="T54" i="39"/>
  <c r="T128" i="39" s="1"/>
  <c r="T146" i="39" s="1"/>
  <c r="S53" i="39"/>
  <c r="S127" i="39" s="1"/>
  <c r="S145" i="39" s="1"/>
  <c r="T53" i="39"/>
  <c r="T127" i="39" s="1"/>
  <c r="T145" i="39" s="1"/>
  <c r="O133" i="39"/>
  <c r="W59" i="39"/>
  <c r="L59" i="39" s="1"/>
  <c r="W49" i="39"/>
  <c r="L49" i="39" s="1"/>
  <c r="O134" i="39"/>
  <c r="W60" i="39"/>
  <c r="L60" i="39" s="1"/>
  <c r="O135" i="39"/>
  <c r="W61" i="39"/>
  <c r="L61" i="39" s="1"/>
  <c r="S50" i="39"/>
  <c r="T50" i="39"/>
  <c r="O50" i="39"/>
  <c r="R50" i="39"/>
  <c r="T58" i="39"/>
  <c r="S58" i="39"/>
  <c r="O58" i="39"/>
  <c r="P58" i="39"/>
  <c r="R58" i="39"/>
  <c r="W57" i="39"/>
  <c r="L57" i="39" s="1"/>
  <c r="O127" i="39"/>
  <c r="O130" i="39"/>
  <c r="W56" i="39"/>
  <c r="L56" i="39" s="1"/>
  <c r="O126" i="39"/>
  <c r="W52" i="39"/>
  <c r="L52" i="39" s="1"/>
  <c r="O129" i="39"/>
  <c r="W55" i="39"/>
  <c r="L55" i="39" s="1"/>
  <c r="O136" i="39"/>
  <c r="W62" i="39"/>
  <c r="L62" i="39" s="1"/>
  <c r="O125" i="39"/>
  <c r="W51" i="39"/>
  <c r="L51" i="39" s="1"/>
  <c r="O137" i="39"/>
  <c r="W63" i="39"/>
  <c r="L63" i="39" s="1"/>
  <c r="O477" i="39"/>
  <c r="V477" i="39"/>
  <c r="T477" i="39"/>
  <c r="U477" i="39"/>
  <c r="P477" i="39"/>
  <c r="S477" i="39"/>
  <c r="R477" i="39"/>
  <c r="U443" i="39"/>
  <c r="O443" i="39"/>
  <c r="S443" i="39"/>
  <c r="P443" i="39"/>
  <c r="R443" i="39"/>
  <c r="V443" i="39"/>
  <c r="T443" i="39"/>
  <c r="R495" i="39"/>
  <c r="O495" i="39"/>
  <c r="V495" i="39"/>
  <c r="T495" i="39"/>
  <c r="U495" i="39"/>
  <c r="S495" i="39"/>
  <c r="P495" i="39"/>
  <c r="O105" i="38"/>
  <c r="P105" i="38"/>
  <c r="O106" i="38"/>
  <c r="P107" i="38"/>
  <c r="O107" i="38"/>
  <c r="P106" i="38"/>
  <c r="O108" i="38"/>
  <c r="P108" i="38"/>
  <c r="S146" i="39" l="1"/>
  <c r="S236" i="39"/>
  <c r="R459" i="39"/>
  <c r="S459" i="39"/>
  <c r="T459" i="39"/>
  <c r="U459" i="39"/>
  <c r="V459" i="39"/>
  <c r="O459" i="39"/>
  <c r="P459" i="39"/>
  <c r="U462" i="39"/>
  <c r="P462" i="39"/>
  <c r="T462" i="39"/>
  <c r="V462" i="39"/>
  <c r="O462" i="39"/>
  <c r="R462" i="39"/>
  <c r="S462" i="39"/>
  <c r="U259" i="39"/>
  <c r="U264" i="39" s="1"/>
  <c r="U246" i="39"/>
  <c r="V259" i="39"/>
  <c r="V264" i="39" s="1"/>
  <c r="V246" i="39"/>
  <c r="B662" i="39"/>
  <c r="B683" i="39" s="1"/>
  <c r="C219" i="30" s="1"/>
  <c r="U224" i="19"/>
  <c r="U223" i="19"/>
  <c r="U476" i="39"/>
  <c r="S444" i="39"/>
  <c r="S476" i="39"/>
  <c r="T476" i="39"/>
  <c r="V425" i="39"/>
  <c r="S493" i="39"/>
  <c r="T442" i="39"/>
  <c r="T493" i="39"/>
  <c r="U442" i="39"/>
  <c r="V476" i="39"/>
  <c r="P493" i="39"/>
  <c r="P476" i="39"/>
  <c r="O476" i="39"/>
  <c r="O442" i="39"/>
  <c r="R493" i="39"/>
  <c r="V442" i="39"/>
  <c r="P442" i="39"/>
  <c r="V493" i="39"/>
  <c r="O493" i="39"/>
  <c r="R444" i="39"/>
  <c r="O478" i="39"/>
  <c r="S494" i="39"/>
  <c r="R442" i="39"/>
  <c r="O496" i="39"/>
  <c r="O445" i="39"/>
  <c r="U444" i="39"/>
  <c r="P478" i="39"/>
  <c r="U494" i="39"/>
  <c r="P494" i="39"/>
  <c r="P444" i="39"/>
  <c r="V444" i="39"/>
  <c r="U478" i="39"/>
  <c r="T494" i="39"/>
  <c r="S425" i="39"/>
  <c r="R494" i="39"/>
  <c r="T444" i="39"/>
  <c r="T478" i="39"/>
  <c r="V478" i="39"/>
  <c r="V494" i="39"/>
  <c r="R425" i="39"/>
  <c r="R478" i="39"/>
  <c r="S428" i="39"/>
  <c r="O428" i="39"/>
  <c r="V445" i="39"/>
  <c r="P445" i="39"/>
  <c r="U428" i="39"/>
  <c r="R445" i="39"/>
  <c r="R428" i="39"/>
  <c r="U445" i="39"/>
  <c r="S445" i="39"/>
  <c r="T428" i="39"/>
  <c r="P428" i="39"/>
  <c r="S496" i="39"/>
  <c r="R496" i="39"/>
  <c r="P496" i="39"/>
  <c r="U496" i="39"/>
  <c r="V496" i="39"/>
  <c r="O426" i="39"/>
  <c r="S426" i="39"/>
  <c r="T425" i="39"/>
  <c r="R426" i="39"/>
  <c r="T426" i="39"/>
  <c r="O425" i="39"/>
  <c r="V426" i="39"/>
  <c r="U425" i="39"/>
  <c r="P426" i="39"/>
  <c r="O479" i="39"/>
  <c r="P427" i="39"/>
  <c r="V427" i="39"/>
  <c r="S479" i="39"/>
  <c r="R427" i="39"/>
  <c r="V479" i="39"/>
  <c r="O427" i="39"/>
  <c r="T479" i="39"/>
  <c r="T427" i="39"/>
  <c r="R479" i="39"/>
  <c r="U479" i="39"/>
  <c r="S427" i="39"/>
  <c r="W54" i="39"/>
  <c r="L54" i="39" s="1"/>
  <c r="W53" i="39"/>
  <c r="L53" i="39" s="1"/>
  <c r="O154" i="39"/>
  <c r="W154" i="39" s="1"/>
  <c r="L154" i="39" s="1"/>
  <c r="W136" i="39"/>
  <c r="L136" i="39" s="1"/>
  <c r="W50" i="39"/>
  <c r="L50" i="39" s="1"/>
  <c r="O152" i="39"/>
  <c r="W152" i="39" s="1"/>
  <c r="L152" i="39" s="1"/>
  <c r="W134" i="39"/>
  <c r="L134" i="39" s="1"/>
  <c r="O146" i="39"/>
  <c r="W146" i="39" s="1"/>
  <c r="L146" i="39" s="1"/>
  <c r="W128" i="39"/>
  <c r="L128" i="39" s="1"/>
  <c r="W130" i="39"/>
  <c r="L130" i="39" s="1"/>
  <c r="O148" i="39"/>
  <c r="W148" i="39" s="1"/>
  <c r="L148" i="39" s="1"/>
  <c r="W58" i="39"/>
  <c r="L58" i="39" s="1"/>
  <c r="W126" i="39"/>
  <c r="L126" i="39" s="1"/>
  <c r="O144" i="39"/>
  <c r="W144" i="39" s="1"/>
  <c r="L144" i="39" s="1"/>
  <c r="W137" i="39"/>
  <c r="L137" i="39" s="1"/>
  <c r="O155" i="39"/>
  <c r="W155" i="39" s="1"/>
  <c r="L155" i="39" s="1"/>
  <c r="W129" i="39"/>
  <c r="L129" i="39" s="1"/>
  <c r="O147" i="39"/>
  <c r="W147" i="39" s="1"/>
  <c r="L147" i="39" s="1"/>
  <c r="O145" i="39"/>
  <c r="W145" i="39" s="1"/>
  <c r="L145" i="39" s="1"/>
  <c r="W127" i="39"/>
  <c r="L127" i="39" s="1"/>
  <c r="W125" i="39"/>
  <c r="L125" i="39" s="1"/>
  <c r="O143" i="39"/>
  <c r="W143" i="39" s="1"/>
  <c r="L143" i="39" s="1"/>
  <c r="O153" i="39"/>
  <c r="W153" i="39" s="1"/>
  <c r="L153" i="39" s="1"/>
  <c r="W135" i="39"/>
  <c r="L135" i="39" s="1"/>
  <c r="W133" i="39"/>
  <c r="L133" i="39" s="1"/>
  <c r="O151" i="39"/>
  <c r="W151" i="39" s="1"/>
  <c r="L151" i="39" s="1"/>
  <c r="W443" i="39"/>
  <c r="W461" i="39"/>
  <c r="W495" i="39"/>
  <c r="W477" i="39"/>
  <c r="W460" i="39"/>
  <c r="K56" i="38"/>
  <c r="B793" i="39" l="1"/>
  <c r="C222" i="30" s="1"/>
  <c r="U225" i="19"/>
  <c r="U222" i="19"/>
  <c r="L203" i="30"/>
  <c r="W442" i="39"/>
  <c r="W476" i="39"/>
  <c r="W493" i="39"/>
  <c r="W478" i="39"/>
  <c r="W425" i="39"/>
  <c r="W445" i="39"/>
  <c r="W494" i="39"/>
  <c r="W444" i="39"/>
  <c r="W428" i="39"/>
  <c r="W462" i="39"/>
  <c r="W496" i="39"/>
  <c r="W426" i="39"/>
  <c r="W427" i="39"/>
  <c r="W479" i="39"/>
  <c r="W459" i="39"/>
  <c r="K186" i="38"/>
  <c r="K185" i="38"/>
  <c r="K184" i="38"/>
  <c r="K183" i="38"/>
  <c r="K182" i="38"/>
  <c r="N135" i="38"/>
  <c r="K179" i="38"/>
  <c r="K178" i="38"/>
  <c r="K177" i="38"/>
  <c r="K176" i="38"/>
  <c r="K175" i="38"/>
  <c r="K172" i="38"/>
  <c r="K171" i="38"/>
  <c r="K170" i="38"/>
  <c r="K169" i="38"/>
  <c r="K168" i="38"/>
  <c r="K128" i="38"/>
  <c r="K127" i="38"/>
  <c r="K126" i="38"/>
  <c r="K125" i="38"/>
  <c r="K124" i="38"/>
  <c r="K121" i="38"/>
  <c r="K120" i="38"/>
  <c r="K119" i="38"/>
  <c r="K118" i="38"/>
  <c r="K117" i="38"/>
  <c r="P68" i="38"/>
  <c r="R68" i="38"/>
  <c r="S68" i="38"/>
  <c r="T68" i="38"/>
  <c r="U68" i="38"/>
  <c r="V68" i="38"/>
  <c r="P69" i="38"/>
  <c r="R69" i="38"/>
  <c r="S69" i="38"/>
  <c r="T69" i="38"/>
  <c r="U69" i="38"/>
  <c r="V69" i="38"/>
  <c r="P70" i="38"/>
  <c r="R70" i="38"/>
  <c r="S70" i="38"/>
  <c r="T70" i="38"/>
  <c r="U70" i="38"/>
  <c r="V70" i="38"/>
  <c r="P71" i="38"/>
  <c r="R71" i="38"/>
  <c r="S71" i="38"/>
  <c r="T71" i="38"/>
  <c r="U71" i="38"/>
  <c r="V71" i="38"/>
  <c r="O69" i="38"/>
  <c r="O70" i="38"/>
  <c r="O71" i="38"/>
  <c r="O68" i="38"/>
  <c r="K72" i="38"/>
  <c r="K71" i="38"/>
  <c r="K70" i="38"/>
  <c r="K69" i="38"/>
  <c r="K68" i="38"/>
  <c r="K82" i="38"/>
  <c r="K83" i="38"/>
  <c r="K84" i="38"/>
  <c r="K85" i="38"/>
  <c r="K86" i="38"/>
  <c r="K79" i="38"/>
  <c r="K78" i="38"/>
  <c r="K77" i="38"/>
  <c r="K76" i="38"/>
  <c r="K75" i="38"/>
  <c r="W17" i="38"/>
  <c r="W18" i="38"/>
  <c r="N101" i="38" s="1"/>
  <c r="W19" i="38"/>
  <c r="N102" i="38" s="1"/>
  <c r="W16" i="38"/>
  <c r="N99" i="38" s="1"/>
  <c r="O145" i="38" l="1"/>
  <c r="O151" i="38" s="1"/>
  <c r="P146" i="38"/>
  <c r="P152" i="38" s="1"/>
  <c r="R147" i="38"/>
  <c r="U144" i="38"/>
  <c r="P145" i="38"/>
  <c r="P151" i="38" s="1"/>
  <c r="R146" i="38"/>
  <c r="S147" i="38"/>
  <c r="V144" i="38"/>
  <c r="S145" i="38"/>
  <c r="T146" i="38"/>
  <c r="U147" i="38"/>
  <c r="V146" i="38"/>
  <c r="T147" i="38"/>
  <c r="T145" i="38"/>
  <c r="U146" i="38"/>
  <c r="V147" i="38"/>
  <c r="P144" i="38"/>
  <c r="P150" i="38" s="1"/>
  <c r="U145" i="38"/>
  <c r="R144" i="38"/>
  <c r="S146" i="38"/>
  <c r="V145" i="38"/>
  <c r="O147" i="38"/>
  <c r="O153" i="38" s="1"/>
  <c r="S144" i="38"/>
  <c r="O146" i="38"/>
  <c r="O152" i="38" s="1"/>
  <c r="P147" i="38"/>
  <c r="P153" i="38" s="1"/>
  <c r="T144" i="38"/>
  <c r="R145" i="38"/>
  <c r="O144" i="38"/>
  <c r="O150" i="38" s="1"/>
  <c r="L135" i="38"/>
  <c r="W68" i="38"/>
  <c r="N100" i="38"/>
  <c r="L17" i="38"/>
  <c r="U72" i="38"/>
  <c r="W71" i="38"/>
  <c r="P72" i="38"/>
  <c r="T72" i="38"/>
  <c r="V72" i="38"/>
  <c r="S72" i="38"/>
  <c r="W70" i="38"/>
  <c r="R72" i="38"/>
  <c r="W69" i="38"/>
  <c r="O72" i="38"/>
  <c r="W145" i="38" l="1"/>
  <c r="W147" i="38"/>
  <c r="W144" i="38"/>
  <c r="W146" i="38"/>
  <c r="W72" i="38"/>
  <c r="K37" i="38" l="1"/>
  <c r="O20" i="38"/>
  <c r="P20" i="38"/>
  <c r="D189" i="19"/>
  <c r="K189" i="19"/>
  <c r="D168" i="19"/>
  <c r="K168" i="19"/>
  <c r="D143" i="19"/>
  <c r="K143" i="19"/>
  <c r="D122" i="19"/>
  <c r="K122" i="19"/>
  <c r="D97" i="19"/>
  <c r="K97" i="19"/>
  <c r="D957" i="18"/>
  <c r="D937" i="18"/>
  <c r="D917" i="18"/>
  <c r="D897" i="18"/>
  <c r="D877" i="18"/>
  <c r="D857" i="18"/>
  <c r="D828" i="18"/>
  <c r="N828" i="18"/>
  <c r="D808" i="18"/>
  <c r="N808" i="18"/>
  <c r="D780" i="18"/>
  <c r="D747" i="18"/>
  <c r="K747" i="18"/>
  <c r="D726" i="18"/>
  <c r="K726" i="18"/>
  <c r="D705" i="18"/>
  <c r="K705" i="18"/>
  <c r="D684" i="18"/>
  <c r="K684" i="18"/>
  <c r="D663" i="18"/>
  <c r="K663" i="18"/>
  <c r="D642" i="18"/>
  <c r="K642" i="18"/>
  <c r="D621" i="18"/>
  <c r="K621" i="18"/>
  <c r="D600" i="18"/>
  <c r="K600" i="18"/>
  <c r="D579" i="18"/>
  <c r="K579" i="18"/>
  <c r="D558" i="18"/>
  <c r="K558" i="18"/>
  <c r="D538" i="18"/>
  <c r="R538" i="18"/>
  <c r="S538" i="18"/>
  <c r="T538" i="18"/>
  <c r="U538" i="18"/>
  <c r="V538" i="18"/>
  <c r="D518" i="18"/>
  <c r="N518" i="18"/>
  <c r="D488" i="18"/>
  <c r="K488" i="18"/>
  <c r="D467" i="18"/>
  <c r="K467" i="18"/>
  <c r="D446" i="18"/>
  <c r="K446" i="18"/>
  <c r="D425" i="18"/>
  <c r="K425" i="18"/>
  <c r="D404" i="18"/>
  <c r="K404" i="18"/>
  <c r="D383" i="18"/>
  <c r="K383" i="18"/>
  <c r="D362" i="18"/>
  <c r="K362" i="18"/>
  <c r="D342" i="18"/>
  <c r="K342" i="18"/>
  <c r="D322" i="18"/>
  <c r="K322" i="18"/>
  <c r="D302" i="18"/>
  <c r="K302" i="18"/>
  <c r="D282" i="18"/>
  <c r="K282" i="18"/>
  <c r="D262" i="18"/>
  <c r="K262" i="18"/>
  <c r="D242" i="18"/>
  <c r="K242" i="18"/>
  <c r="D222" i="18"/>
  <c r="K222" i="18"/>
  <c r="D202" i="18"/>
  <c r="K202" i="18"/>
  <c r="D176" i="18"/>
  <c r="N176" i="18"/>
  <c r="D151" i="18"/>
  <c r="K151" i="18"/>
  <c r="D133" i="18"/>
  <c r="K133" i="18"/>
  <c r="D116" i="18"/>
  <c r="D91" i="18"/>
  <c r="D74" i="18"/>
  <c r="D57" i="18"/>
  <c r="N57" i="18"/>
  <c r="D36" i="18"/>
  <c r="K36" i="18"/>
  <c r="D18" i="18"/>
  <c r="K18" i="18"/>
  <c r="D131" i="17"/>
  <c r="D110" i="17"/>
  <c r="K110" i="17"/>
  <c r="D78" i="17"/>
  <c r="N78" i="17"/>
  <c r="D58" i="17"/>
  <c r="N58" i="17"/>
  <c r="D38" i="17"/>
  <c r="N38" i="17"/>
  <c r="D18" i="17"/>
  <c r="N18" i="17"/>
  <c r="D633" i="5"/>
  <c r="K633" i="5"/>
  <c r="D595" i="5"/>
  <c r="K595" i="5"/>
  <c r="D577" i="5"/>
  <c r="K577" i="5"/>
  <c r="D553" i="5"/>
  <c r="K553" i="5"/>
  <c r="D531" i="5"/>
  <c r="N531" i="5"/>
  <c r="D509" i="5"/>
  <c r="K509" i="5"/>
  <c r="D491" i="5"/>
  <c r="K491" i="5"/>
  <c r="D474" i="5"/>
  <c r="D457" i="5"/>
  <c r="D440" i="5"/>
  <c r="D423" i="5"/>
  <c r="D406" i="5"/>
  <c r="D389" i="5"/>
  <c r="D372" i="5"/>
  <c r="D355" i="5"/>
  <c r="N355" i="5"/>
  <c r="D337" i="5"/>
  <c r="K337" i="5"/>
  <c r="N337" i="5"/>
  <c r="R337" i="5"/>
  <c r="S337" i="5"/>
  <c r="S577" i="5" s="1"/>
  <c r="S18" i="18" s="1"/>
  <c r="T337" i="5"/>
  <c r="U337" i="5"/>
  <c r="V337" i="5"/>
  <c r="D270" i="5"/>
  <c r="D253" i="5"/>
  <c r="D236" i="5"/>
  <c r="D219" i="5"/>
  <c r="D202" i="5"/>
  <c r="D184" i="5"/>
  <c r="K184" i="5"/>
  <c r="D166" i="5"/>
  <c r="K166" i="5"/>
  <c r="D149" i="5"/>
  <c r="K149" i="5"/>
  <c r="D132" i="5"/>
  <c r="K132" i="5"/>
  <c r="D115" i="5"/>
  <c r="K115" i="5"/>
  <c r="D94" i="5"/>
  <c r="D80" i="11"/>
  <c r="K80" i="11"/>
  <c r="N74" i="18"/>
  <c r="D294" i="16"/>
  <c r="D272" i="16"/>
  <c r="I5" i="39" l="1"/>
  <c r="K93" i="1" s="1"/>
  <c r="W337" i="5"/>
  <c r="R684" i="18"/>
  <c r="R189" i="19" s="1"/>
  <c r="R642" i="18"/>
  <c r="R143" i="19" s="1"/>
  <c r="R577" i="5"/>
  <c r="R18" i="18" s="1"/>
  <c r="T577" i="5"/>
  <c r="T18" i="18" s="1"/>
  <c r="V577" i="5"/>
  <c r="V18" i="18" s="1"/>
  <c r="U577" i="5"/>
  <c r="T457" i="5"/>
  <c r="V457" i="5"/>
  <c r="U457" i="5"/>
  <c r="S457" i="5"/>
  <c r="R457" i="5"/>
  <c r="T406" i="5"/>
  <c r="V423" i="5"/>
  <c r="U423" i="5"/>
  <c r="T423" i="5"/>
  <c r="S423" i="5"/>
  <c r="T389" i="5"/>
  <c r="R423" i="5"/>
  <c r="V406" i="5"/>
  <c r="U406" i="5"/>
  <c r="S406" i="5"/>
  <c r="V389" i="5"/>
  <c r="R406" i="5"/>
  <c r="U389" i="5"/>
  <c r="S389" i="5"/>
  <c r="R389" i="5"/>
  <c r="D78" i="16"/>
  <c r="L78" i="16"/>
  <c r="M78" i="16"/>
  <c r="D58" i="16"/>
  <c r="D25" i="16"/>
  <c r="K36" i="38"/>
  <c r="W577" i="5" l="1"/>
  <c r="U18" i="18"/>
  <c r="W18" i="18" s="1"/>
  <c r="L423" i="5"/>
  <c r="L457" i="5"/>
  <c r="W457" i="5"/>
  <c r="W423" i="5"/>
  <c r="L406" i="5"/>
  <c r="W406" i="5"/>
  <c r="W389" i="5"/>
  <c r="L389" i="5"/>
  <c r="AG36" i="21"/>
  <c r="AH36" i="21"/>
  <c r="AG37" i="21"/>
  <c r="AH37" i="21"/>
  <c r="AG38" i="21"/>
  <c r="AH38" i="21"/>
  <c r="AG39" i="21"/>
  <c r="AH39" i="21"/>
  <c r="X36" i="21"/>
  <c r="Y36" i="21"/>
  <c r="X37" i="21"/>
  <c r="Y37" i="21"/>
  <c r="X38" i="21"/>
  <c r="Y38" i="21"/>
  <c r="X39" i="21"/>
  <c r="Y39" i="21"/>
  <c r="O10" i="4"/>
  <c r="O10" i="40" s="1"/>
  <c r="P10" i="4"/>
  <c r="P10" i="39" l="1"/>
  <c r="P10" i="40"/>
  <c r="P38" i="21"/>
  <c r="O10" i="38"/>
  <c r="O10" i="39"/>
  <c r="O37" i="21"/>
  <c r="O39" i="21"/>
  <c r="P10" i="33"/>
  <c r="P10" i="38"/>
  <c r="O38" i="21"/>
  <c r="P10" i="19"/>
  <c r="O10" i="19"/>
  <c r="O10" i="20"/>
  <c r="O10" i="21"/>
  <c r="AG10" i="21" s="1"/>
  <c r="P10" i="20"/>
  <c r="P10" i="21"/>
  <c r="O10" i="36"/>
  <c r="O10" i="16"/>
  <c r="O10" i="11"/>
  <c r="O10" i="5"/>
  <c r="O10" i="17"/>
  <c r="O10" i="18"/>
  <c r="O10" i="29"/>
  <c r="O10" i="30"/>
  <c r="O10" i="33"/>
  <c r="P10" i="36"/>
  <c r="P10" i="16"/>
  <c r="P10" i="11"/>
  <c r="P10" i="5"/>
  <c r="P10" i="17"/>
  <c r="P10" i="18"/>
  <c r="P10" i="29"/>
  <c r="P10" i="30"/>
  <c r="P39" i="21"/>
  <c r="P37" i="21"/>
  <c r="P36" i="21"/>
  <c r="O36" i="21"/>
  <c r="V20" i="38"/>
  <c r="U20" i="38"/>
  <c r="T20" i="38"/>
  <c r="S20" i="38"/>
  <c r="R20" i="38"/>
  <c r="N20" i="38"/>
  <c r="M20" i="38" s="1"/>
  <c r="K20" i="38"/>
  <c r="L19" i="38"/>
  <c r="M19" i="38"/>
  <c r="K19" i="38"/>
  <c r="L18" i="38"/>
  <c r="M18" i="38"/>
  <c r="K18" i="38"/>
  <c r="K17" i="38"/>
  <c r="L16" i="38"/>
  <c r="K16" i="38"/>
  <c r="N10" i="38"/>
  <c r="M10" i="38"/>
  <c r="L10" i="38"/>
  <c r="K10" i="38"/>
  <c r="B10" i="38"/>
  <c r="L8" i="38"/>
  <c r="I2" i="38"/>
  <c r="H2" i="38"/>
  <c r="G2" i="38"/>
  <c r="F2" i="38"/>
  <c r="B2" i="38"/>
  <c r="E100" i="1" s="1"/>
  <c r="X10" i="21" l="1"/>
  <c r="B12" i="38"/>
  <c r="AH10" i="21"/>
  <c r="Y10" i="21"/>
  <c r="W20" i="38"/>
  <c r="B24" i="38" l="1"/>
  <c r="D106" i="5"/>
  <c r="D107" i="5"/>
  <c r="W318" i="11" l="1"/>
  <c r="W317" i="11"/>
  <c r="L317" i="11"/>
  <c r="L318" i="11"/>
  <c r="W319" i="11" l="1"/>
  <c r="B31" i="38"/>
  <c r="B41" i="38" s="1"/>
  <c r="B90" i="38" s="1"/>
  <c r="B132" i="38" s="1"/>
  <c r="D417" i="33"/>
  <c r="D416" i="33"/>
  <c r="D415" i="33"/>
  <c r="D411" i="33"/>
  <c r="D410" i="33"/>
  <c r="D409" i="33"/>
  <c r="D405" i="33"/>
  <c r="D404" i="33"/>
  <c r="D403" i="33"/>
  <c r="D399" i="33"/>
  <c r="D398" i="33"/>
  <c r="D397" i="33"/>
  <c r="D393" i="33"/>
  <c r="D392" i="33"/>
  <c r="D391" i="33"/>
  <c r="D269" i="33"/>
  <c r="D268" i="33"/>
  <c r="D267" i="33"/>
  <c r="D264" i="33"/>
  <c r="D263" i="33"/>
  <c r="D262" i="33"/>
  <c r="D259" i="33"/>
  <c r="D258" i="33"/>
  <c r="D257" i="33"/>
  <c r="D254" i="33"/>
  <c r="D253" i="33"/>
  <c r="D252" i="33"/>
  <c r="D249" i="33"/>
  <c r="D248" i="33"/>
  <c r="D247" i="33"/>
  <c r="B188" i="38" l="1"/>
  <c r="R404" i="33" a="1"/>
  <c r="R404" i="33" s="1"/>
  <c r="S404" i="33" a="1"/>
  <c r="S404" i="33" s="1"/>
  <c r="T404" i="33" a="1"/>
  <c r="T404" i="33" s="1"/>
  <c r="U404" i="33" a="1"/>
  <c r="U404" i="33" s="1"/>
  <c r="V391" i="33" a="1"/>
  <c r="V391" i="33" s="1"/>
  <c r="U391" i="33" a="1"/>
  <c r="U391" i="33" s="1"/>
  <c r="R391" i="33" a="1"/>
  <c r="R391" i="33" s="1"/>
  <c r="S391" i="33" a="1"/>
  <c r="S391" i="33" s="1"/>
  <c r="T391" i="33" a="1"/>
  <c r="T391" i="33" s="1"/>
  <c r="S405" i="33" a="1"/>
  <c r="S405" i="33" s="1"/>
  <c r="T405" i="33" a="1"/>
  <c r="T405" i="33" s="1"/>
  <c r="R405" i="33" a="1"/>
  <c r="R405" i="33" s="1"/>
  <c r="U405" i="33" a="1"/>
  <c r="U405" i="33" s="1"/>
  <c r="S392" i="33" a="1"/>
  <c r="S392" i="33" s="1"/>
  <c r="T392" i="33" a="1"/>
  <c r="T392" i="33" s="1"/>
  <c r="R392" i="33" a="1"/>
  <c r="R392" i="33" s="1"/>
  <c r="U392" i="33" a="1"/>
  <c r="U392" i="33" s="1"/>
  <c r="V392" i="33" a="1"/>
  <c r="V392" i="33" s="1"/>
  <c r="R409" i="33" a="1"/>
  <c r="R409" i="33" s="1"/>
  <c r="S409" i="33" a="1"/>
  <c r="S409" i="33" s="1"/>
  <c r="T409" i="33" a="1"/>
  <c r="T409" i="33" s="1"/>
  <c r="U409" i="33" a="1"/>
  <c r="U409" i="33" s="1"/>
  <c r="T393" i="33" a="1"/>
  <c r="T393" i="33" s="1"/>
  <c r="U393" i="33" a="1"/>
  <c r="U393" i="33" s="1"/>
  <c r="V393" i="33" a="1"/>
  <c r="V393" i="33" s="1"/>
  <c r="R393" i="33" a="1"/>
  <c r="R393" i="33" s="1"/>
  <c r="S393" i="33" a="1"/>
  <c r="S393" i="33" s="1"/>
  <c r="S410" i="33" a="1"/>
  <c r="S410" i="33" s="1"/>
  <c r="R410" i="33" a="1"/>
  <c r="R410" i="33" s="1"/>
  <c r="T410" i="33" a="1"/>
  <c r="T410" i="33" s="1"/>
  <c r="U410" i="33" a="1"/>
  <c r="U410" i="33" s="1"/>
  <c r="S397" i="33" a="1"/>
  <c r="S397" i="33" s="1"/>
  <c r="T397" i="33" a="1"/>
  <c r="T397" i="33" s="1"/>
  <c r="U397" i="33" a="1"/>
  <c r="U397" i="33" s="1"/>
  <c r="V397" i="33" a="1"/>
  <c r="V397" i="33" s="1"/>
  <c r="R397" i="33" a="1"/>
  <c r="R397" i="33" s="1"/>
  <c r="T411" i="33" a="1"/>
  <c r="T411" i="33" s="1"/>
  <c r="R411" i="33" a="1"/>
  <c r="R411" i="33" s="1"/>
  <c r="U411" i="33" a="1"/>
  <c r="U411" i="33" s="1"/>
  <c r="S411" i="33" a="1"/>
  <c r="S411" i="33" s="1"/>
  <c r="U398" i="33" a="1"/>
  <c r="U398" i="33" s="1"/>
  <c r="V398" i="33" a="1"/>
  <c r="V398" i="33" s="1"/>
  <c r="T398" i="33" a="1"/>
  <c r="T398" i="33" s="1"/>
  <c r="R398" i="33" a="1"/>
  <c r="R398" i="33" s="1"/>
  <c r="S398" i="33" a="1"/>
  <c r="S398" i="33" s="1"/>
  <c r="R399" i="33" a="1"/>
  <c r="R399" i="33" s="1"/>
  <c r="V399" i="33" a="1"/>
  <c r="V399" i="33" s="1"/>
  <c r="S399" i="33" a="1"/>
  <c r="S399" i="33" s="1"/>
  <c r="U399" i="33" a="1"/>
  <c r="U399" i="33" s="1"/>
  <c r="T399" i="33" a="1"/>
  <c r="T399" i="33" s="1"/>
  <c r="U403" i="33" a="1"/>
  <c r="U403" i="33" s="1"/>
  <c r="T403" i="33" a="1"/>
  <c r="T403" i="33" s="1"/>
  <c r="R403" i="33" a="1"/>
  <c r="R403" i="33" s="1"/>
  <c r="S403" i="33" a="1"/>
  <c r="S403" i="33" s="1"/>
  <c r="T415" i="33" l="1"/>
  <c r="S415" i="33"/>
  <c r="U415" i="33"/>
  <c r="R415" i="33"/>
  <c r="D16" i="37"/>
  <c r="D17" i="37" s="1"/>
  <c r="D18" i="37" s="1"/>
  <c r="D19" i="37" s="1"/>
  <c r="D20" i="37" s="1"/>
  <c r="D21" i="37" s="1"/>
  <c r="D22" i="37" s="1"/>
  <c r="D23" i="37" s="1"/>
  <c r="D24" i="37" s="1"/>
  <c r="D25" i="37" s="1"/>
  <c r="D26" i="37" s="1"/>
  <c r="D27" i="37" s="1"/>
  <c r="D28" i="37" s="1"/>
  <c r="D29" i="37" s="1"/>
  <c r="D30" i="37" s="1"/>
  <c r="D31" i="37" s="1"/>
  <c r="D32" i="37" s="1"/>
  <c r="D33" i="37" s="1"/>
  <c r="D34" i="37" s="1"/>
  <c r="D35" i="37" s="1"/>
  <c r="D36" i="37" s="1"/>
  <c r="D37" i="37" s="1"/>
  <c r="D38" i="37" s="1"/>
  <c r="D39" i="37" s="1"/>
  <c r="D40" i="37" s="1"/>
  <c r="D41" i="37" s="1"/>
  <c r="D42" i="37" s="1"/>
  <c r="D43" i="37" s="1"/>
  <c r="D44" i="37" s="1"/>
  <c r="D45" i="37" s="1"/>
  <c r="D46" i="37" s="1"/>
  <c r="D47" i="37" s="1"/>
  <c r="L2" i="37"/>
  <c r="K2" i="37"/>
  <c r="J2" i="37"/>
  <c r="I2" i="37"/>
  <c r="B2" i="37"/>
  <c r="E74" i="1" s="1"/>
  <c r="D48" i="37" l="1"/>
  <c r="D49" i="37" s="1"/>
  <c r="D50" i="37" s="1"/>
  <c r="D51" i="37" s="1"/>
  <c r="D52" i="37" s="1"/>
  <c r="D53" i="37" s="1"/>
  <c r="D54" i="37" s="1"/>
  <c r="D55" i="37" s="1"/>
  <c r="D56" i="37" s="1"/>
  <c r="D57" i="37" s="1"/>
  <c r="D58" i="37" s="1"/>
  <c r="D59" i="37" s="1"/>
  <c r="D60" i="37" s="1"/>
  <c r="D61" i="37" s="1"/>
  <c r="D62" i="37" s="1"/>
  <c r="D63" i="37" s="1"/>
  <c r="D64" i="37" s="1"/>
  <c r="D127" i="18"/>
  <c r="D126" i="18"/>
  <c r="D125" i="18"/>
  <c r="D124" i="18"/>
  <c r="D123" i="18"/>
  <c r="D122" i="18"/>
  <c r="D121" i="18"/>
  <c r="D120" i="18"/>
  <c r="D119" i="18"/>
  <c r="D118" i="18"/>
  <c r="D117" i="18"/>
  <c r="D115" i="18"/>
  <c r="D114" i="18"/>
  <c r="D113" i="18"/>
  <c r="D88" i="18"/>
  <c r="W322" i="11"/>
  <c r="W323" i="11"/>
  <c r="W324" i="11"/>
  <c r="V38" i="36"/>
  <c r="U38" i="36"/>
  <c r="T38" i="36"/>
  <c r="S38" i="36"/>
  <c r="R38" i="36"/>
  <c r="Q38" i="36"/>
  <c r="V37" i="36"/>
  <c r="U37" i="36"/>
  <c r="T37" i="36"/>
  <c r="S37" i="36"/>
  <c r="R37" i="36"/>
  <c r="Q37" i="36"/>
  <c r="V36" i="36"/>
  <c r="U36" i="36"/>
  <c r="T36" i="36"/>
  <c r="S36" i="36"/>
  <c r="R36" i="36"/>
  <c r="Q36" i="36"/>
  <c r="Q35" i="36"/>
  <c r="V35" i="36"/>
  <c r="U35" i="36"/>
  <c r="T35" i="36"/>
  <c r="S35" i="36"/>
  <c r="R35" i="36"/>
  <c r="V34" i="36"/>
  <c r="U34" i="36"/>
  <c r="T34" i="36"/>
  <c r="S34" i="36"/>
  <c r="R34" i="36"/>
  <c r="Q34" i="36"/>
  <c r="W34" i="36" l="1"/>
  <c r="W37" i="36"/>
  <c r="W35" i="36"/>
  <c r="W36" i="36"/>
  <c r="W38" i="36"/>
  <c r="Q39" i="36"/>
  <c r="K31" i="36"/>
  <c r="K30" i="36"/>
  <c r="V25" i="36"/>
  <c r="V30" i="36" s="1"/>
  <c r="U25" i="36"/>
  <c r="U30" i="36" s="1"/>
  <c r="T25" i="36"/>
  <c r="T30" i="36" s="1"/>
  <c r="S25" i="36"/>
  <c r="S30" i="36" s="1"/>
  <c r="R25" i="36"/>
  <c r="K25" i="36"/>
  <c r="K28" i="36"/>
  <c r="K19" i="36"/>
  <c r="K18" i="36"/>
  <c r="K17" i="36"/>
  <c r="K16" i="36"/>
  <c r="K15" i="36"/>
  <c r="K46" i="36"/>
  <c r="K45" i="36"/>
  <c r="K44" i="36"/>
  <c r="K43" i="36"/>
  <c r="K39" i="36"/>
  <c r="K38" i="36"/>
  <c r="K37" i="36"/>
  <c r="K36" i="36"/>
  <c r="K35" i="36"/>
  <c r="K34" i="36"/>
  <c r="N10" i="36"/>
  <c r="M10" i="36"/>
  <c r="I5" i="36" s="1"/>
  <c r="K80" i="1" s="1"/>
  <c r="L10" i="36"/>
  <c r="K10" i="36"/>
  <c r="B10" i="36"/>
  <c r="B12" i="36" s="1"/>
  <c r="L8" i="36"/>
  <c r="I2" i="36"/>
  <c r="H2" i="36"/>
  <c r="G2" i="36"/>
  <c r="F2" i="36"/>
  <c r="B2" i="36"/>
  <c r="D16" i="35"/>
  <c r="D17" i="35" s="1"/>
  <c r="D18" i="35" s="1"/>
  <c r="D19" i="35" s="1"/>
  <c r="D20" i="35" s="1"/>
  <c r="D21" i="35" s="1"/>
  <c r="D22" i="35" s="1"/>
  <c r="D23" i="35" s="1"/>
  <c r="D24" i="35" s="1"/>
  <c r="D25" i="35" s="1"/>
  <c r="D26" i="35" s="1"/>
  <c r="D27" i="35" s="1"/>
  <c r="D28" i="35" s="1"/>
  <c r="D29" i="35" s="1"/>
  <c r="D30" i="35" s="1"/>
  <c r="D31" i="35" s="1"/>
  <c r="D32" i="35" s="1"/>
  <c r="D33" i="35" s="1"/>
  <c r="D34" i="35" s="1"/>
  <c r="D35" i="35" s="1"/>
  <c r="D36" i="35" s="1"/>
  <c r="D37" i="35" s="1"/>
  <c r="D38" i="35" s="1"/>
  <c r="D39" i="35" s="1"/>
  <c r="D40" i="35" s="1"/>
  <c r="D41" i="35" s="1"/>
  <c r="D42" i="35" s="1"/>
  <c r="D43" i="35" s="1"/>
  <c r="D44" i="35" s="1"/>
  <c r="D45" i="35" s="1"/>
  <c r="D46" i="35" s="1"/>
  <c r="D47" i="35" s="1"/>
  <c r="D48" i="35" s="1"/>
  <c r="D49" i="35" s="1"/>
  <c r="D50" i="35" s="1"/>
  <c r="D51" i="35" s="1"/>
  <c r="D52" i="35" s="1"/>
  <c r="D53" i="35" s="1"/>
  <c r="D54" i="35" s="1"/>
  <c r="D55" i="35" s="1"/>
  <c r="D56" i="35" s="1"/>
  <c r="D57" i="35" s="1"/>
  <c r="D58" i="35" s="1"/>
  <c r="D59" i="35" s="1"/>
  <c r="D60" i="35" s="1"/>
  <c r="D61" i="35" s="1"/>
  <c r="D62" i="35" s="1"/>
  <c r="D63" i="35" s="1"/>
  <c r="D64" i="35" s="1"/>
  <c r="M2" i="35"/>
  <c r="L2" i="35"/>
  <c r="K2" i="35"/>
  <c r="J2" i="35"/>
  <c r="B2" i="35"/>
  <c r="E73" i="1" s="1"/>
  <c r="E80" i="1" l="1"/>
  <c r="W25" i="36"/>
  <c r="W39" i="36"/>
  <c r="R30" i="36"/>
  <c r="W30" i="36" s="1"/>
  <c r="M162" i="11" l="1"/>
  <c r="R101" i="17"/>
  <c r="R100" i="17"/>
  <c r="R99" i="17"/>
  <c r="K146" i="5"/>
  <c r="K147" i="5"/>
  <c r="K148" i="5"/>
  <c r="K150" i="5"/>
  <c r="K151" i="5"/>
  <c r="K152" i="5"/>
  <c r="K153" i="5"/>
  <c r="K154" i="5"/>
  <c r="K155" i="5"/>
  <c r="K156" i="5"/>
  <c r="K157" i="5"/>
  <c r="K158" i="5"/>
  <c r="K159" i="5"/>
  <c r="K160" i="5"/>
  <c r="K65" i="5"/>
  <c r="K64" i="5"/>
  <c r="K61" i="5"/>
  <c r="K60" i="5"/>
  <c r="K59" i="5"/>
  <c r="AI39" i="21" l="1"/>
  <c r="AI38" i="21"/>
  <c r="AI37" i="21"/>
  <c r="AI36" i="21"/>
  <c r="Q10" i="4"/>
  <c r="Q10" i="40" s="1"/>
  <c r="Q10" i="38" l="1"/>
  <c r="Q10" i="39"/>
  <c r="Q10" i="18"/>
  <c r="Q10" i="16"/>
  <c r="Q10" i="17"/>
  <c r="Q10" i="11"/>
  <c r="Q10" i="29"/>
  <c r="Q10" i="19"/>
  <c r="Q10" i="21"/>
  <c r="AI10" i="21" s="1"/>
  <c r="Q10" i="20"/>
  <c r="Q10" i="33"/>
  <c r="Q10" i="30"/>
  <c r="Q10" i="5"/>
  <c r="Q10" i="36"/>
  <c r="K46" i="33"/>
  <c r="K45" i="33"/>
  <c r="K44" i="33"/>
  <c r="K43" i="33"/>
  <c r="K42" i="33"/>
  <c r="K41" i="33"/>
  <c r="K40" i="33"/>
  <c r="K39" i="33"/>
  <c r="K38" i="33"/>
  <c r="K37" i="33"/>
  <c r="K36" i="33"/>
  <c r="K35" i="33"/>
  <c r="K34" i="33"/>
  <c r="K33" i="33"/>
  <c r="K32" i="33"/>
  <c r="K31" i="33"/>
  <c r="K30" i="33"/>
  <c r="K29" i="33"/>
  <c r="K28" i="33"/>
  <c r="K27" i="33"/>
  <c r="K26" i="33"/>
  <c r="K25" i="33"/>
  <c r="K24" i="33"/>
  <c r="K23" i="33"/>
  <c r="K22"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100" i="33"/>
  <c r="K99" i="33"/>
  <c r="K98" i="33"/>
  <c r="K97" i="33"/>
  <c r="K96" i="33"/>
  <c r="K95" i="33"/>
  <c r="K94" i="33"/>
  <c r="K93" i="33"/>
  <c r="K92" i="33"/>
  <c r="K91" i="33"/>
  <c r="K90" i="33"/>
  <c r="K89" i="33"/>
  <c r="K88" i="33"/>
  <c r="K87" i="33"/>
  <c r="K86" i="33"/>
  <c r="K85" i="33"/>
  <c r="K84" i="33"/>
  <c r="K83" i="33"/>
  <c r="K82" i="33"/>
  <c r="K81" i="33"/>
  <c r="K80" i="33"/>
  <c r="K79" i="33"/>
  <c r="K78" i="33"/>
  <c r="K77" i="33"/>
  <c r="K76" i="33"/>
  <c r="K126" i="33"/>
  <c r="K125" i="33"/>
  <c r="K124" i="33"/>
  <c r="K123" i="33"/>
  <c r="K122" i="33"/>
  <c r="K121" i="33"/>
  <c r="K120" i="33"/>
  <c r="K119" i="33"/>
  <c r="K118" i="33"/>
  <c r="K117" i="33"/>
  <c r="K116" i="33"/>
  <c r="K115" i="33"/>
  <c r="K114" i="33"/>
  <c r="K113" i="33"/>
  <c r="K112" i="33"/>
  <c r="K111" i="33"/>
  <c r="K110" i="33"/>
  <c r="K109" i="33"/>
  <c r="K108" i="33"/>
  <c r="K107" i="33"/>
  <c r="K106" i="33"/>
  <c r="K105" i="33"/>
  <c r="K104" i="33"/>
  <c r="K103" i="33"/>
  <c r="K127" i="33"/>
  <c r="K130" i="33"/>
  <c r="V126" i="33"/>
  <c r="U126" i="33"/>
  <c r="T126" i="33"/>
  <c r="S126" i="33"/>
  <c r="R126" i="33"/>
  <c r="V125" i="33"/>
  <c r="U125" i="33"/>
  <c r="T125" i="33"/>
  <c r="S125" i="33"/>
  <c r="R125" i="33"/>
  <c r="V124" i="33"/>
  <c r="U124" i="33"/>
  <c r="T124" i="33"/>
  <c r="S124" i="33"/>
  <c r="R124" i="33"/>
  <c r="V123" i="33"/>
  <c r="U123" i="33"/>
  <c r="T123" i="33"/>
  <c r="S123" i="33"/>
  <c r="R123" i="33"/>
  <c r="V122" i="33"/>
  <c r="U122" i="33"/>
  <c r="T122" i="33"/>
  <c r="S122" i="33"/>
  <c r="R122" i="33"/>
  <c r="V121" i="33"/>
  <c r="U121" i="33"/>
  <c r="T121" i="33"/>
  <c r="S121" i="33"/>
  <c r="R121" i="33"/>
  <c r="V120" i="33"/>
  <c r="U120" i="33"/>
  <c r="T120" i="33"/>
  <c r="S120" i="33"/>
  <c r="R120" i="33"/>
  <c r="V119" i="33"/>
  <c r="U119" i="33"/>
  <c r="T119" i="33"/>
  <c r="S119" i="33"/>
  <c r="R119" i="33"/>
  <c r="V118" i="33"/>
  <c r="U118" i="33"/>
  <c r="T118" i="33"/>
  <c r="S118" i="33"/>
  <c r="R118" i="33"/>
  <c r="V117" i="33"/>
  <c r="U117" i="33"/>
  <c r="T117" i="33"/>
  <c r="S117" i="33"/>
  <c r="R117" i="33"/>
  <c r="V116" i="33"/>
  <c r="U116" i="33"/>
  <c r="T116" i="33"/>
  <c r="S116" i="33"/>
  <c r="R116" i="33"/>
  <c r="V115" i="33"/>
  <c r="U115" i="33"/>
  <c r="T115" i="33"/>
  <c r="S115" i="33"/>
  <c r="R115" i="33"/>
  <c r="V114" i="33"/>
  <c r="U114" i="33"/>
  <c r="T114" i="33"/>
  <c r="S114" i="33"/>
  <c r="R114" i="33"/>
  <c r="V113" i="33"/>
  <c r="U113" i="33"/>
  <c r="T113" i="33"/>
  <c r="S113" i="33"/>
  <c r="R113" i="33"/>
  <c r="V112" i="33"/>
  <c r="U112" i="33"/>
  <c r="T112" i="33"/>
  <c r="S112" i="33"/>
  <c r="R112" i="33"/>
  <c r="V111" i="33"/>
  <c r="U111" i="33"/>
  <c r="T111" i="33"/>
  <c r="S111" i="33"/>
  <c r="R111" i="33"/>
  <c r="V110" i="33"/>
  <c r="U110" i="33"/>
  <c r="T110" i="33"/>
  <c r="S110" i="33"/>
  <c r="R110" i="33"/>
  <c r="V109" i="33"/>
  <c r="U109" i="33"/>
  <c r="T109" i="33"/>
  <c r="S109" i="33"/>
  <c r="R109" i="33"/>
  <c r="V108" i="33"/>
  <c r="U108" i="33"/>
  <c r="T108" i="33"/>
  <c r="S108" i="33"/>
  <c r="R108" i="33"/>
  <c r="V107" i="33"/>
  <c r="U107" i="33"/>
  <c r="T107" i="33"/>
  <c r="S107" i="33"/>
  <c r="R107" i="33"/>
  <c r="V106" i="33"/>
  <c r="U106" i="33"/>
  <c r="T106" i="33"/>
  <c r="S106" i="33"/>
  <c r="R106" i="33"/>
  <c r="V105" i="33"/>
  <c r="U105" i="33"/>
  <c r="T105" i="33"/>
  <c r="S105" i="33"/>
  <c r="R105" i="33"/>
  <c r="V104" i="33"/>
  <c r="U104" i="33"/>
  <c r="T104" i="33"/>
  <c r="S104" i="33"/>
  <c r="R104" i="33"/>
  <c r="V103" i="33"/>
  <c r="U103" i="33"/>
  <c r="T103" i="33"/>
  <c r="S103" i="33"/>
  <c r="R103" i="33"/>
  <c r="V99" i="33"/>
  <c r="U99" i="33"/>
  <c r="T99" i="33"/>
  <c r="S99" i="33"/>
  <c r="R99" i="33"/>
  <c r="V98" i="33"/>
  <c r="U98" i="33"/>
  <c r="T98" i="33"/>
  <c r="S98" i="33"/>
  <c r="R98" i="33"/>
  <c r="V97" i="33"/>
  <c r="U97" i="33"/>
  <c r="T97" i="33"/>
  <c r="S97" i="33"/>
  <c r="R97" i="33"/>
  <c r="V96" i="33"/>
  <c r="U96" i="33"/>
  <c r="T96" i="33"/>
  <c r="S96" i="33"/>
  <c r="R96" i="33"/>
  <c r="V95" i="33"/>
  <c r="U95" i="33"/>
  <c r="T95" i="33"/>
  <c r="S95" i="33"/>
  <c r="R95" i="33"/>
  <c r="V94" i="33"/>
  <c r="U94" i="33"/>
  <c r="T94" i="33"/>
  <c r="S94" i="33"/>
  <c r="R94" i="33"/>
  <c r="V93" i="33"/>
  <c r="U93" i="33"/>
  <c r="T93" i="33"/>
  <c r="S93" i="33"/>
  <c r="R93" i="33"/>
  <c r="V92" i="33"/>
  <c r="U92" i="33"/>
  <c r="T92" i="33"/>
  <c r="S92" i="33"/>
  <c r="R92" i="33"/>
  <c r="V91" i="33"/>
  <c r="U91" i="33"/>
  <c r="T91" i="33"/>
  <c r="S91" i="33"/>
  <c r="R91" i="33"/>
  <c r="V90" i="33"/>
  <c r="U90" i="33"/>
  <c r="T90" i="33"/>
  <c r="S90" i="33"/>
  <c r="R90" i="33"/>
  <c r="V89" i="33"/>
  <c r="U89" i="33"/>
  <c r="T89" i="33"/>
  <c r="S89" i="33"/>
  <c r="R89" i="33"/>
  <c r="V88" i="33"/>
  <c r="U88" i="33"/>
  <c r="T88" i="33"/>
  <c r="S88" i="33"/>
  <c r="R88" i="33"/>
  <c r="V87" i="33"/>
  <c r="U87" i="33"/>
  <c r="T87" i="33"/>
  <c r="S87" i="33"/>
  <c r="R87" i="33"/>
  <c r="V86" i="33"/>
  <c r="U86" i="33"/>
  <c r="T86" i="33"/>
  <c r="S86" i="33"/>
  <c r="R86" i="33"/>
  <c r="V85" i="33"/>
  <c r="U85" i="33"/>
  <c r="T85" i="33"/>
  <c r="S85" i="33"/>
  <c r="R85" i="33"/>
  <c r="V84" i="33"/>
  <c r="U84" i="33"/>
  <c r="T84" i="33"/>
  <c r="S84" i="33"/>
  <c r="R84" i="33"/>
  <c r="V83" i="33"/>
  <c r="U83" i="33"/>
  <c r="T83" i="33"/>
  <c r="S83" i="33"/>
  <c r="R83" i="33"/>
  <c r="V82" i="33"/>
  <c r="U82" i="33"/>
  <c r="T82" i="33"/>
  <c r="S82" i="33"/>
  <c r="R82" i="33"/>
  <c r="V81" i="33"/>
  <c r="U81" i="33"/>
  <c r="T81" i="33"/>
  <c r="S81" i="33"/>
  <c r="R81" i="33"/>
  <c r="V80" i="33"/>
  <c r="U80" i="33"/>
  <c r="T80" i="33"/>
  <c r="S80" i="33"/>
  <c r="R80" i="33"/>
  <c r="V79" i="33"/>
  <c r="U79" i="33"/>
  <c r="T79" i="33"/>
  <c r="S79" i="33"/>
  <c r="R79" i="33"/>
  <c r="V78" i="33"/>
  <c r="U78" i="33"/>
  <c r="T78" i="33"/>
  <c r="S78" i="33"/>
  <c r="R78" i="33"/>
  <c r="V77" i="33"/>
  <c r="U77" i="33"/>
  <c r="T77" i="33"/>
  <c r="S77" i="33"/>
  <c r="R77" i="33"/>
  <c r="V76" i="33"/>
  <c r="U76" i="33"/>
  <c r="T76" i="33"/>
  <c r="S76" i="33"/>
  <c r="R76" i="33"/>
  <c r="V72" i="33"/>
  <c r="U72" i="33"/>
  <c r="T72" i="33"/>
  <c r="S72" i="33"/>
  <c r="R72" i="33"/>
  <c r="V71" i="33"/>
  <c r="U71" i="33"/>
  <c r="T71" i="33"/>
  <c r="S71" i="33"/>
  <c r="R71" i="33"/>
  <c r="V70" i="33"/>
  <c r="U70" i="33"/>
  <c r="T70" i="33"/>
  <c r="S70" i="33"/>
  <c r="R70" i="33"/>
  <c r="V69" i="33"/>
  <c r="U69" i="33"/>
  <c r="T69" i="33"/>
  <c r="S69" i="33"/>
  <c r="R69" i="33"/>
  <c r="V68" i="33"/>
  <c r="U68" i="33"/>
  <c r="T68" i="33"/>
  <c r="S68" i="33"/>
  <c r="R68" i="33"/>
  <c r="V67" i="33"/>
  <c r="U67" i="33"/>
  <c r="T67" i="33"/>
  <c r="S67" i="33"/>
  <c r="R67" i="33"/>
  <c r="V66" i="33"/>
  <c r="U66" i="33"/>
  <c r="T66" i="33"/>
  <c r="S66" i="33"/>
  <c r="R66" i="33"/>
  <c r="V65" i="33"/>
  <c r="U65" i="33"/>
  <c r="T65" i="33"/>
  <c r="S65" i="33"/>
  <c r="R65" i="33"/>
  <c r="V64" i="33"/>
  <c r="U64" i="33"/>
  <c r="T64" i="33"/>
  <c r="S64" i="33"/>
  <c r="R64" i="33"/>
  <c r="V63" i="33"/>
  <c r="U63" i="33"/>
  <c r="T63" i="33"/>
  <c r="S63" i="33"/>
  <c r="R63" i="33"/>
  <c r="V62" i="33"/>
  <c r="U62" i="33"/>
  <c r="T62" i="33"/>
  <c r="S62" i="33"/>
  <c r="R62" i="33"/>
  <c r="V61" i="33"/>
  <c r="U61" i="33"/>
  <c r="T61" i="33"/>
  <c r="S61" i="33"/>
  <c r="R61" i="33"/>
  <c r="V60" i="33"/>
  <c r="U60" i="33"/>
  <c r="T60" i="33"/>
  <c r="S60" i="33"/>
  <c r="R60" i="33"/>
  <c r="V59" i="33"/>
  <c r="U59" i="33"/>
  <c r="T59" i="33"/>
  <c r="S59" i="33"/>
  <c r="R59" i="33"/>
  <c r="V58" i="33"/>
  <c r="U58" i="33"/>
  <c r="T58" i="33"/>
  <c r="S58" i="33"/>
  <c r="R58" i="33"/>
  <c r="V57" i="33"/>
  <c r="U57" i="33"/>
  <c r="T57" i="33"/>
  <c r="S57" i="33"/>
  <c r="R57" i="33"/>
  <c r="V56" i="33"/>
  <c r="U56" i="33"/>
  <c r="T56" i="33"/>
  <c r="S56" i="33"/>
  <c r="R56" i="33"/>
  <c r="V55" i="33"/>
  <c r="U55" i="33"/>
  <c r="T55" i="33"/>
  <c r="S55" i="33"/>
  <c r="R55" i="33"/>
  <c r="V54" i="33"/>
  <c r="U54" i="33"/>
  <c r="T54" i="33"/>
  <c r="S54" i="33"/>
  <c r="R54" i="33"/>
  <c r="V53" i="33"/>
  <c r="U53" i="33"/>
  <c r="T53" i="33"/>
  <c r="S53" i="33"/>
  <c r="R53" i="33"/>
  <c r="V52" i="33"/>
  <c r="U52" i="33"/>
  <c r="T52" i="33"/>
  <c r="S52" i="33"/>
  <c r="R52" i="33"/>
  <c r="V51" i="33"/>
  <c r="U51" i="33"/>
  <c r="T51" i="33"/>
  <c r="S51" i="33"/>
  <c r="R51" i="33"/>
  <c r="V50" i="33"/>
  <c r="U50" i="33"/>
  <c r="T50" i="33"/>
  <c r="S50" i="33"/>
  <c r="R50" i="33"/>
  <c r="V49" i="33"/>
  <c r="U49" i="33"/>
  <c r="T49" i="33"/>
  <c r="S49" i="33"/>
  <c r="R49" i="33"/>
  <c r="V45" i="33"/>
  <c r="U45" i="33"/>
  <c r="T45" i="33"/>
  <c r="S45" i="33"/>
  <c r="R45" i="33"/>
  <c r="V44" i="33"/>
  <c r="U44" i="33"/>
  <c r="T44" i="33"/>
  <c r="S44" i="33"/>
  <c r="R44" i="33"/>
  <c r="V43" i="33"/>
  <c r="U43" i="33"/>
  <c r="T43" i="33"/>
  <c r="S43" i="33"/>
  <c r="R43" i="33"/>
  <c r="V42" i="33"/>
  <c r="U42" i="33"/>
  <c r="T42" i="33"/>
  <c r="S42" i="33"/>
  <c r="R42" i="33"/>
  <c r="V41" i="33"/>
  <c r="U41" i="33"/>
  <c r="T41" i="33"/>
  <c r="S41" i="33"/>
  <c r="R41" i="33"/>
  <c r="V40" i="33"/>
  <c r="U40" i="33"/>
  <c r="T40" i="33"/>
  <c r="S40" i="33"/>
  <c r="R40" i="33"/>
  <c r="V39" i="33"/>
  <c r="U39" i="33"/>
  <c r="T39" i="33"/>
  <c r="S39" i="33"/>
  <c r="R39" i="33"/>
  <c r="V38" i="33"/>
  <c r="U38" i="33"/>
  <c r="T38" i="33"/>
  <c r="S38" i="33"/>
  <c r="R38" i="33"/>
  <c r="V37" i="33"/>
  <c r="U37" i="33"/>
  <c r="T37" i="33"/>
  <c r="S37" i="33"/>
  <c r="R37" i="33"/>
  <c r="V36" i="33"/>
  <c r="U36" i="33"/>
  <c r="T36" i="33"/>
  <c r="S36" i="33"/>
  <c r="R36" i="33"/>
  <c r="V35" i="33"/>
  <c r="U35" i="33"/>
  <c r="T35" i="33"/>
  <c r="S35" i="33"/>
  <c r="R35" i="33"/>
  <c r="V34" i="33"/>
  <c r="U34" i="33"/>
  <c r="T34" i="33"/>
  <c r="S34" i="33"/>
  <c r="R34" i="33"/>
  <c r="V33" i="33"/>
  <c r="U33" i="33"/>
  <c r="T33" i="33"/>
  <c r="S33" i="33"/>
  <c r="R33" i="33"/>
  <c r="V32" i="33"/>
  <c r="U32" i="33"/>
  <c r="T32" i="33"/>
  <c r="S32" i="33"/>
  <c r="R32" i="33"/>
  <c r="V31" i="33"/>
  <c r="U31" i="33"/>
  <c r="T31" i="33"/>
  <c r="S31" i="33"/>
  <c r="R31" i="33"/>
  <c r="V30" i="33"/>
  <c r="U30" i="33"/>
  <c r="T30" i="33"/>
  <c r="S30" i="33"/>
  <c r="R30" i="33"/>
  <c r="V29" i="33"/>
  <c r="U29" i="33"/>
  <c r="T29" i="33"/>
  <c r="S29" i="33"/>
  <c r="R29" i="33"/>
  <c r="V28" i="33"/>
  <c r="U28" i="33"/>
  <c r="T28" i="33"/>
  <c r="S28" i="33"/>
  <c r="R28" i="33"/>
  <c r="V27" i="33"/>
  <c r="U27" i="33"/>
  <c r="T27" i="33"/>
  <c r="S27" i="33"/>
  <c r="R27" i="33"/>
  <c r="V26" i="33"/>
  <c r="U26" i="33"/>
  <c r="T26" i="33"/>
  <c r="S26" i="33"/>
  <c r="R26" i="33"/>
  <c r="V25" i="33"/>
  <c r="U25" i="33"/>
  <c r="T25" i="33"/>
  <c r="S25" i="33"/>
  <c r="R25" i="33"/>
  <c r="V24" i="33"/>
  <c r="U24" i="33"/>
  <c r="T24" i="33"/>
  <c r="S24" i="33"/>
  <c r="R24" i="33"/>
  <c r="V23" i="33"/>
  <c r="U23" i="33"/>
  <c r="T23" i="33"/>
  <c r="S23" i="33"/>
  <c r="R23" i="33"/>
  <c r="V22" i="33"/>
  <c r="U22" i="33"/>
  <c r="T22" i="33"/>
  <c r="S22" i="33"/>
  <c r="R22" i="33"/>
  <c r="V385" i="33"/>
  <c r="U385" i="33"/>
  <c r="T385" i="33"/>
  <c r="S385" i="33"/>
  <c r="R385" i="33"/>
  <c r="V357" i="33"/>
  <c r="U357" i="33"/>
  <c r="T357" i="33"/>
  <c r="S357" i="33"/>
  <c r="R357" i="33"/>
  <c r="V329" i="33"/>
  <c r="U329" i="33"/>
  <c r="T329" i="33"/>
  <c r="S329" i="33"/>
  <c r="R329" i="33"/>
  <c r="V301" i="33"/>
  <c r="U301" i="33"/>
  <c r="T301" i="33"/>
  <c r="S301" i="33"/>
  <c r="R301" i="33"/>
  <c r="K15" i="33"/>
  <c r="W15" i="33"/>
  <c r="N10" i="33"/>
  <c r="M10" i="33"/>
  <c r="L10" i="33"/>
  <c r="K10" i="33"/>
  <c r="B10" i="33"/>
  <c r="L8" i="33"/>
  <c r="I2" i="33"/>
  <c r="H2" i="33"/>
  <c r="G2" i="33"/>
  <c r="F2" i="33"/>
  <c r="B2" i="33"/>
  <c r="E99" i="1" l="1"/>
  <c r="Z10" i="21"/>
  <c r="B12" i="33"/>
  <c r="V73" i="33"/>
  <c r="U130" i="33"/>
  <c r="R100" i="33"/>
  <c r="V100" i="33"/>
  <c r="U127" i="33"/>
  <c r="R73" i="33"/>
  <c r="U100" i="33"/>
  <c r="R127" i="33"/>
  <c r="V127" i="33"/>
  <c r="T127" i="33"/>
  <c r="S130" i="33"/>
  <c r="S127" i="33"/>
  <c r="T130" i="33"/>
  <c r="R46" i="33"/>
  <c r="V46" i="33"/>
  <c r="U46" i="33"/>
  <c r="U73" i="33"/>
  <c r="T100" i="33"/>
  <c r="R130" i="33"/>
  <c r="V130" i="33"/>
  <c r="S100" i="33"/>
  <c r="T46" i="33"/>
  <c r="S46" i="33"/>
  <c r="T73" i="33"/>
  <c r="S73" i="33"/>
  <c r="R417" i="33" l="1"/>
  <c r="B19" i="33"/>
  <c r="B134" i="33" s="1"/>
  <c r="L399" i="33" a="1"/>
  <c r="L399" i="33" s="1"/>
  <c r="S416" i="33"/>
  <c r="U416" i="33"/>
  <c r="T417" i="33"/>
  <c r="S417" i="33"/>
  <c r="R416" i="33"/>
  <c r="L393" i="33" a="1"/>
  <c r="L393" i="33" s="1"/>
  <c r="U417" i="33"/>
  <c r="T416" i="33"/>
  <c r="W130" i="33"/>
  <c r="I5" i="33"/>
  <c r="B273" i="33" l="1"/>
  <c r="K196" i="19" l="1"/>
  <c r="D196" i="19"/>
  <c r="K175" i="19"/>
  <c r="D175" i="19"/>
  <c r="K150" i="19"/>
  <c r="D150" i="19"/>
  <c r="D151" i="19"/>
  <c r="K151" i="19"/>
  <c r="K129" i="19"/>
  <c r="D129" i="19"/>
  <c r="K104" i="19"/>
  <c r="D104" i="19"/>
  <c r="D277" i="5"/>
  <c r="D260" i="5"/>
  <c r="D243" i="5"/>
  <c r="D226" i="5"/>
  <c r="D209" i="5"/>
  <c r="K191" i="5"/>
  <c r="D191" i="5"/>
  <c r="K173" i="5"/>
  <c r="D173" i="5"/>
  <c r="D156" i="5"/>
  <c r="K139" i="5"/>
  <c r="D139" i="5"/>
  <c r="K122" i="5"/>
  <c r="D122" i="5"/>
  <c r="D101" i="5"/>
  <c r="K77" i="19"/>
  <c r="D77" i="19"/>
  <c r="D964" i="18"/>
  <c r="D944" i="18"/>
  <c r="D924" i="18"/>
  <c r="D904" i="18"/>
  <c r="D905" i="18"/>
  <c r="D884" i="18"/>
  <c r="D864" i="18"/>
  <c r="N835" i="18"/>
  <c r="D835" i="18"/>
  <c r="N815" i="18"/>
  <c r="D815" i="18"/>
  <c r="D787" i="18"/>
  <c r="K754" i="18"/>
  <c r="D754" i="18"/>
  <c r="K733" i="18"/>
  <c r="D733" i="18"/>
  <c r="K712" i="18"/>
  <c r="D712" i="18"/>
  <c r="K691" i="18"/>
  <c r="D691" i="18"/>
  <c r="K670" i="18"/>
  <c r="D670" i="18"/>
  <c r="K649" i="18"/>
  <c r="D649" i="18"/>
  <c r="K628" i="18"/>
  <c r="D628" i="18"/>
  <c r="K607" i="18"/>
  <c r="D607" i="18"/>
  <c r="K586" i="18"/>
  <c r="D586" i="18"/>
  <c r="K565" i="18"/>
  <c r="D565" i="18"/>
  <c r="V545" i="18"/>
  <c r="U545" i="18"/>
  <c r="T545" i="18"/>
  <c r="S545" i="18"/>
  <c r="R545" i="18"/>
  <c r="D545" i="18"/>
  <c r="N525" i="18"/>
  <c r="D525" i="18"/>
  <c r="K495" i="18"/>
  <c r="D495" i="18"/>
  <c r="K474" i="18"/>
  <c r="D474" i="18"/>
  <c r="K453" i="18"/>
  <c r="D453" i="18"/>
  <c r="K432" i="18"/>
  <c r="D432" i="18"/>
  <c r="K411" i="18"/>
  <c r="D411" i="18"/>
  <c r="K390" i="18"/>
  <c r="D390" i="18"/>
  <c r="K369" i="18"/>
  <c r="D369" i="18"/>
  <c r="K349" i="18"/>
  <c r="D349" i="18"/>
  <c r="K329" i="18"/>
  <c r="D329" i="18"/>
  <c r="K309" i="18"/>
  <c r="D309" i="18"/>
  <c r="K289" i="18"/>
  <c r="D289" i="18"/>
  <c r="K269" i="18"/>
  <c r="D269" i="18"/>
  <c r="K249" i="18"/>
  <c r="D249" i="18"/>
  <c r="K229" i="18"/>
  <c r="D229" i="18"/>
  <c r="K209" i="18"/>
  <c r="D209" i="18"/>
  <c r="D98" i="18"/>
  <c r="N183" i="18"/>
  <c r="D183" i="18"/>
  <c r="K158" i="18"/>
  <c r="D158" i="18"/>
  <c r="K140" i="18"/>
  <c r="D140" i="18"/>
  <c r="D81" i="18"/>
  <c r="N64" i="18"/>
  <c r="D64" i="18"/>
  <c r="K43" i="18"/>
  <c r="D43" i="18"/>
  <c r="K25" i="18"/>
  <c r="D25" i="18"/>
  <c r="D138" i="17"/>
  <c r="K117" i="17"/>
  <c r="D117" i="17"/>
  <c r="N85" i="17"/>
  <c r="D85" i="17"/>
  <c r="N65" i="17"/>
  <c r="D65" i="17"/>
  <c r="N45" i="17"/>
  <c r="D45" i="17"/>
  <c r="N25" i="17"/>
  <c r="D25" i="17"/>
  <c r="K640" i="5"/>
  <c r="D640" i="5"/>
  <c r="K602" i="5"/>
  <c r="D602" i="5"/>
  <c r="K584" i="5"/>
  <c r="D584" i="5"/>
  <c r="K560" i="5"/>
  <c r="D560" i="5"/>
  <c r="N538" i="5"/>
  <c r="D538" i="5"/>
  <c r="V344" i="5"/>
  <c r="U344" i="5"/>
  <c r="T344" i="5"/>
  <c r="S344" i="5"/>
  <c r="R344" i="5"/>
  <c r="N344" i="5"/>
  <c r="K344" i="5"/>
  <c r="D344" i="5"/>
  <c r="K516" i="5"/>
  <c r="D516" i="5"/>
  <c r="K498" i="5"/>
  <c r="D498" i="5"/>
  <c r="D481" i="5"/>
  <c r="D464" i="5"/>
  <c r="D447" i="5"/>
  <c r="D430" i="5"/>
  <c r="D413" i="5"/>
  <c r="D396" i="5"/>
  <c r="D379" i="5"/>
  <c r="N362" i="5"/>
  <c r="D301" i="16"/>
  <c r="M279" i="16"/>
  <c r="D279" i="16"/>
  <c r="M213" i="16"/>
  <c r="L213" i="16"/>
  <c r="D213" i="16"/>
  <c r="M193" i="16"/>
  <c r="L193" i="16"/>
  <c r="D193" i="16"/>
  <c r="M169" i="16"/>
  <c r="L169" i="16"/>
  <c r="D169" i="16"/>
  <c r="L148" i="16"/>
  <c r="M149" i="16"/>
  <c r="L149" i="16"/>
  <c r="D149" i="16"/>
  <c r="M129" i="16"/>
  <c r="L129" i="16"/>
  <c r="D129" i="16"/>
  <c r="M109" i="16"/>
  <c r="L109" i="16"/>
  <c r="D109" i="16"/>
  <c r="M85" i="16"/>
  <c r="L85" i="16"/>
  <c r="D85" i="16"/>
  <c r="D65" i="16"/>
  <c r="D32" i="16"/>
  <c r="D362" i="5"/>
  <c r="T464" i="5" l="1"/>
  <c r="S430" i="5"/>
  <c r="U413" i="5"/>
  <c r="T396" i="5"/>
  <c r="S464" i="5"/>
  <c r="V430" i="5"/>
  <c r="R430" i="5"/>
  <c r="T413" i="5"/>
  <c r="S396" i="5"/>
  <c r="V464" i="5"/>
  <c r="R464" i="5"/>
  <c r="R396" i="5"/>
  <c r="U464" i="5"/>
  <c r="V413" i="5"/>
  <c r="U396" i="5"/>
  <c r="R413" i="5"/>
  <c r="T430" i="5"/>
  <c r="V396" i="5"/>
  <c r="S413" i="5"/>
  <c r="U430" i="5"/>
  <c r="V584" i="5"/>
  <c r="V25" i="18" s="1"/>
  <c r="R691" i="18"/>
  <c r="R196" i="19" s="1"/>
  <c r="R649" i="18"/>
  <c r="R150" i="19" s="1"/>
  <c r="S584" i="5"/>
  <c r="S25" i="18" s="1"/>
  <c r="T584" i="5"/>
  <c r="T25" i="18" s="1"/>
  <c r="U584" i="5"/>
  <c r="U25" i="18" s="1"/>
  <c r="R584" i="5"/>
  <c r="R25" i="18" s="1"/>
  <c r="M356" i="11"/>
  <c r="L356" i="11"/>
  <c r="M355" i="11"/>
  <c r="L355" i="11"/>
  <c r="M354" i="11"/>
  <c r="L354" i="11"/>
  <c r="M353" i="11"/>
  <c r="L353" i="11"/>
  <c r="K87" i="11"/>
  <c r="D87" i="11"/>
  <c r="W344" i="5" l="1"/>
  <c r="N81" i="18"/>
  <c r="L464" i="5"/>
  <c r="W25" i="18"/>
  <c r="W584" i="5"/>
  <c r="L396" i="5"/>
  <c r="W464" i="5"/>
  <c r="W430" i="5"/>
  <c r="L430" i="5"/>
  <c r="W396" i="5"/>
  <c r="W413" i="5"/>
  <c r="L413" i="5"/>
  <c r="M324" i="11"/>
  <c r="L324" i="11"/>
  <c r="L323" i="11"/>
  <c r="L322" i="11"/>
  <c r="Q326" i="11"/>
  <c r="Q327" i="11" l="1"/>
  <c r="Q140" i="11" s="1"/>
  <c r="D126" i="5"/>
  <c r="D356" i="18" l="1"/>
  <c r="D355" i="18"/>
  <c r="D354" i="18"/>
  <c r="D353" i="18"/>
  <c r="D352" i="18"/>
  <c r="D351" i="18"/>
  <c r="D350" i="18"/>
  <c r="D348" i="18"/>
  <c r="D347" i="18"/>
  <c r="D346" i="18"/>
  <c r="D345" i="18"/>
  <c r="D344" i="18"/>
  <c r="D343" i="18"/>
  <c r="D341" i="18"/>
  <c r="D340" i="18"/>
  <c r="D336" i="18"/>
  <c r="D335" i="18"/>
  <c r="D334" i="18"/>
  <c r="D333" i="18"/>
  <c r="D332" i="18"/>
  <c r="D331" i="18"/>
  <c r="D330" i="18"/>
  <c r="D328" i="18"/>
  <c r="D327" i="18"/>
  <c r="D326" i="18"/>
  <c r="D325" i="18"/>
  <c r="D324" i="18"/>
  <c r="D323" i="18"/>
  <c r="D321" i="18"/>
  <c r="D320" i="18"/>
  <c r="D316" i="18"/>
  <c r="D315" i="18"/>
  <c r="D314" i="18"/>
  <c r="D313" i="18"/>
  <c r="D312" i="18"/>
  <c r="D311" i="18"/>
  <c r="D310" i="18"/>
  <c r="D308" i="18"/>
  <c r="D307" i="18"/>
  <c r="D306" i="18"/>
  <c r="D305" i="18"/>
  <c r="D304" i="18"/>
  <c r="D303" i="18"/>
  <c r="D301" i="18"/>
  <c r="D300" i="18"/>
  <c r="D299" i="18"/>
  <c r="D296" i="18"/>
  <c r="D295" i="18"/>
  <c r="D294" i="18"/>
  <c r="D293" i="18"/>
  <c r="D292" i="18"/>
  <c r="D291" i="18"/>
  <c r="D290" i="18"/>
  <c r="D288" i="18"/>
  <c r="D287" i="18"/>
  <c r="D286" i="18"/>
  <c r="D285" i="18"/>
  <c r="D284" i="18"/>
  <c r="D283" i="18"/>
  <c r="D281" i="18"/>
  <c r="D280" i="18"/>
  <c r="D339" i="18"/>
  <c r="D319" i="18"/>
  <c r="D279" i="18"/>
  <c r="D259" i="18"/>
  <c r="K356" i="18"/>
  <c r="K355" i="18"/>
  <c r="K354" i="18"/>
  <c r="K353" i="18"/>
  <c r="K352" i="18"/>
  <c r="K351" i="18"/>
  <c r="K350" i="18"/>
  <c r="K348" i="18"/>
  <c r="K347" i="18"/>
  <c r="K346" i="18"/>
  <c r="K345" i="18"/>
  <c r="K344" i="18"/>
  <c r="K343" i="18"/>
  <c r="K341" i="18"/>
  <c r="K340" i="18"/>
  <c r="K339" i="18"/>
  <c r="K336" i="18"/>
  <c r="K335" i="18"/>
  <c r="K334" i="18"/>
  <c r="K333" i="18"/>
  <c r="K332" i="18"/>
  <c r="K331" i="18"/>
  <c r="K330" i="18"/>
  <c r="K328" i="18"/>
  <c r="K327" i="18"/>
  <c r="K326" i="18"/>
  <c r="K325" i="18"/>
  <c r="K324" i="18"/>
  <c r="K323" i="18"/>
  <c r="K321" i="18"/>
  <c r="K320" i="18"/>
  <c r="K319" i="18"/>
  <c r="K316" i="18"/>
  <c r="K315" i="18"/>
  <c r="K314" i="18"/>
  <c r="K313" i="18"/>
  <c r="K312" i="18"/>
  <c r="K311" i="18"/>
  <c r="K310" i="18"/>
  <c r="K308" i="18"/>
  <c r="K307" i="18"/>
  <c r="K306" i="18"/>
  <c r="K305" i="18"/>
  <c r="K304" i="18"/>
  <c r="K303" i="18"/>
  <c r="K301" i="18"/>
  <c r="K300" i="18"/>
  <c r="K299" i="18"/>
  <c r="K296" i="18"/>
  <c r="K295" i="18"/>
  <c r="K294" i="18"/>
  <c r="K293" i="18"/>
  <c r="K292" i="18"/>
  <c r="K291" i="18"/>
  <c r="K290" i="18"/>
  <c r="K288" i="18"/>
  <c r="K287" i="18"/>
  <c r="K286" i="18"/>
  <c r="K285" i="18"/>
  <c r="K284" i="18"/>
  <c r="K283" i="18"/>
  <c r="K281" i="18"/>
  <c r="K280" i="18"/>
  <c r="K279" i="18"/>
  <c r="D276" i="18"/>
  <c r="D275" i="18"/>
  <c r="D274" i="18"/>
  <c r="D273" i="18"/>
  <c r="D272" i="18"/>
  <c r="D271" i="18"/>
  <c r="D270" i="18"/>
  <c r="D268" i="18"/>
  <c r="D267" i="18"/>
  <c r="D266" i="18"/>
  <c r="D265" i="18"/>
  <c r="D264" i="18"/>
  <c r="D263" i="18"/>
  <c r="D261" i="18"/>
  <c r="D260" i="18"/>
  <c r="D239" i="18"/>
  <c r="K276" i="18"/>
  <c r="K275" i="18"/>
  <c r="K274" i="18"/>
  <c r="K273" i="18"/>
  <c r="K272" i="18"/>
  <c r="K271" i="18"/>
  <c r="K270" i="18"/>
  <c r="K268" i="18"/>
  <c r="K267" i="18"/>
  <c r="K266" i="18"/>
  <c r="K265" i="18"/>
  <c r="K264" i="18"/>
  <c r="K263" i="18"/>
  <c r="K261" i="18"/>
  <c r="K260" i="18"/>
  <c r="K259" i="18"/>
  <c r="D256" i="18"/>
  <c r="D255" i="18"/>
  <c r="D254" i="18"/>
  <c r="D253" i="18"/>
  <c r="D252" i="18"/>
  <c r="D251" i="18"/>
  <c r="D250" i="18"/>
  <c r="D248" i="18"/>
  <c r="D247" i="18"/>
  <c r="D246" i="18"/>
  <c r="D245" i="18"/>
  <c r="D244" i="18"/>
  <c r="D243" i="18"/>
  <c r="D241" i="18"/>
  <c r="D240" i="18"/>
  <c r="D219" i="18"/>
  <c r="K256" i="18"/>
  <c r="K255" i="18"/>
  <c r="K254" i="18"/>
  <c r="K253" i="18"/>
  <c r="K252" i="18"/>
  <c r="K251" i="18"/>
  <c r="K250" i="18"/>
  <c r="K248" i="18"/>
  <c r="K247" i="18"/>
  <c r="K246" i="18"/>
  <c r="K245" i="18"/>
  <c r="K244" i="18"/>
  <c r="K243" i="18"/>
  <c r="K241" i="18"/>
  <c r="K240" i="18"/>
  <c r="K239" i="18"/>
  <c r="D236" i="18"/>
  <c r="D235" i="18"/>
  <c r="D234" i="18"/>
  <c r="D233" i="18"/>
  <c r="D232" i="18"/>
  <c r="D231" i="18"/>
  <c r="D230" i="18"/>
  <c r="D228" i="18"/>
  <c r="D227" i="18"/>
  <c r="D226" i="18"/>
  <c r="D225" i="18"/>
  <c r="D224" i="18"/>
  <c r="D223" i="18"/>
  <c r="D221" i="18"/>
  <c r="D220" i="18"/>
  <c r="D199" i="18"/>
  <c r="K236" i="18"/>
  <c r="K235" i="18"/>
  <c r="K234" i="18"/>
  <c r="K233" i="18"/>
  <c r="K232" i="18"/>
  <c r="K231" i="18"/>
  <c r="K230" i="18"/>
  <c r="K228" i="18"/>
  <c r="K227" i="18"/>
  <c r="K226" i="18"/>
  <c r="K225" i="18"/>
  <c r="K224" i="18"/>
  <c r="K223" i="18"/>
  <c r="K221" i="18"/>
  <c r="K220" i="18"/>
  <c r="K219" i="18"/>
  <c r="D216" i="18"/>
  <c r="D215" i="18"/>
  <c r="D214" i="18"/>
  <c r="D213" i="18"/>
  <c r="D212" i="18"/>
  <c r="D211" i="18"/>
  <c r="D210" i="18"/>
  <c r="D208" i="18"/>
  <c r="D207" i="18"/>
  <c r="D206" i="18"/>
  <c r="D205" i="18"/>
  <c r="D204" i="18"/>
  <c r="D203" i="18"/>
  <c r="D201" i="18"/>
  <c r="D200" i="18"/>
  <c r="K216" i="18"/>
  <c r="K215" i="18"/>
  <c r="K214" i="18"/>
  <c r="K213" i="18"/>
  <c r="K212" i="18"/>
  <c r="K211" i="18"/>
  <c r="K210" i="18"/>
  <c r="K208" i="18"/>
  <c r="K207" i="18"/>
  <c r="K206" i="18"/>
  <c r="K205" i="18"/>
  <c r="K204" i="18"/>
  <c r="K203" i="18"/>
  <c r="K201" i="18"/>
  <c r="K200" i="18"/>
  <c r="K199" i="18"/>
  <c r="D105" i="18"/>
  <c r="D104" i="18"/>
  <c r="D103" i="18"/>
  <c r="D102" i="18"/>
  <c r="D101" i="18"/>
  <c r="D100" i="18"/>
  <c r="D99" i="18"/>
  <c r="D97" i="18"/>
  <c r="D96" i="18"/>
  <c r="D95" i="18"/>
  <c r="D94" i="18"/>
  <c r="D93" i="18"/>
  <c r="D92" i="18"/>
  <c r="D90" i="18"/>
  <c r="D89" i="18"/>
  <c r="D359" i="18"/>
  <c r="K110" i="18"/>
  <c r="K109" i="18"/>
  <c r="V109" i="18"/>
  <c r="U109" i="18"/>
  <c r="T109" i="18"/>
  <c r="S109" i="18"/>
  <c r="R109" i="18"/>
  <c r="D264" i="5"/>
  <c r="D263" i="5"/>
  <c r="D262" i="5"/>
  <c r="D261" i="5"/>
  <c r="D259" i="5"/>
  <c r="D258" i="5"/>
  <c r="D257" i="5"/>
  <c r="D256" i="5"/>
  <c r="D255" i="5"/>
  <c r="D254" i="5"/>
  <c r="D252" i="5"/>
  <c r="D251" i="5"/>
  <c r="D250" i="5"/>
  <c r="D233" i="5"/>
  <c r="D451" i="5"/>
  <c r="D450" i="5"/>
  <c r="D449" i="5"/>
  <c r="D448" i="5"/>
  <c r="D446" i="5"/>
  <c r="D445" i="5"/>
  <c r="D444" i="5"/>
  <c r="D443" i="5"/>
  <c r="D442" i="5"/>
  <c r="D441" i="5"/>
  <c r="D439" i="5"/>
  <c r="D438" i="5"/>
  <c r="D437" i="5"/>
  <c r="D369" i="5"/>
  <c r="D160" i="5"/>
  <c r="D159" i="5"/>
  <c r="D158" i="5"/>
  <c r="D157" i="5"/>
  <c r="D155" i="5"/>
  <c r="D154" i="5"/>
  <c r="D153" i="5"/>
  <c r="D152" i="5"/>
  <c r="D151" i="5"/>
  <c r="D150" i="5"/>
  <c r="D148" i="5"/>
  <c r="D147" i="5"/>
  <c r="D146" i="5"/>
  <c r="D129" i="5"/>
  <c r="K49" i="5"/>
  <c r="V47" i="5"/>
  <c r="U47" i="5"/>
  <c r="T47" i="5"/>
  <c r="S47" i="5"/>
  <c r="R47" i="5"/>
  <c r="K47" i="5"/>
  <c r="W109" i="18" l="1"/>
  <c r="W47" i="5"/>
  <c r="K51" i="11" l="1"/>
  <c r="K50" i="11"/>
  <c r="K49" i="11"/>
  <c r="K48" i="11"/>
  <c r="N49" i="11"/>
  <c r="K285" i="5" l="1"/>
  <c r="N44" i="5"/>
  <c r="N45" i="5"/>
  <c r="D282" i="5" l="1"/>
  <c r="D196" i="5"/>
  <c r="K196" i="5"/>
  <c r="D108" i="5"/>
  <c r="K178" i="5"/>
  <c r="D178" i="5"/>
  <c r="N72" i="17" l="1"/>
  <c r="N833" i="18"/>
  <c r="N834" i="18"/>
  <c r="D417" i="5"/>
  <c r="D416" i="5"/>
  <c r="D415" i="5"/>
  <c r="D414" i="5"/>
  <c r="D412" i="5"/>
  <c r="D411" i="5"/>
  <c r="D410" i="5"/>
  <c r="D409" i="5"/>
  <c r="D408" i="5"/>
  <c r="D407" i="5"/>
  <c r="D405" i="5"/>
  <c r="D404" i="5"/>
  <c r="D403" i="5"/>
  <c r="D386" i="5"/>
  <c r="D400" i="5"/>
  <c r="D399" i="5"/>
  <c r="D398" i="5"/>
  <c r="D397" i="5"/>
  <c r="D395" i="5"/>
  <c r="D394" i="5"/>
  <c r="D393" i="5"/>
  <c r="D392" i="5"/>
  <c r="D391" i="5"/>
  <c r="D390" i="5"/>
  <c r="D388" i="5"/>
  <c r="D387" i="5"/>
  <c r="D230" i="5"/>
  <c r="D229" i="5"/>
  <c r="D228" i="5"/>
  <c r="D227" i="5"/>
  <c r="D225" i="5"/>
  <c r="D224" i="5"/>
  <c r="D223" i="5"/>
  <c r="D222" i="5"/>
  <c r="D221" i="5"/>
  <c r="D220" i="5"/>
  <c r="D218" i="5"/>
  <c r="D217" i="5"/>
  <c r="D216" i="5"/>
  <c r="D199" i="5"/>
  <c r="D213" i="5"/>
  <c r="D212" i="5"/>
  <c r="D211" i="5"/>
  <c r="D210" i="5"/>
  <c r="D208" i="5"/>
  <c r="D207" i="5"/>
  <c r="D206" i="5"/>
  <c r="D205" i="5"/>
  <c r="D204" i="5"/>
  <c r="D203" i="5"/>
  <c r="D201" i="5"/>
  <c r="D200" i="5"/>
  <c r="D143" i="5"/>
  <c r="D142" i="5"/>
  <c r="D141" i="5"/>
  <c r="D140" i="5"/>
  <c r="D138" i="5"/>
  <c r="D137" i="5"/>
  <c r="D136" i="5"/>
  <c r="D135" i="5"/>
  <c r="D134" i="5"/>
  <c r="D133" i="5"/>
  <c r="D131" i="5"/>
  <c r="D130" i="5"/>
  <c r="D112" i="5"/>
  <c r="K143" i="5"/>
  <c r="K142" i="5"/>
  <c r="K141" i="5"/>
  <c r="K140" i="5"/>
  <c r="K138" i="5"/>
  <c r="K137" i="5"/>
  <c r="K136" i="5"/>
  <c r="K135" i="5"/>
  <c r="K134" i="5"/>
  <c r="K133" i="5"/>
  <c r="K131" i="5"/>
  <c r="K130" i="5"/>
  <c r="K129" i="5"/>
  <c r="D125" i="5"/>
  <c r="D124" i="5"/>
  <c r="D123" i="5"/>
  <c r="D121" i="5"/>
  <c r="D120" i="5"/>
  <c r="D119" i="5"/>
  <c r="D118" i="5"/>
  <c r="D117" i="5"/>
  <c r="D116" i="5"/>
  <c r="D114" i="5"/>
  <c r="D113" i="5"/>
  <c r="D91" i="5"/>
  <c r="K126" i="5"/>
  <c r="K125" i="5"/>
  <c r="K124" i="5"/>
  <c r="K123" i="5"/>
  <c r="K121" i="5"/>
  <c r="K120" i="5"/>
  <c r="K119" i="5"/>
  <c r="K118" i="5"/>
  <c r="K117" i="5"/>
  <c r="K116" i="5"/>
  <c r="K114" i="5"/>
  <c r="K113" i="5"/>
  <c r="K112" i="5"/>
  <c r="D468" i="5"/>
  <c r="D467" i="5"/>
  <c r="D466" i="5"/>
  <c r="D465" i="5"/>
  <c r="D463" i="5"/>
  <c r="D462" i="5"/>
  <c r="D461" i="5"/>
  <c r="D460" i="5"/>
  <c r="D459" i="5"/>
  <c r="D458" i="5"/>
  <c r="D456" i="5"/>
  <c r="D455" i="5"/>
  <c r="D454" i="5"/>
  <c r="D420" i="5"/>
  <c r="D281" i="5"/>
  <c r="D280" i="5"/>
  <c r="D279" i="5"/>
  <c r="D278" i="5"/>
  <c r="D276" i="5"/>
  <c r="D275" i="5"/>
  <c r="D274" i="5"/>
  <c r="D273" i="5"/>
  <c r="D272" i="5"/>
  <c r="D271" i="5"/>
  <c r="D269" i="5"/>
  <c r="D268" i="5"/>
  <c r="D267" i="5"/>
  <c r="D195" i="5"/>
  <c r="D194" i="5"/>
  <c r="D193" i="5"/>
  <c r="D192" i="5"/>
  <c r="D190" i="5"/>
  <c r="D189" i="5"/>
  <c r="D188" i="5"/>
  <c r="D187" i="5"/>
  <c r="D186" i="5"/>
  <c r="D185" i="5"/>
  <c r="D183" i="5"/>
  <c r="D182" i="5"/>
  <c r="D181" i="5"/>
  <c r="D163" i="5"/>
  <c r="K195" i="5"/>
  <c r="K194" i="5"/>
  <c r="K193" i="5"/>
  <c r="K192" i="5"/>
  <c r="K190" i="5"/>
  <c r="K189" i="5"/>
  <c r="K188" i="5"/>
  <c r="K187" i="5"/>
  <c r="K186" i="5"/>
  <c r="K185" i="5"/>
  <c r="K183" i="5"/>
  <c r="K182" i="5"/>
  <c r="K181" i="5"/>
  <c r="D177" i="5"/>
  <c r="D176" i="5"/>
  <c r="D175" i="5"/>
  <c r="D174" i="5"/>
  <c r="D172" i="5"/>
  <c r="D171" i="5"/>
  <c r="D170" i="5"/>
  <c r="D169" i="5"/>
  <c r="D168" i="5"/>
  <c r="D167" i="5"/>
  <c r="D165" i="5"/>
  <c r="D164" i="5"/>
  <c r="K177" i="5"/>
  <c r="K176" i="5"/>
  <c r="K175" i="5"/>
  <c r="K174" i="5"/>
  <c r="K172" i="5"/>
  <c r="K171" i="5"/>
  <c r="K170" i="5"/>
  <c r="K169" i="5"/>
  <c r="K168" i="5"/>
  <c r="K167" i="5"/>
  <c r="K165" i="5"/>
  <c r="K164" i="5"/>
  <c r="K163" i="5"/>
  <c r="K503" i="5"/>
  <c r="D485" i="5"/>
  <c r="D484" i="5"/>
  <c r="D483" i="5"/>
  <c r="D482" i="5"/>
  <c r="D480" i="5"/>
  <c r="D479" i="5"/>
  <c r="D478" i="5"/>
  <c r="D477" i="5"/>
  <c r="D476" i="5"/>
  <c r="D475" i="5"/>
  <c r="D473" i="5"/>
  <c r="D472" i="5"/>
  <c r="D471" i="5"/>
  <c r="D434" i="5"/>
  <c r="D433" i="5"/>
  <c r="D432" i="5"/>
  <c r="D431" i="5"/>
  <c r="D429" i="5"/>
  <c r="D428" i="5"/>
  <c r="D427" i="5"/>
  <c r="D426" i="5"/>
  <c r="D425" i="5"/>
  <c r="D424" i="5"/>
  <c r="D422" i="5"/>
  <c r="D421" i="5"/>
  <c r="D247" i="5"/>
  <c r="D246" i="5"/>
  <c r="D245" i="5"/>
  <c r="D244" i="5"/>
  <c r="D242" i="5"/>
  <c r="D241" i="5"/>
  <c r="D240" i="5"/>
  <c r="D239" i="5"/>
  <c r="D238" i="5"/>
  <c r="D237" i="5"/>
  <c r="D235" i="5"/>
  <c r="D234" i="5"/>
  <c r="D105" i="5"/>
  <c r="D104" i="5"/>
  <c r="D103" i="5"/>
  <c r="D102" i="5"/>
  <c r="D100" i="5"/>
  <c r="D99" i="5"/>
  <c r="D98" i="5"/>
  <c r="D97" i="5"/>
  <c r="D96" i="5"/>
  <c r="D95" i="5"/>
  <c r="D93" i="5"/>
  <c r="D92" i="5"/>
  <c r="D334" i="5"/>
  <c r="AN23" i="21" l="1"/>
  <c r="L37" i="11" l="1"/>
  <c r="L36" i="11"/>
  <c r="L35" i="11"/>
  <c r="L34" i="11"/>
  <c r="L15" i="16" l="1"/>
  <c r="V552" i="18" l="1"/>
  <c r="U552" i="18"/>
  <c r="T552" i="18"/>
  <c r="S552" i="18"/>
  <c r="R552" i="18"/>
  <c r="V551" i="18"/>
  <c r="U551" i="18"/>
  <c r="T551" i="18"/>
  <c r="S551" i="18"/>
  <c r="R551" i="18"/>
  <c r="V550" i="18"/>
  <c r="U550" i="18"/>
  <c r="T550" i="18"/>
  <c r="S550" i="18"/>
  <c r="R550" i="18"/>
  <c r="V549" i="18"/>
  <c r="U549" i="18"/>
  <c r="T549" i="18"/>
  <c r="S549" i="18"/>
  <c r="R549" i="18"/>
  <c r="V548" i="18"/>
  <c r="U548" i="18"/>
  <c r="T548" i="18"/>
  <c r="S548" i="18"/>
  <c r="R548" i="18"/>
  <c r="V547" i="18"/>
  <c r="U547" i="18"/>
  <c r="T547" i="18"/>
  <c r="S547" i="18"/>
  <c r="R547" i="18"/>
  <c r="V546" i="18"/>
  <c r="U546" i="18"/>
  <c r="T546" i="18"/>
  <c r="S546" i="18"/>
  <c r="R546" i="18"/>
  <c r="V544" i="18"/>
  <c r="U544" i="18"/>
  <c r="T544" i="18"/>
  <c r="S544" i="18"/>
  <c r="R544" i="18"/>
  <c r="V543" i="18"/>
  <c r="U543" i="18"/>
  <c r="T543" i="18"/>
  <c r="S543" i="18"/>
  <c r="R543" i="18"/>
  <c r="V542" i="18"/>
  <c r="U542" i="18"/>
  <c r="T542" i="18"/>
  <c r="S542" i="18"/>
  <c r="R542" i="18"/>
  <c r="V541" i="18"/>
  <c r="U541" i="18"/>
  <c r="T541" i="18"/>
  <c r="S541" i="18"/>
  <c r="R541" i="18"/>
  <c r="V540" i="18"/>
  <c r="U540" i="18"/>
  <c r="T540" i="18"/>
  <c r="S540" i="18"/>
  <c r="R540" i="18"/>
  <c r="V539" i="18"/>
  <c r="U539" i="18"/>
  <c r="T539" i="18"/>
  <c r="S539" i="18"/>
  <c r="R539" i="18"/>
  <c r="V537" i="18"/>
  <c r="U537" i="18"/>
  <c r="T537" i="18"/>
  <c r="S537" i="18"/>
  <c r="R537" i="18"/>
  <c r="V536" i="18"/>
  <c r="U536" i="18"/>
  <c r="T536" i="18"/>
  <c r="S536" i="18"/>
  <c r="R536" i="18"/>
  <c r="V535" i="18"/>
  <c r="U535" i="18"/>
  <c r="T535" i="18"/>
  <c r="S535" i="18"/>
  <c r="R535" i="18"/>
  <c r="R316" i="5" l="1"/>
  <c r="V161" i="11"/>
  <c r="U161" i="11"/>
  <c r="T161" i="11"/>
  <c r="S161" i="11"/>
  <c r="R161" i="11"/>
  <c r="R158" i="11"/>
  <c r="V158" i="11"/>
  <c r="U158" i="11"/>
  <c r="T158" i="11"/>
  <c r="S158" i="11"/>
  <c r="V155" i="11"/>
  <c r="U155" i="11"/>
  <c r="T155" i="11"/>
  <c r="S155" i="11"/>
  <c r="R155" i="11"/>
  <c r="V295" i="11"/>
  <c r="V18" i="36" s="1"/>
  <c r="U295" i="11"/>
  <c r="U18" i="36" s="1"/>
  <c r="T295" i="11"/>
  <c r="T18" i="36" s="1"/>
  <c r="S295" i="11"/>
  <c r="S18" i="36" s="1"/>
  <c r="R295" i="11"/>
  <c r="R18" i="36" s="1"/>
  <c r="K295" i="11"/>
  <c r="V268" i="11"/>
  <c r="V17" i="36" s="1"/>
  <c r="U268" i="11"/>
  <c r="U17" i="36" s="1"/>
  <c r="T268" i="11"/>
  <c r="T17" i="36" s="1"/>
  <c r="S268" i="11"/>
  <c r="S17" i="36" s="1"/>
  <c r="R268" i="11"/>
  <c r="R17" i="36" s="1"/>
  <c r="K268" i="11"/>
  <c r="R241" i="11"/>
  <c r="R16" i="36" s="1"/>
  <c r="V241" i="11"/>
  <c r="V16" i="36" s="1"/>
  <c r="U241" i="11"/>
  <c r="U16" i="36" s="1"/>
  <c r="T241" i="11"/>
  <c r="T16" i="36" s="1"/>
  <c r="S241" i="11"/>
  <c r="S16" i="36" s="1"/>
  <c r="K241" i="11"/>
  <c r="V214" i="11"/>
  <c r="V15" i="36" s="1"/>
  <c r="U214" i="11"/>
  <c r="U15" i="36" s="1"/>
  <c r="T214" i="11"/>
  <c r="T15" i="36" s="1"/>
  <c r="S214" i="11"/>
  <c r="S15" i="36" s="1"/>
  <c r="R214" i="11"/>
  <c r="R15" i="36" s="1"/>
  <c r="K214" i="11"/>
  <c r="K213" i="11"/>
  <c r="V356" i="16"/>
  <c r="V350" i="16"/>
  <c r="U350" i="16"/>
  <c r="T350" i="16"/>
  <c r="S350" i="16"/>
  <c r="R350" i="16"/>
  <c r="W15" i="36" l="1"/>
  <c r="W18" i="36"/>
  <c r="W16" i="36"/>
  <c r="W17" i="36"/>
  <c r="D951" i="18"/>
  <c r="D950" i="18"/>
  <c r="D949" i="18"/>
  <c r="D948" i="18"/>
  <c r="D947" i="18"/>
  <c r="D946" i="18"/>
  <c r="D945" i="18"/>
  <c r="D943" i="18"/>
  <c r="D942" i="18"/>
  <c r="D941" i="18"/>
  <c r="D940" i="18"/>
  <c r="D939" i="18"/>
  <c r="D938" i="18"/>
  <c r="D936" i="18"/>
  <c r="D935" i="18"/>
  <c r="D934" i="18"/>
  <c r="D914" i="18"/>
  <c r="D931" i="18"/>
  <c r="D930" i="18"/>
  <c r="D929" i="18"/>
  <c r="D928" i="18"/>
  <c r="D927" i="18"/>
  <c r="D926" i="18"/>
  <c r="D925" i="18"/>
  <c r="D923" i="18"/>
  <c r="D922" i="18"/>
  <c r="D921" i="18"/>
  <c r="D920" i="18"/>
  <c r="D919" i="18"/>
  <c r="D918" i="18"/>
  <c r="D916" i="18"/>
  <c r="D915" i="18"/>
  <c r="D894" i="18"/>
  <c r="D911" i="18"/>
  <c r="D910" i="18"/>
  <c r="D909" i="18"/>
  <c r="D908" i="18"/>
  <c r="D907" i="18"/>
  <c r="D906" i="18"/>
  <c r="D903" i="18"/>
  <c r="D902" i="18"/>
  <c r="D901" i="18"/>
  <c r="D900" i="18"/>
  <c r="D899" i="18"/>
  <c r="D898" i="18"/>
  <c r="D896" i="18"/>
  <c r="D895" i="18"/>
  <c r="D874" i="18"/>
  <c r="D891" i="18"/>
  <c r="D890" i="18"/>
  <c r="D889" i="18"/>
  <c r="D888" i="18"/>
  <c r="D887" i="18"/>
  <c r="D886" i="18"/>
  <c r="D885" i="18"/>
  <c r="D883" i="18"/>
  <c r="D882" i="18"/>
  <c r="D881" i="18"/>
  <c r="D880" i="18"/>
  <c r="D879" i="18"/>
  <c r="D878" i="18"/>
  <c r="D876" i="18"/>
  <c r="D875" i="18"/>
  <c r="D854" i="18"/>
  <c r="W19" i="36" l="1"/>
  <c r="D635" i="18"/>
  <c r="D634" i="18"/>
  <c r="D633" i="18"/>
  <c r="D632" i="18"/>
  <c r="D631" i="18"/>
  <c r="D630" i="18"/>
  <c r="D629" i="18"/>
  <c r="D627" i="18"/>
  <c r="D626" i="18"/>
  <c r="D625" i="18"/>
  <c r="D624" i="18"/>
  <c r="D623" i="18"/>
  <c r="D622" i="18"/>
  <c r="D620" i="18"/>
  <c r="D619" i="18"/>
  <c r="D618" i="18"/>
  <c r="D597" i="18"/>
  <c r="K636" i="18"/>
  <c r="K635" i="18"/>
  <c r="K634" i="18"/>
  <c r="K633" i="18"/>
  <c r="K632" i="18"/>
  <c r="K631" i="18"/>
  <c r="K630" i="18"/>
  <c r="K629" i="18"/>
  <c r="K627" i="18"/>
  <c r="K626" i="18"/>
  <c r="K625" i="18"/>
  <c r="K624" i="18"/>
  <c r="K623" i="18"/>
  <c r="K622" i="18"/>
  <c r="K620" i="18"/>
  <c r="K619" i="18"/>
  <c r="K618" i="18"/>
  <c r="D614" i="18"/>
  <c r="D613" i="18"/>
  <c r="D612" i="18"/>
  <c r="D611" i="18"/>
  <c r="D610" i="18"/>
  <c r="D609" i="18"/>
  <c r="D608" i="18"/>
  <c r="D606" i="18"/>
  <c r="D605" i="18"/>
  <c r="D604" i="18"/>
  <c r="D603" i="18"/>
  <c r="D602" i="18"/>
  <c r="D601" i="18"/>
  <c r="D599" i="18"/>
  <c r="D598" i="18"/>
  <c r="D576" i="18"/>
  <c r="K615" i="18"/>
  <c r="K614" i="18"/>
  <c r="K613" i="18"/>
  <c r="K612" i="18"/>
  <c r="K611" i="18"/>
  <c r="K610" i="18"/>
  <c r="K609" i="18"/>
  <c r="K608" i="18"/>
  <c r="K606" i="18"/>
  <c r="K605" i="18"/>
  <c r="K604" i="18"/>
  <c r="K603" i="18"/>
  <c r="K602" i="18"/>
  <c r="K601" i="18"/>
  <c r="K599" i="18"/>
  <c r="K598" i="18"/>
  <c r="K597" i="18"/>
  <c r="D593" i="18"/>
  <c r="D592" i="18"/>
  <c r="D591" i="18"/>
  <c r="D590" i="18"/>
  <c r="D589" i="18"/>
  <c r="D588" i="18"/>
  <c r="D587" i="18"/>
  <c r="D585" i="18"/>
  <c r="D584" i="18"/>
  <c r="D583" i="18"/>
  <c r="D582" i="18"/>
  <c r="D581" i="18"/>
  <c r="D580" i="18"/>
  <c r="D578" i="18"/>
  <c r="D577" i="18"/>
  <c r="D555" i="18"/>
  <c r="K594" i="18"/>
  <c r="K593" i="18"/>
  <c r="K592" i="18"/>
  <c r="K591" i="18"/>
  <c r="K590" i="18"/>
  <c r="K589" i="18"/>
  <c r="K588" i="18"/>
  <c r="K587" i="18"/>
  <c r="K585" i="18"/>
  <c r="K584" i="18"/>
  <c r="K583" i="18"/>
  <c r="K582" i="18"/>
  <c r="K581" i="18"/>
  <c r="K580" i="18"/>
  <c r="K578" i="18"/>
  <c r="K577" i="18"/>
  <c r="K576" i="18"/>
  <c r="D572" i="18"/>
  <c r="D571" i="18"/>
  <c r="D570" i="18"/>
  <c r="D569" i="18"/>
  <c r="D568" i="18"/>
  <c r="D567" i="18"/>
  <c r="D566" i="18"/>
  <c r="D564" i="18"/>
  <c r="D563" i="18"/>
  <c r="D562" i="18"/>
  <c r="D561" i="18"/>
  <c r="D560" i="18"/>
  <c r="D559" i="18"/>
  <c r="D557" i="18"/>
  <c r="D556" i="18"/>
  <c r="D535" i="18"/>
  <c r="K573" i="18"/>
  <c r="K572" i="18"/>
  <c r="K571" i="18"/>
  <c r="K570" i="18"/>
  <c r="K569" i="18"/>
  <c r="K568" i="18"/>
  <c r="K567" i="18"/>
  <c r="K566" i="18"/>
  <c r="K564" i="18"/>
  <c r="K563" i="18"/>
  <c r="K562" i="18"/>
  <c r="K561" i="18"/>
  <c r="K560" i="18"/>
  <c r="K559" i="18"/>
  <c r="K557" i="18"/>
  <c r="K556" i="18"/>
  <c r="K555" i="18"/>
  <c r="D871" i="18"/>
  <c r="D870" i="18"/>
  <c r="D869" i="18"/>
  <c r="D868" i="18"/>
  <c r="D867" i="18"/>
  <c r="D866" i="18"/>
  <c r="D865" i="18"/>
  <c r="D863" i="18"/>
  <c r="D862" i="18"/>
  <c r="D861" i="18"/>
  <c r="D860" i="18"/>
  <c r="D859" i="18"/>
  <c r="D858" i="18"/>
  <c r="D856" i="18"/>
  <c r="D855" i="18"/>
  <c r="D954" i="18"/>
  <c r="V149" i="11" l="1"/>
  <c r="U149" i="11"/>
  <c r="T149" i="11"/>
  <c r="S149" i="11"/>
  <c r="R149" i="11"/>
  <c r="S34" i="38" l="1"/>
  <c r="T34" i="38"/>
  <c r="U34" i="38"/>
  <c r="R34" i="38"/>
  <c r="V34" i="38"/>
  <c r="S236" i="33"/>
  <c r="Z379" i="33" s="1"/>
  <c r="S228" i="33"/>
  <c r="Z371" i="33" s="1"/>
  <c r="S220" i="33"/>
  <c r="S209" i="33"/>
  <c r="Z351" i="33" s="1"/>
  <c r="S201" i="33"/>
  <c r="Z343" i="33" s="1"/>
  <c r="S193" i="33"/>
  <c r="S182" i="33"/>
  <c r="Z323" i="33" s="1"/>
  <c r="S174" i="33"/>
  <c r="Z315" i="33" s="1"/>
  <c r="S166" i="33"/>
  <c r="Z307" i="33" s="1"/>
  <c r="S155" i="33"/>
  <c r="Z295" i="33" s="1"/>
  <c r="S147" i="33"/>
  <c r="Z287" i="33" s="1"/>
  <c r="S139" i="33"/>
  <c r="S239" i="33"/>
  <c r="Z382" i="33" s="1"/>
  <c r="S231" i="33"/>
  <c r="Z374" i="33" s="1"/>
  <c r="S223" i="33"/>
  <c r="Z366" i="33" s="1"/>
  <c r="S212" i="33"/>
  <c r="Z354" i="33" s="1"/>
  <c r="S204" i="33"/>
  <c r="Z346" i="33" s="1"/>
  <c r="S196" i="33"/>
  <c r="Z338" i="33" s="1"/>
  <c r="S185" i="33"/>
  <c r="Z326" i="33" s="1"/>
  <c r="S177" i="33"/>
  <c r="Z318" i="33" s="1"/>
  <c r="S169" i="33"/>
  <c r="Z310" i="33" s="1"/>
  <c r="S158" i="33"/>
  <c r="Z298" i="33" s="1"/>
  <c r="S150" i="33"/>
  <c r="Z290" i="33" s="1"/>
  <c r="S142" i="33"/>
  <c r="Z282" i="33" s="1"/>
  <c r="S192" i="33"/>
  <c r="Z334" i="33" s="1"/>
  <c r="S154" i="33"/>
  <c r="Z294" i="33" s="1"/>
  <c r="S146" i="33"/>
  <c r="Z286" i="33" s="1"/>
  <c r="S138" i="33"/>
  <c r="S144" i="33"/>
  <c r="Z284" i="33" s="1"/>
  <c r="S234" i="33"/>
  <c r="Z377" i="33" s="1"/>
  <c r="S226" i="33"/>
  <c r="Z369" i="33" s="1"/>
  <c r="S218" i="33"/>
  <c r="S207" i="33"/>
  <c r="Z349" i="33" s="1"/>
  <c r="S199" i="33"/>
  <c r="Z341" i="33" s="1"/>
  <c r="S191" i="33"/>
  <c r="S180" i="33"/>
  <c r="Z321" i="33" s="1"/>
  <c r="S172" i="33"/>
  <c r="Z313" i="33" s="1"/>
  <c r="S164" i="33"/>
  <c r="S153" i="33"/>
  <c r="Z293" i="33" s="1"/>
  <c r="S145" i="33"/>
  <c r="Z285" i="33" s="1"/>
  <c r="S137" i="33"/>
  <c r="S235" i="33"/>
  <c r="Z378" i="33" s="1"/>
  <c r="S227" i="33"/>
  <c r="Z370" i="33" s="1"/>
  <c r="S208" i="33"/>
  <c r="Z350" i="33" s="1"/>
  <c r="S200" i="33"/>
  <c r="Z342" i="33" s="1"/>
  <c r="S173" i="33"/>
  <c r="Z314" i="33" s="1"/>
  <c r="S165" i="33"/>
  <c r="S187" i="33"/>
  <c r="Z328" i="33" s="1"/>
  <c r="S237" i="33"/>
  <c r="Z380" i="33" s="1"/>
  <c r="S229" i="33"/>
  <c r="Z372" i="33" s="1"/>
  <c r="S221" i="33"/>
  <c r="Z364" i="33" s="1"/>
  <c r="S210" i="33"/>
  <c r="Z352" i="33" s="1"/>
  <c r="S202" i="33"/>
  <c r="Z344" i="33" s="1"/>
  <c r="S194" i="33"/>
  <c r="Z336" i="33" s="1"/>
  <c r="S183" i="33"/>
  <c r="Z324" i="33" s="1"/>
  <c r="S175" i="33"/>
  <c r="Z316" i="33" s="1"/>
  <c r="S167" i="33"/>
  <c r="Z308" i="33" s="1"/>
  <c r="S156" i="33"/>
  <c r="Z296" i="33" s="1"/>
  <c r="S148" i="33"/>
  <c r="Z288" i="33" s="1"/>
  <c r="S140" i="33"/>
  <c r="Z280" i="33" s="1"/>
  <c r="S219" i="33"/>
  <c r="Z362" i="33" s="1"/>
  <c r="S181" i="33"/>
  <c r="Z322" i="33" s="1"/>
  <c r="S240" i="33"/>
  <c r="Z383" i="33" s="1"/>
  <c r="S232" i="33"/>
  <c r="Z375" i="33" s="1"/>
  <c r="S224" i="33"/>
  <c r="Z367" i="33" s="1"/>
  <c r="S213" i="33"/>
  <c r="Z355" i="33" s="1"/>
  <c r="S205" i="33"/>
  <c r="Z347" i="33" s="1"/>
  <c r="S197" i="33"/>
  <c r="Z339" i="33" s="1"/>
  <c r="S186" i="33"/>
  <c r="Z327" i="33" s="1"/>
  <c r="S178" i="33"/>
  <c r="Z319" i="33" s="1"/>
  <c r="S170" i="33"/>
  <c r="Z311" i="33" s="1"/>
  <c r="S159" i="33"/>
  <c r="Z299" i="33" s="1"/>
  <c r="S151" i="33"/>
  <c r="Z291" i="33" s="1"/>
  <c r="S143" i="33"/>
  <c r="Z283" i="33" s="1"/>
  <c r="S238" i="33"/>
  <c r="Z381" i="33" s="1"/>
  <c r="S230" i="33"/>
  <c r="Z373" i="33" s="1"/>
  <c r="S222" i="33"/>
  <c r="Z365" i="33" s="1"/>
  <c r="S211" i="33"/>
  <c r="Z353" i="33" s="1"/>
  <c r="S203" i="33"/>
  <c r="Z345" i="33" s="1"/>
  <c r="S195" i="33"/>
  <c r="Z337" i="33" s="1"/>
  <c r="S184" i="33"/>
  <c r="Z325" i="33" s="1"/>
  <c r="S176" i="33"/>
  <c r="Z317" i="33" s="1"/>
  <c r="S168" i="33"/>
  <c r="Z309" i="33" s="1"/>
  <c r="S157" i="33"/>
  <c r="Z297" i="33" s="1"/>
  <c r="S149" i="33"/>
  <c r="Z289" i="33" s="1"/>
  <c r="S141" i="33"/>
  <c r="Z281" i="33" s="1"/>
  <c r="S241" i="33"/>
  <c r="Z384" i="33" s="1"/>
  <c r="S233" i="33"/>
  <c r="Z376" i="33" s="1"/>
  <c r="S225" i="33"/>
  <c r="Z368" i="33" s="1"/>
  <c r="S214" i="33"/>
  <c r="Z356" i="33" s="1"/>
  <c r="S206" i="33"/>
  <c r="Z348" i="33" s="1"/>
  <c r="S198" i="33"/>
  <c r="Z340" i="33" s="1"/>
  <c r="S179" i="33"/>
  <c r="Z320" i="33" s="1"/>
  <c r="S171" i="33"/>
  <c r="Z312" i="33" s="1"/>
  <c r="S160" i="33"/>
  <c r="Z300" i="33" s="1"/>
  <c r="S152" i="33"/>
  <c r="Z292" i="33" s="1"/>
  <c r="T239" i="33"/>
  <c r="AA382" i="33" s="1"/>
  <c r="T231" i="33"/>
  <c r="AA374" i="33" s="1"/>
  <c r="T223" i="33"/>
  <c r="AA366" i="33" s="1"/>
  <c r="T212" i="33"/>
  <c r="AA354" i="33" s="1"/>
  <c r="T204" i="33"/>
  <c r="AA346" i="33" s="1"/>
  <c r="T196" i="33"/>
  <c r="AA338" i="33" s="1"/>
  <c r="T185" i="33"/>
  <c r="AA326" i="33" s="1"/>
  <c r="T177" i="33"/>
  <c r="AA318" i="33" s="1"/>
  <c r="T169" i="33"/>
  <c r="AA310" i="33" s="1"/>
  <c r="T158" i="33"/>
  <c r="AA298" i="33" s="1"/>
  <c r="T150" i="33"/>
  <c r="AA290" i="33" s="1"/>
  <c r="T142" i="33"/>
  <c r="AA282" i="33" s="1"/>
  <c r="T238" i="33"/>
  <c r="AA381" i="33" s="1"/>
  <c r="T230" i="33"/>
  <c r="AA373" i="33" s="1"/>
  <c r="T195" i="33"/>
  <c r="AA337" i="33" s="1"/>
  <c r="T234" i="33"/>
  <c r="AA377" i="33" s="1"/>
  <c r="T226" i="33"/>
  <c r="AA369" i="33" s="1"/>
  <c r="T218" i="33"/>
  <c r="T207" i="33"/>
  <c r="AA349" i="33" s="1"/>
  <c r="T199" i="33"/>
  <c r="AA341" i="33" s="1"/>
  <c r="T191" i="33"/>
  <c r="T180" i="33"/>
  <c r="AA321" i="33" s="1"/>
  <c r="T172" i="33"/>
  <c r="AA313" i="33" s="1"/>
  <c r="T164" i="33"/>
  <c r="T153" i="33"/>
  <c r="AA293" i="33" s="1"/>
  <c r="T145" i="33"/>
  <c r="AA285" i="33" s="1"/>
  <c r="T137" i="33"/>
  <c r="T211" i="33"/>
  <c r="AA353" i="33" s="1"/>
  <c r="T176" i="33"/>
  <c r="AA317" i="33" s="1"/>
  <c r="T168" i="33"/>
  <c r="AA309" i="33" s="1"/>
  <c r="T155" i="33"/>
  <c r="AA295" i="33" s="1"/>
  <c r="T237" i="33"/>
  <c r="AA380" i="33" s="1"/>
  <c r="T229" i="33"/>
  <c r="AA372" i="33" s="1"/>
  <c r="T221" i="33"/>
  <c r="AA364" i="33" s="1"/>
  <c r="T210" i="33"/>
  <c r="AA352" i="33" s="1"/>
  <c r="T202" i="33"/>
  <c r="AA344" i="33" s="1"/>
  <c r="T194" i="33"/>
  <c r="AA336" i="33" s="1"/>
  <c r="T183" i="33"/>
  <c r="AA324" i="33" s="1"/>
  <c r="T175" i="33"/>
  <c r="AA316" i="33" s="1"/>
  <c r="T167" i="33"/>
  <c r="AA308" i="33" s="1"/>
  <c r="T156" i="33"/>
  <c r="AA296" i="33" s="1"/>
  <c r="T148" i="33"/>
  <c r="AA288" i="33" s="1"/>
  <c r="T140" i="33"/>
  <c r="AA280" i="33" s="1"/>
  <c r="T222" i="33"/>
  <c r="AA365" i="33" s="1"/>
  <c r="T184" i="33"/>
  <c r="AA325" i="33" s="1"/>
  <c r="T141" i="33"/>
  <c r="AA281" i="33" s="1"/>
  <c r="T147" i="33"/>
  <c r="AA287" i="33" s="1"/>
  <c r="T240" i="33"/>
  <c r="AA383" i="33" s="1"/>
  <c r="T232" i="33"/>
  <c r="AA375" i="33" s="1"/>
  <c r="T224" i="33"/>
  <c r="AA367" i="33" s="1"/>
  <c r="T213" i="33"/>
  <c r="AA355" i="33" s="1"/>
  <c r="T205" i="33"/>
  <c r="AA347" i="33" s="1"/>
  <c r="T197" i="33"/>
  <c r="AA339" i="33" s="1"/>
  <c r="T186" i="33"/>
  <c r="AA327" i="33" s="1"/>
  <c r="T178" i="33"/>
  <c r="AA319" i="33" s="1"/>
  <c r="T170" i="33"/>
  <c r="AA311" i="33" s="1"/>
  <c r="T159" i="33"/>
  <c r="AA299" i="33" s="1"/>
  <c r="T151" i="33"/>
  <c r="AA291" i="33" s="1"/>
  <c r="T143" i="33"/>
  <c r="AA283" i="33" s="1"/>
  <c r="T203" i="33"/>
  <c r="AA345" i="33" s="1"/>
  <c r="T157" i="33"/>
  <c r="AA297" i="33" s="1"/>
  <c r="T149" i="33"/>
  <c r="AA289" i="33" s="1"/>
  <c r="T174" i="33"/>
  <c r="AA315" i="33" s="1"/>
  <c r="T166" i="33"/>
  <c r="AA307" i="33" s="1"/>
  <c r="T235" i="33"/>
  <c r="AA378" i="33" s="1"/>
  <c r="T227" i="33"/>
  <c r="AA370" i="33" s="1"/>
  <c r="T219" i="33"/>
  <c r="AA362" i="33" s="1"/>
  <c r="T208" i="33"/>
  <c r="AA350" i="33" s="1"/>
  <c r="T200" i="33"/>
  <c r="AA342" i="33" s="1"/>
  <c r="T192" i="33"/>
  <c r="AA334" i="33" s="1"/>
  <c r="T181" i="33"/>
  <c r="AA322" i="33" s="1"/>
  <c r="T173" i="33"/>
  <c r="AA314" i="33" s="1"/>
  <c r="T165" i="33"/>
  <c r="T154" i="33"/>
  <c r="AA294" i="33" s="1"/>
  <c r="T146" i="33"/>
  <c r="AA286" i="33" s="1"/>
  <c r="T138" i="33"/>
  <c r="T241" i="33"/>
  <c r="AA384" i="33" s="1"/>
  <c r="T233" i="33"/>
  <c r="AA376" i="33" s="1"/>
  <c r="T225" i="33"/>
  <c r="AA368" i="33" s="1"/>
  <c r="T214" i="33"/>
  <c r="AA356" i="33" s="1"/>
  <c r="T206" i="33"/>
  <c r="AA348" i="33" s="1"/>
  <c r="T198" i="33"/>
  <c r="AA340" i="33" s="1"/>
  <c r="T187" i="33"/>
  <c r="AA328" i="33" s="1"/>
  <c r="T179" i="33"/>
  <c r="AA320" i="33" s="1"/>
  <c r="T171" i="33"/>
  <c r="AA312" i="33" s="1"/>
  <c r="T160" i="33"/>
  <c r="AA300" i="33" s="1"/>
  <c r="T152" i="33"/>
  <c r="AA292" i="33" s="1"/>
  <c r="T144" i="33"/>
  <c r="AA284" i="33" s="1"/>
  <c r="T236" i="33"/>
  <c r="AA379" i="33" s="1"/>
  <c r="T228" i="33"/>
  <c r="AA371" i="33" s="1"/>
  <c r="T209" i="33"/>
  <c r="AA351" i="33" s="1"/>
  <c r="T182" i="33"/>
  <c r="AA323" i="33" s="1"/>
  <c r="T220" i="33"/>
  <c r="T201" i="33"/>
  <c r="AA343" i="33" s="1"/>
  <c r="T193" i="33"/>
  <c r="T139" i="33"/>
  <c r="U234" i="33"/>
  <c r="AB377" i="33" s="1"/>
  <c r="U226" i="33"/>
  <c r="AB369" i="33" s="1"/>
  <c r="U218" i="33"/>
  <c r="U207" i="33"/>
  <c r="AB349" i="33" s="1"/>
  <c r="U199" i="33"/>
  <c r="AB341" i="33" s="1"/>
  <c r="U191" i="33"/>
  <c r="U180" i="33"/>
  <c r="AB321" i="33" s="1"/>
  <c r="U172" i="33"/>
  <c r="AB313" i="33" s="1"/>
  <c r="U164" i="33"/>
  <c r="U153" i="33"/>
  <c r="AB293" i="33" s="1"/>
  <c r="U145" i="33"/>
  <c r="AB285" i="33" s="1"/>
  <c r="U137" i="33"/>
  <c r="U206" i="33"/>
  <c r="AB348" i="33" s="1"/>
  <c r="U179" i="33"/>
  <c r="AB320" i="33" s="1"/>
  <c r="U171" i="33"/>
  <c r="AB312" i="33" s="1"/>
  <c r="U237" i="33"/>
  <c r="AB380" i="33" s="1"/>
  <c r="U229" i="33"/>
  <c r="AB372" i="33" s="1"/>
  <c r="U221" i="33"/>
  <c r="AB364" i="33" s="1"/>
  <c r="U210" i="33"/>
  <c r="AB352" i="33" s="1"/>
  <c r="U202" i="33"/>
  <c r="AB344" i="33" s="1"/>
  <c r="U194" i="33"/>
  <c r="AB336" i="33" s="1"/>
  <c r="U183" i="33"/>
  <c r="AB324" i="33" s="1"/>
  <c r="U175" i="33"/>
  <c r="AB316" i="33" s="1"/>
  <c r="U167" i="33"/>
  <c r="AB308" i="33" s="1"/>
  <c r="U156" i="33"/>
  <c r="AB296" i="33" s="1"/>
  <c r="U148" i="33"/>
  <c r="AB288" i="33" s="1"/>
  <c r="U140" i="33"/>
  <c r="AB280" i="33" s="1"/>
  <c r="U241" i="33"/>
  <c r="AB384" i="33" s="1"/>
  <c r="U198" i="33"/>
  <c r="AB340" i="33" s="1"/>
  <c r="U160" i="33"/>
  <c r="AB300" i="33" s="1"/>
  <c r="U240" i="33"/>
  <c r="AB383" i="33" s="1"/>
  <c r="U232" i="33"/>
  <c r="AB375" i="33" s="1"/>
  <c r="U224" i="33"/>
  <c r="AB367" i="33" s="1"/>
  <c r="U213" i="33"/>
  <c r="AB355" i="33" s="1"/>
  <c r="U205" i="33"/>
  <c r="AB347" i="33" s="1"/>
  <c r="U197" i="33"/>
  <c r="AB339" i="33" s="1"/>
  <c r="U186" i="33"/>
  <c r="AB327" i="33" s="1"/>
  <c r="U178" i="33"/>
  <c r="AB319" i="33" s="1"/>
  <c r="U170" i="33"/>
  <c r="AB311" i="33" s="1"/>
  <c r="U159" i="33"/>
  <c r="AB299" i="33" s="1"/>
  <c r="U151" i="33"/>
  <c r="AB291" i="33" s="1"/>
  <c r="U143" i="33"/>
  <c r="AB283" i="33" s="1"/>
  <c r="U233" i="33"/>
  <c r="AB376" i="33" s="1"/>
  <c r="U214" i="33"/>
  <c r="AB356" i="33" s="1"/>
  <c r="U235" i="33"/>
  <c r="AB378" i="33" s="1"/>
  <c r="U227" i="33"/>
  <c r="AB370" i="33" s="1"/>
  <c r="U219" i="33"/>
  <c r="AB362" i="33" s="1"/>
  <c r="U208" i="33"/>
  <c r="AB350" i="33" s="1"/>
  <c r="U200" i="33"/>
  <c r="AB342" i="33" s="1"/>
  <c r="U192" i="33"/>
  <c r="AB334" i="33" s="1"/>
  <c r="U181" i="33"/>
  <c r="AB322" i="33" s="1"/>
  <c r="U173" i="33"/>
  <c r="AB314" i="33" s="1"/>
  <c r="U165" i="33"/>
  <c r="U154" i="33"/>
  <c r="AB294" i="33" s="1"/>
  <c r="U146" i="33"/>
  <c r="AB286" i="33" s="1"/>
  <c r="U138" i="33"/>
  <c r="U225" i="33"/>
  <c r="AB368" i="33" s="1"/>
  <c r="U187" i="33"/>
  <c r="AB328" i="33" s="1"/>
  <c r="U185" i="33"/>
  <c r="AB326" i="33" s="1"/>
  <c r="U238" i="33"/>
  <c r="AB381" i="33" s="1"/>
  <c r="U230" i="33"/>
  <c r="AB373" i="33" s="1"/>
  <c r="U222" i="33"/>
  <c r="AB365" i="33" s="1"/>
  <c r="U211" i="33"/>
  <c r="AB353" i="33" s="1"/>
  <c r="U203" i="33"/>
  <c r="AB345" i="33" s="1"/>
  <c r="U195" i="33"/>
  <c r="AB337" i="33" s="1"/>
  <c r="U184" i="33"/>
  <c r="AB325" i="33" s="1"/>
  <c r="U176" i="33"/>
  <c r="AB317" i="33" s="1"/>
  <c r="U168" i="33"/>
  <c r="AB309" i="33" s="1"/>
  <c r="U157" i="33"/>
  <c r="AB297" i="33" s="1"/>
  <c r="U149" i="33"/>
  <c r="AB289" i="33" s="1"/>
  <c r="U141" i="33"/>
  <c r="AB281" i="33" s="1"/>
  <c r="U152" i="33"/>
  <c r="AB292" i="33" s="1"/>
  <c r="U144" i="33"/>
  <c r="AB284" i="33" s="1"/>
  <c r="U150" i="33"/>
  <c r="AB290" i="33" s="1"/>
  <c r="U236" i="33"/>
  <c r="AB379" i="33" s="1"/>
  <c r="U228" i="33"/>
  <c r="AB371" i="33" s="1"/>
  <c r="U220" i="33"/>
  <c r="U209" i="33"/>
  <c r="AB351" i="33" s="1"/>
  <c r="U201" i="33"/>
  <c r="AB343" i="33" s="1"/>
  <c r="U193" i="33"/>
  <c r="U182" i="33"/>
  <c r="AB323" i="33" s="1"/>
  <c r="U174" i="33"/>
  <c r="AB315" i="33" s="1"/>
  <c r="U166" i="33"/>
  <c r="AB307" i="33" s="1"/>
  <c r="U155" i="33"/>
  <c r="AB295" i="33" s="1"/>
  <c r="U147" i="33"/>
  <c r="AB287" i="33" s="1"/>
  <c r="U139" i="33"/>
  <c r="U239" i="33"/>
  <c r="AB382" i="33" s="1"/>
  <c r="U223" i="33"/>
  <c r="AB366" i="33" s="1"/>
  <c r="U212" i="33"/>
  <c r="AB354" i="33" s="1"/>
  <c r="U196" i="33"/>
  <c r="AB338" i="33" s="1"/>
  <c r="U177" i="33"/>
  <c r="AB318" i="33" s="1"/>
  <c r="U169" i="33"/>
  <c r="AB310" i="33" s="1"/>
  <c r="U158" i="33"/>
  <c r="AB298" i="33" s="1"/>
  <c r="U231" i="33"/>
  <c r="AB374" i="33" s="1"/>
  <c r="U204" i="33"/>
  <c r="AB346" i="33" s="1"/>
  <c r="U142" i="33"/>
  <c r="AB282" i="33" s="1"/>
  <c r="R241" i="33"/>
  <c r="Y384" i="33" s="1"/>
  <c r="R233" i="33"/>
  <c r="Y376" i="33" s="1"/>
  <c r="R225" i="33"/>
  <c r="Y368" i="33" s="1"/>
  <c r="R214" i="33"/>
  <c r="Y356" i="33" s="1"/>
  <c r="R206" i="33"/>
  <c r="Y348" i="33" s="1"/>
  <c r="R198" i="33"/>
  <c r="Y340" i="33" s="1"/>
  <c r="R187" i="33"/>
  <c r="Y328" i="33" s="1"/>
  <c r="R179" i="33"/>
  <c r="Y320" i="33" s="1"/>
  <c r="R171" i="33"/>
  <c r="Y312" i="33" s="1"/>
  <c r="R160" i="33"/>
  <c r="Y300" i="33" s="1"/>
  <c r="R152" i="33"/>
  <c r="Y292" i="33" s="1"/>
  <c r="R144" i="33"/>
  <c r="Y284" i="33" s="1"/>
  <c r="R224" i="33"/>
  <c r="Y367" i="33" s="1"/>
  <c r="R213" i="33"/>
  <c r="Y355" i="33" s="1"/>
  <c r="R186" i="33"/>
  <c r="Y327" i="33" s="1"/>
  <c r="R159" i="33"/>
  <c r="Y299" i="33" s="1"/>
  <c r="R151" i="33"/>
  <c r="Y291" i="33" s="1"/>
  <c r="R143" i="33"/>
  <c r="Y283" i="33" s="1"/>
  <c r="R195" i="33"/>
  <c r="Y337" i="33" s="1"/>
  <c r="R176" i="33"/>
  <c r="Y317" i="33" s="1"/>
  <c r="R149" i="33"/>
  <c r="Y289" i="33" s="1"/>
  <c r="R236" i="33"/>
  <c r="Y379" i="33" s="1"/>
  <c r="R228" i="33"/>
  <c r="Y371" i="33" s="1"/>
  <c r="R220" i="33"/>
  <c r="Y363" i="33" s="1"/>
  <c r="R209" i="33"/>
  <c r="Y351" i="33" s="1"/>
  <c r="R201" i="33"/>
  <c r="Y343" i="33" s="1"/>
  <c r="R193" i="33"/>
  <c r="R182" i="33"/>
  <c r="Y323" i="33" s="1"/>
  <c r="R174" i="33"/>
  <c r="Y315" i="33" s="1"/>
  <c r="R166" i="33"/>
  <c r="Y307" i="33" s="1"/>
  <c r="R155" i="33"/>
  <c r="Y295" i="33" s="1"/>
  <c r="R147" i="33"/>
  <c r="Y287" i="33" s="1"/>
  <c r="R139" i="33"/>
  <c r="R205" i="33"/>
  <c r="Y347" i="33" s="1"/>
  <c r="R168" i="33"/>
  <c r="Y309" i="33" s="1"/>
  <c r="R239" i="33"/>
  <c r="Y382" i="33" s="1"/>
  <c r="R231" i="33"/>
  <c r="Y374" i="33" s="1"/>
  <c r="R223" i="33"/>
  <c r="Y366" i="33" s="1"/>
  <c r="R212" i="33"/>
  <c r="Y354" i="33" s="1"/>
  <c r="R204" i="33"/>
  <c r="Y346" i="33" s="1"/>
  <c r="R196" i="33"/>
  <c r="Y338" i="33" s="1"/>
  <c r="R185" i="33"/>
  <c r="Y326" i="33" s="1"/>
  <c r="R177" i="33"/>
  <c r="Y318" i="33" s="1"/>
  <c r="R169" i="33"/>
  <c r="Y310" i="33" s="1"/>
  <c r="R158" i="33"/>
  <c r="Y298" i="33" s="1"/>
  <c r="R150" i="33"/>
  <c r="Y290" i="33" s="1"/>
  <c r="R142" i="33"/>
  <c r="Y282" i="33" s="1"/>
  <c r="R178" i="33"/>
  <c r="Y319" i="33" s="1"/>
  <c r="R157" i="33"/>
  <c r="Y297" i="33" s="1"/>
  <c r="R234" i="33"/>
  <c r="Y377" i="33" s="1"/>
  <c r="R226" i="33"/>
  <c r="Y369" i="33" s="1"/>
  <c r="R218" i="33"/>
  <c r="R207" i="33"/>
  <c r="Y349" i="33" s="1"/>
  <c r="R199" i="33"/>
  <c r="Y341" i="33" s="1"/>
  <c r="R191" i="33"/>
  <c r="R180" i="33"/>
  <c r="Y321" i="33" s="1"/>
  <c r="R172" i="33"/>
  <c r="Y313" i="33" s="1"/>
  <c r="R164" i="33"/>
  <c r="R153" i="33"/>
  <c r="Y293" i="33" s="1"/>
  <c r="R145" i="33"/>
  <c r="Y285" i="33" s="1"/>
  <c r="R137" i="33"/>
  <c r="R240" i="33"/>
  <c r="Y383" i="33" s="1"/>
  <c r="R232" i="33"/>
  <c r="Y375" i="33" s="1"/>
  <c r="R197" i="33"/>
  <c r="Y339" i="33" s="1"/>
  <c r="R237" i="33"/>
  <c r="Y380" i="33" s="1"/>
  <c r="R229" i="33"/>
  <c r="Y372" i="33" s="1"/>
  <c r="R221" i="33"/>
  <c r="Y364" i="33" s="1"/>
  <c r="R210" i="33"/>
  <c r="Y352" i="33" s="1"/>
  <c r="R202" i="33"/>
  <c r="Y344" i="33" s="1"/>
  <c r="R194" i="33"/>
  <c r="Y336" i="33" s="1"/>
  <c r="R183" i="33"/>
  <c r="Y324" i="33" s="1"/>
  <c r="R175" i="33"/>
  <c r="Y316" i="33" s="1"/>
  <c r="R167" i="33"/>
  <c r="Y308" i="33" s="1"/>
  <c r="R156" i="33"/>
  <c r="Y296" i="33" s="1"/>
  <c r="R148" i="33"/>
  <c r="Y288" i="33" s="1"/>
  <c r="R140" i="33"/>
  <c r="Y280" i="33" s="1"/>
  <c r="R170" i="33"/>
  <c r="Y311" i="33" s="1"/>
  <c r="R235" i="33"/>
  <c r="Y378" i="33" s="1"/>
  <c r="R227" i="33"/>
  <c r="Y370" i="33" s="1"/>
  <c r="R219" i="33"/>
  <c r="R208" i="33"/>
  <c r="Y350" i="33" s="1"/>
  <c r="R200" i="33"/>
  <c r="Y342" i="33" s="1"/>
  <c r="R192" i="33"/>
  <c r="Y334" i="33" s="1"/>
  <c r="R181" i="33"/>
  <c r="Y322" i="33" s="1"/>
  <c r="R173" i="33"/>
  <c r="Y314" i="33" s="1"/>
  <c r="R165" i="33"/>
  <c r="R154" i="33"/>
  <c r="Y294" i="33" s="1"/>
  <c r="R146" i="33"/>
  <c r="Y286" i="33" s="1"/>
  <c r="R138" i="33"/>
  <c r="R238" i="33"/>
  <c r="Y381" i="33" s="1"/>
  <c r="R230" i="33"/>
  <c r="Y373" i="33" s="1"/>
  <c r="R222" i="33"/>
  <c r="Y365" i="33" s="1"/>
  <c r="R203" i="33"/>
  <c r="Y345" i="33" s="1"/>
  <c r="R211" i="33"/>
  <c r="Y353" i="33" s="1"/>
  <c r="R184" i="33"/>
  <c r="Y325" i="33" s="1"/>
  <c r="R141" i="33"/>
  <c r="Y281" i="33" s="1"/>
  <c r="V237" i="33"/>
  <c r="AC380" i="33" s="1"/>
  <c r="V229" i="33"/>
  <c r="AC372" i="33" s="1"/>
  <c r="V221" i="33"/>
  <c r="AC364" i="33" s="1"/>
  <c r="V210" i="33"/>
  <c r="AC352" i="33" s="1"/>
  <c r="V202" i="33"/>
  <c r="AC344" i="33" s="1"/>
  <c r="V194" i="33"/>
  <c r="AC336" i="33" s="1"/>
  <c r="V183" i="33"/>
  <c r="AC324" i="33" s="1"/>
  <c r="V175" i="33"/>
  <c r="AC316" i="33" s="1"/>
  <c r="V167" i="33"/>
  <c r="AC308" i="33" s="1"/>
  <c r="V156" i="33"/>
  <c r="AC296" i="33" s="1"/>
  <c r="V148" i="33"/>
  <c r="AC288" i="33" s="1"/>
  <c r="V140" i="33"/>
  <c r="AC280" i="33" s="1"/>
  <c r="V201" i="33"/>
  <c r="AC343" i="33" s="1"/>
  <c r="V164" i="33"/>
  <c r="V240" i="33"/>
  <c r="AC383" i="33" s="1"/>
  <c r="V232" i="33"/>
  <c r="AC375" i="33" s="1"/>
  <c r="V224" i="33"/>
  <c r="AC367" i="33" s="1"/>
  <c r="V213" i="33"/>
  <c r="AC355" i="33" s="1"/>
  <c r="V205" i="33"/>
  <c r="AC347" i="33" s="1"/>
  <c r="V197" i="33"/>
  <c r="AC339" i="33" s="1"/>
  <c r="V186" i="33"/>
  <c r="AC327" i="33" s="1"/>
  <c r="V178" i="33"/>
  <c r="AC319" i="33" s="1"/>
  <c r="V170" i="33"/>
  <c r="AC311" i="33" s="1"/>
  <c r="V159" i="33"/>
  <c r="AC299" i="33" s="1"/>
  <c r="V151" i="33"/>
  <c r="AC291" i="33" s="1"/>
  <c r="V143" i="33"/>
  <c r="AC283" i="33" s="1"/>
  <c r="V228" i="33"/>
  <c r="AC371" i="33" s="1"/>
  <c r="V220" i="33"/>
  <c r="AC363" i="33" s="1"/>
  <c r="V182" i="33"/>
  <c r="AC323" i="33" s="1"/>
  <c r="V180" i="33"/>
  <c r="AC321" i="33" s="1"/>
  <c r="V235" i="33"/>
  <c r="AC378" i="33" s="1"/>
  <c r="V227" i="33"/>
  <c r="AC370" i="33" s="1"/>
  <c r="V219" i="33"/>
  <c r="V208" i="33"/>
  <c r="AC350" i="33" s="1"/>
  <c r="V200" i="33"/>
  <c r="AC342" i="33" s="1"/>
  <c r="V192" i="33"/>
  <c r="AC334" i="33" s="1"/>
  <c r="V181" i="33"/>
  <c r="AC322" i="33" s="1"/>
  <c r="V173" i="33"/>
  <c r="AC314" i="33" s="1"/>
  <c r="V165" i="33"/>
  <c r="AC306" i="33" s="1"/>
  <c r="V154" i="33"/>
  <c r="AC294" i="33" s="1"/>
  <c r="V146" i="33"/>
  <c r="AC286" i="33" s="1"/>
  <c r="V138" i="33"/>
  <c r="V236" i="33"/>
  <c r="AC379" i="33" s="1"/>
  <c r="V193" i="33"/>
  <c r="V155" i="33"/>
  <c r="AC295" i="33" s="1"/>
  <c r="V147" i="33"/>
  <c r="AC287" i="33" s="1"/>
  <c r="V172" i="33"/>
  <c r="AC313" i="33" s="1"/>
  <c r="V238" i="33"/>
  <c r="AC381" i="33" s="1"/>
  <c r="V230" i="33"/>
  <c r="AC373" i="33" s="1"/>
  <c r="V222" i="33"/>
  <c r="AC365" i="33" s="1"/>
  <c r="V211" i="33"/>
  <c r="AC353" i="33" s="1"/>
  <c r="V203" i="33"/>
  <c r="AC345" i="33" s="1"/>
  <c r="V195" i="33"/>
  <c r="AC337" i="33" s="1"/>
  <c r="V184" i="33"/>
  <c r="AC325" i="33" s="1"/>
  <c r="V176" i="33"/>
  <c r="AC317" i="33" s="1"/>
  <c r="V168" i="33"/>
  <c r="AC309" i="33" s="1"/>
  <c r="V157" i="33"/>
  <c r="AC297" i="33" s="1"/>
  <c r="V149" i="33"/>
  <c r="AC289" i="33" s="1"/>
  <c r="V141" i="33"/>
  <c r="AC281" i="33" s="1"/>
  <c r="V209" i="33"/>
  <c r="AC351" i="33" s="1"/>
  <c r="V174" i="33"/>
  <c r="AC315" i="33" s="1"/>
  <c r="V166" i="33"/>
  <c r="V139" i="33"/>
  <c r="V153" i="33"/>
  <c r="AC293" i="33" s="1"/>
  <c r="V241" i="33"/>
  <c r="AC384" i="33" s="1"/>
  <c r="V233" i="33"/>
  <c r="AC376" i="33" s="1"/>
  <c r="V225" i="33"/>
  <c r="AC368" i="33" s="1"/>
  <c r="V214" i="33"/>
  <c r="AC356" i="33" s="1"/>
  <c r="V206" i="33"/>
  <c r="AC348" i="33" s="1"/>
  <c r="V198" i="33"/>
  <c r="AC340" i="33" s="1"/>
  <c r="V187" i="33"/>
  <c r="AC328" i="33" s="1"/>
  <c r="V179" i="33"/>
  <c r="AC320" i="33" s="1"/>
  <c r="V171" i="33"/>
  <c r="AC312" i="33" s="1"/>
  <c r="V160" i="33"/>
  <c r="AC300" i="33" s="1"/>
  <c r="V152" i="33"/>
  <c r="AC292" i="33" s="1"/>
  <c r="V144" i="33"/>
  <c r="AC284" i="33" s="1"/>
  <c r="V239" i="33"/>
  <c r="AC382" i="33" s="1"/>
  <c r="V231" i="33"/>
  <c r="AC374" i="33" s="1"/>
  <c r="V223" i="33"/>
  <c r="AC366" i="33" s="1"/>
  <c r="V212" i="33"/>
  <c r="AC354" i="33" s="1"/>
  <c r="V204" i="33"/>
  <c r="AC346" i="33" s="1"/>
  <c r="V196" i="33"/>
  <c r="AC338" i="33" s="1"/>
  <c r="V185" i="33"/>
  <c r="AC326" i="33" s="1"/>
  <c r="V177" i="33"/>
  <c r="AC318" i="33" s="1"/>
  <c r="V169" i="33"/>
  <c r="AC310" i="33" s="1"/>
  <c r="V158" i="33"/>
  <c r="AC298" i="33" s="1"/>
  <c r="V150" i="33"/>
  <c r="AC290" i="33" s="1"/>
  <c r="V142" i="33"/>
  <c r="AC282" i="33" s="1"/>
  <c r="V234" i="33"/>
  <c r="AC377" i="33" s="1"/>
  <c r="V226" i="33"/>
  <c r="AC369" i="33" s="1"/>
  <c r="V218" i="33"/>
  <c r="V199" i="33"/>
  <c r="AC341" i="33" s="1"/>
  <c r="V191" i="33"/>
  <c r="V207" i="33"/>
  <c r="AC349" i="33" s="1"/>
  <c r="V137" i="33"/>
  <c r="V145" i="33"/>
  <c r="AC285" i="33" s="1"/>
  <c r="W298" i="11"/>
  <c r="D173" i="11"/>
  <c r="M79" i="16"/>
  <c r="V152" i="38" l="1"/>
  <c r="V153" i="38"/>
  <c r="V151" i="38"/>
  <c r="V150" i="38"/>
  <c r="P156" i="38" s="1"/>
  <c r="P162" i="38" s="1"/>
  <c r="R150" i="38"/>
  <c r="O156" i="38" s="1"/>
  <c r="O162" i="38" s="1"/>
  <c r="R152" i="38"/>
  <c r="R153" i="38"/>
  <c r="R159" i="38" s="1"/>
  <c r="R151" i="38"/>
  <c r="U153" i="38"/>
  <c r="U151" i="38"/>
  <c r="T157" i="38" s="1"/>
  <c r="U150" i="38"/>
  <c r="U152" i="38"/>
  <c r="T158" i="38" s="1"/>
  <c r="T152" i="38"/>
  <c r="T150" i="38"/>
  <c r="T156" i="38" s="1"/>
  <c r="T151" i="38"/>
  <c r="T153" i="38"/>
  <c r="T159" i="38" s="1"/>
  <c r="S150" i="38"/>
  <c r="S156" i="38" s="1"/>
  <c r="S153" i="38"/>
  <c r="S159" i="38" s="1"/>
  <c r="S152" i="38"/>
  <c r="S151" i="38"/>
  <c r="S157" i="38" s="1"/>
  <c r="V37" i="38"/>
  <c r="U37" i="38"/>
  <c r="T37" i="38"/>
  <c r="S37" i="38"/>
  <c r="R37" i="38"/>
  <c r="W34" i="38"/>
  <c r="W37" i="38" s="1"/>
  <c r="M149" i="11"/>
  <c r="S59" i="38"/>
  <c r="S58" i="38"/>
  <c r="S107" i="38" s="1"/>
  <c r="S57" i="38"/>
  <c r="S106" i="38" s="1"/>
  <c r="S56" i="38"/>
  <c r="S105" i="38" s="1"/>
  <c r="V59" i="38"/>
  <c r="V58" i="38"/>
  <c r="V107" i="38" s="1"/>
  <c r="V57" i="38"/>
  <c r="V106" i="38" s="1"/>
  <c r="V56" i="38"/>
  <c r="R58" i="38"/>
  <c r="R56" i="38"/>
  <c r="R57" i="38"/>
  <c r="R59" i="38"/>
  <c r="U59" i="38"/>
  <c r="U108" i="38" s="1"/>
  <c r="U57" i="38"/>
  <c r="U58" i="38"/>
  <c r="U56" i="38"/>
  <c r="T56" i="38"/>
  <c r="T57" i="38"/>
  <c r="T59" i="38"/>
  <c r="T58" i="38"/>
  <c r="L149" i="11"/>
  <c r="W149" i="11"/>
  <c r="T254" i="33" a="1"/>
  <c r="T254" i="33" s="1"/>
  <c r="T253" i="33" a="1"/>
  <c r="T253" i="33" s="1"/>
  <c r="T252" i="33" a="1"/>
  <c r="T252" i="33" s="1"/>
  <c r="AA397" i="33" s="1"/>
  <c r="S262" i="33" a="1"/>
  <c r="S262" i="33" s="1"/>
  <c r="Z409" i="33" s="1"/>
  <c r="S263" i="33" a="1"/>
  <c r="S263" i="33" s="1"/>
  <c r="S264" i="33" a="1"/>
  <c r="S264" i="33" s="1"/>
  <c r="V247" i="33" a="1"/>
  <c r="V247" i="33" s="1"/>
  <c r="V248" i="33" a="1"/>
  <c r="V248" i="33" s="1"/>
  <c r="V249" i="33" a="1"/>
  <c r="V249" i="33" s="1"/>
  <c r="R257" i="33" a="1"/>
  <c r="R257" i="33" s="1"/>
  <c r="R259" i="33" a="1"/>
  <c r="R259" i="33" s="1"/>
  <c r="R258" i="33" a="1"/>
  <c r="R258" i="33" s="1"/>
  <c r="V254" i="33" a="1"/>
  <c r="V254" i="33" s="1"/>
  <c r="V252" i="33" a="1"/>
  <c r="V252" i="33" s="1"/>
  <c r="AC397" i="33" s="1"/>
  <c r="V253" i="33" a="1"/>
  <c r="V253" i="33" s="1"/>
  <c r="U259" i="33" a="1"/>
  <c r="U259" i="33" s="1"/>
  <c r="AB405" i="33" s="1"/>
  <c r="U258" i="33" a="1"/>
  <c r="U258" i="33" s="1"/>
  <c r="U257" i="33" a="1"/>
  <c r="U257" i="33" s="1"/>
  <c r="AB403" i="33" s="1"/>
  <c r="S253" i="33" a="1"/>
  <c r="S253" i="33" s="1"/>
  <c r="S252" i="33" a="1"/>
  <c r="S252" i="33" s="1"/>
  <c r="Z397" i="33" s="1"/>
  <c r="S254" i="33" a="1"/>
  <c r="S254" i="33" s="1"/>
  <c r="R247" i="33" a="1"/>
  <c r="R247" i="33" s="1"/>
  <c r="R249" i="33" a="1"/>
  <c r="R249" i="33" s="1"/>
  <c r="R248" i="33" a="1"/>
  <c r="R248" i="33" s="1"/>
  <c r="T258" i="33" a="1"/>
  <c r="T258" i="33" s="1"/>
  <c r="T259" i="33" a="1"/>
  <c r="T259" i="33" s="1"/>
  <c r="T257" i="33" a="1"/>
  <c r="T257" i="33" s="1"/>
  <c r="AA403" i="33" s="1"/>
  <c r="R263" i="33" a="1"/>
  <c r="R263" i="33" s="1"/>
  <c r="R264" i="33" a="1"/>
  <c r="R264" i="33" s="1"/>
  <c r="R262" i="33" a="1"/>
  <c r="R262" i="33" s="1"/>
  <c r="U249" i="33" a="1"/>
  <c r="U249" i="33" s="1"/>
  <c r="U248" i="33" a="1"/>
  <c r="U248" i="33" s="1"/>
  <c r="U247" i="33" a="1"/>
  <c r="U247" i="33" s="1"/>
  <c r="U262" i="33" a="1"/>
  <c r="U262" i="33" s="1"/>
  <c r="AB409" i="33" s="1"/>
  <c r="U263" i="33" a="1"/>
  <c r="U263" i="33" s="1"/>
  <c r="U264" i="33" a="1"/>
  <c r="U264" i="33" s="1"/>
  <c r="T247" i="33" a="1"/>
  <c r="T247" i="33" s="1"/>
  <c r="T249" i="33" a="1"/>
  <c r="T249" i="33" s="1"/>
  <c r="T248" i="33" a="1"/>
  <c r="T248" i="33" s="1"/>
  <c r="S258" i="33" a="1"/>
  <c r="S258" i="33" s="1"/>
  <c r="S257" i="33" a="1"/>
  <c r="S257" i="33" s="1"/>
  <c r="Z403" i="33" s="1"/>
  <c r="S259" i="33" a="1"/>
  <c r="S259" i="33" s="1"/>
  <c r="R252" i="33" a="1"/>
  <c r="R252" i="33" s="1"/>
  <c r="R254" i="33" a="1"/>
  <c r="R254" i="33" s="1"/>
  <c r="R253" i="33" a="1"/>
  <c r="R253" i="33" s="1"/>
  <c r="Y398" i="33" s="1"/>
  <c r="T263" i="33" a="1"/>
  <c r="T263" i="33" s="1"/>
  <c r="T262" i="33" a="1"/>
  <c r="T262" i="33" s="1"/>
  <c r="AA409" i="33" s="1"/>
  <c r="T264" i="33" a="1"/>
  <c r="T264" i="33" s="1"/>
  <c r="U253" i="33" a="1"/>
  <c r="U253" i="33" s="1"/>
  <c r="U252" i="33" a="1"/>
  <c r="U252" i="33" s="1"/>
  <c r="AB397" i="33" s="1"/>
  <c r="U254" i="33" a="1"/>
  <c r="U254" i="33" s="1"/>
  <c r="S247" i="33" a="1"/>
  <c r="S247" i="33" s="1"/>
  <c r="S248" i="33" a="1"/>
  <c r="S248" i="33" s="1"/>
  <c r="S249" i="33" a="1"/>
  <c r="S249" i="33" s="1"/>
  <c r="AC335" i="33"/>
  <c r="AB277" i="33"/>
  <c r="U161" i="33"/>
  <c r="AC279" i="33"/>
  <c r="AC333" i="33"/>
  <c r="V215" i="33"/>
  <c r="AB361" i="33"/>
  <c r="U242" i="33"/>
  <c r="Y305" i="33"/>
  <c r="R188" i="33"/>
  <c r="Y335" i="33"/>
  <c r="Y333" i="33"/>
  <c r="R215" i="33"/>
  <c r="Z278" i="33"/>
  <c r="Z279" i="33"/>
  <c r="Z277" i="33"/>
  <c r="S161" i="33"/>
  <c r="Z335" i="33"/>
  <c r="Z333" i="33"/>
  <c r="S215" i="33"/>
  <c r="AB363" i="33"/>
  <c r="AA305" i="33"/>
  <c r="T188" i="33"/>
  <c r="AA306" i="33"/>
  <c r="AA361" i="33"/>
  <c r="T242" i="33"/>
  <c r="AA363" i="33"/>
  <c r="Y306" i="33"/>
  <c r="Y362" i="33"/>
  <c r="V188" i="33"/>
  <c r="AC305" i="33"/>
  <c r="AC362" i="33"/>
  <c r="AB305" i="33"/>
  <c r="U188" i="33"/>
  <c r="AB306" i="33"/>
  <c r="AC307" i="33"/>
  <c r="AC278" i="33"/>
  <c r="V242" i="33"/>
  <c r="AC361" i="33"/>
  <c r="AB333" i="33"/>
  <c r="U215" i="33"/>
  <c r="AA279" i="33"/>
  <c r="Y277" i="33"/>
  <c r="R161" i="33"/>
  <c r="Y361" i="33"/>
  <c r="R242" i="33"/>
  <c r="Z306" i="33"/>
  <c r="Z305" i="33"/>
  <c r="S188" i="33"/>
  <c r="Z363" i="33"/>
  <c r="Z361" i="33"/>
  <c r="S242" i="33"/>
  <c r="AC277" i="33"/>
  <c r="V161" i="33"/>
  <c r="AB278" i="33"/>
  <c r="AB279" i="33"/>
  <c r="AB335" i="33"/>
  <c r="AA277" i="33"/>
  <c r="T161" i="33"/>
  <c r="AA278" i="33"/>
  <c r="AA333" i="33"/>
  <c r="T215" i="33"/>
  <c r="AA335" i="33"/>
  <c r="Y279" i="33"/>
  <c r="Y278" i="33"/>
  <c r="L156" i="11"/>
  <c r="O158" i="38" l="1"/>
  <c r="O164" i="38" s="1"/>
  <c r="S158" i="38"/>
  <c r="O157" i="38"/>
  <c r="O163" i="38" s="1"/>
  <c r="P158" i="38"/>
  <c r="P164" i="38" s="1"/>
  <c r="P159" i="38"/>
  <c r="P165" i="38" s="1"/>
  <c r="R158" i="38"/>
  <c r="P157" i="38"/>
  <c r="P163" i="38" s="1"/>
  <c r="O159" i="38"/>
  <c r="O165" i="38" s="1"/>
  <c r="T163" i="38"/>
  <c r="R156" i="38"/>
  <c r="R162" i="38" s="1"/>
  <c r="T162" i="38"/>
  <c r="R157" i="38"/>
  <c r="R163" i="38" s="1"/>
  <c r="T165" i="38"/>
  <c r="T164" i="38"/>
  <c r="S165" i="38"/>
  <c r="R165" i="38"/>
  <c r="S164" i="38"/>
  <c r="S162" i="38"/>
  <c r="S163" i="38"/>
  <c r="W153" i="38"/>
  <c r="W150" i="38"/>
  <c r="W152" i="38"/>
  <c r="W151" i="38"/>
  <c r="W56" i="38"/>
  <c r="R107" i="38"/>
  <c r="W58" i="38"/>
  <c r="R106" i="38"/>
  <c r="W57" i="38"/>
  <c r="V105" i="38"/>
  <c r="T106" i="38"/>
  <c r="R108" i="38"/>
  <c r="T107" i="38"/>
  <c r="T105" i="38"/>
  <c r="V108" i="38"/>
  <c r="U105" i="38"/>
  <c r="U107" i="38"/>
  <c r="S108" i="38"/>
  <c r="T108" i="38"/>
  <c r="R105" i="38"/>
  <c r="U106" i="38"/>
  <c r="W59" i="38"/>
  <c r="AA399" i="33"/>
  <c r="AB404" i="33"/>
  <c r="AA404" i="33"/>
  <c r="Y404" i="33"/>
  <c r="Z410" i="33"/>
  <c r="AA410" i="33"/>
  <c r="Z399" i="33"/>
  <c r="S268" i="33"/>
  <c r="Z404" i="33"/>
  <c r="AC398" i="33"/>
  <c r="Y411" i="33"/>
  <c r="AB410" i="33"/>
  <c r="Y399" i="33"/>
  <c r="AB399" i="33"/>
  <c r="AC301" i="33"/>
  <c r="Z411" i="33"/>
  <c r="AB411" i="33"/>
  <c r="AA405" i="33"/>
  <c r="Z398" i="33"/>
  <c r="AC399" i="33"/>
  <c r="AA398" i="33"/>
  <c r="AA392" i="33"/>
  <c r="Y385" i="33"/>
  <c r="AC385" i="33"/>
  <c r="Z405" i="33"/>
  <c r="Z301" i="33"/>
  <c r="Z385" i="33"/>
  <c r="AA411" i="33"/>
  <c r="AA329" i="33"/>
  <c r="Z393" i="33"/>
  <c r="AA301" i="33"/>
  <c r="Z329" i="33"/>
  <c r="Y405" i="33"/>
  <c r="Z392" i="33"/>
  <c r="T269" i="33"/>
  <c r="AA393" i="33"/>
  <c r="AC393" i="33"/>
  <c r="Y393" i="33"/>
  <c r="AB392" i="33"/>
  <c r="Y409" i="33"/>
  <c r="Y301" i="33"/>
  <c r="Y397" i="33"/>
  <c r="AC357" i="33"/>
  <c r="AB391" i="33"/>
  <c r="AB415" i="33" s="1"/>
  <c r="U267" i="33"/>
  <c r="AB357" i="33"/>
  <c r="AB398" i="33"/>
  <c r="AB329" i="33"/>
  <c r="AC329" i="33"/>
  <c r="Z357" i="33"/>
  <c r="Z391" i="33"/>
  <c r="Z415" i="33" s="1"/>
  <c r="S267" i="33"/>
  <c r="Y357" i="33"/>
  <c r="AB385" i="33"/>
  <c r="AB301" i="33"/>
  <c r="AC391" i="33"/>
  <c r="Y392" i="33"/>
  <c r="AA357" i="33"/>
  <c r="T267" i="33"/>
  <c r="AA391" i="33"/>
  <c r="AA415" i="33" s="1"/>
  <c r="U269" i="33"/>
  <c r="AB393" i="33"/>
  <c r="Y329" i="33"/>
  <c r="T268" i="33"/>
  <c r="Y391" i="33"/>
  <c r="R267" i="33"/>
  <c r="Y410" i="33"/>
  <c r="AA385" i="33"/>
  <c r="Y403" i="33"/>
  <c r="M176" i="11"/>
  <c r="D39" i="16"/>
  <c r="D38" i="16"/>
  <c r="D37" i="16"/>
  <c r="D36" i="16"/>
  <c r="D35" i="16"/>
  <c r="D34" i="16"/>
  <c r="D33" i="16"/>
  <c r="D31" i="16"/>
  <c r="D30" i="16"/>
  <c r="D29" i="16"/>
  <c r="D28" i="16"/>
  <c r="D27" i="16"/>
  <c r="D26" i="16"/>
  <c r="D24" i="16"/>
  <c r="D23" i="16"/>
  <c r="D22" i="16"/>
  <c r="I2" i="30"/>
  <c r="I2" i="29"/>
  <c r="I2" i="18"/>
  <c r="I2" i="17"/>
  <c r="I2" i="5"/>
  <c r="I2" i="11"/>
  <c r="I2" i="16"/>
  <c r="I2" i="21"/>
  <c r="I2" i="20"/>
  <c r="I2" i="19"/>
  <c r="I2" i="2"/>
  <c r="I2" i="1"/>
  <c r="H2" i="1"/>
  <c r="G2" i="1"/>
  <c r="F2" i="1"/>
  <c r="F2" i="21"/>
  <c r="W107" i="38" l="1"/>
  <c r="W106" i="38"/>
  <c r="W108" i="38"/>
  <c r="R164" i="38"/>
  <c r="AB417" i="33"/>
  <c r="AA417" i="33"/>
  <c r="AA416" i="33"/>
  <c r="Z417" i="33"/>
  <c r="Z416" i="33"/>
  <c r="S269" i="33"/>
  <c r="Y417" i="33"/>
  <c r="R269" i="33"/>
  <c r="R268" i="33"/>
  <c r="Y416" i="33"/>
  <c r="AC392" i="33"/>
  <c r="Y415" i="33"/>
  <c r="L254" i="33" a="1"/>
  <c r="L254" i="33" s="1"/>
  <c r="L249" i="33" a="1"/>
  <c r="L249" i="33" s="1"/>
  <c r="U268" i="33"/>
  <c r="AB416" i="33"/>
  <c r="M89" i="30"/>
  <c r="N10" i="30"/>
  <c r="M10" i="30"/>
  <c r="L10" i="30"/>
  <c r="K10" i="30"/>
  <c r="B10" i="30"/>
  <c r="L8" i="30"/>
  <c r="H2" i="30"/>
  <c r="G2" i="30"/>
  <c r="F2" i="30"/>
  <c r="B2" i="30"/>
  <c r="E96" i="1" l="1"/>
  <c r="K33" i="21"/>
  <c r="O63" i="38" l="1"/>
  <c r="P63" i="38"/>
  <c r="V63" i="38"/>
  <c r="R63" i="38"/>
  <c r="S63" i="38"/>
  <c r="T63" i="38"/>
  <c r="U63" i="38"/>
  <c r="T62" i="38"/>
  <c r="S62" i="38"/>
  <c r="U62" i="38"/>
  <c r="V62" i="38"/>
  <c r="O62" i="38"/>
  <c r="R62" i="38"/>
  <c r="P62" i="38"/>
  <c r="P65" i="38"/>
  <c r="R65" i="38"/>
  <c r="O65" i="38"/>
  <c r="S65" i="38"/>
  <c r="T65" i="38"/>
  <c r="U65" i="38"/>
  <c r="V65" i="38"/>
  <c r="O64" i="38"/>
  <c r="P64" i="38"/>
  <c r="R64" i="38"/>
  <c r="S64" i="38"/>
  <c r="T64" i="38"/>
  <c r="V64" i="38"/>
  <c r="U64" i="38"/>
  <c r="M159" i="11"/>
  <c r="M156" i="11"/>
  <c r="L162" i="11"/>
  <c r="L159" i="11"/>
  <c r="L65" i="38" l="1"/>
  <c r="L64" i="38"/>
  <c r="L63" i="38"/>
  <c r="L62" i="38"/>
  <c r="W65" i="38"/>
  <c r="W64" i="38"/>
  <c r="W62" i="38"/>
  <c r="W63" i="38"/>
  <c r="S75" i="38"/>
  <c r="S82" i="38" s="1"/>
  <c r="R78" i="38"/>
  <c r="P78" i="38"/>
  <c r="O77" i="38"/>
  <c r="O84" i="38" s="1"/>
  <c r="W140" i="38"/>
  <c r="P75" i="38"/>
  <c r="P82" i="38" s="1"/>
  <c r="S76" i="38"/>
  <c r="S77" i="38"/>
  <c r="S84" i="38" s="1"/>
  <c r="R77" i="38"/>
  <c r="R84" i="38" s="1"/>
  <c r="P77" i="38"/>
  <c r="P84" i="38" s="1"/>
  <c r="T76" i="38"/>
  <c r="V78" i="38"/>
  <c r="R75" i="38"/>
  <c r="O75" i="38"/>
  <c r="O82" i="38" s="1"/>
  <c r="V76" i="38"/>
  <c r="U76" i="38"/>
  <c r="U83" i="38" s="1"/>
  <c r="U78" i="38"/>
  <c r="V77" i="38"/>
  <c r="V84" i="38" s="1"/>
  <c r="T78" i="38"/>
  <c r="V75" i="38"/>
  <c r="P76" i="38"/>
  <c r="O78" i="38"/>
  <c r="W141" i="38"/>
  <c r="T75" i="38"/>
  <c r="T82" i="38" s="1"/>
  <c r="R76" i="38"/>
  <c r="U77" i="38"/>
  <c r="U84" i="38" s="1"/>
  <c r="T77" i="38"/>
  <c r="T84" i="38" s="1"/>
  <c r="S78" i="38"/>
  <c r="U75" i="38"/>
  <c r="U82" i="38" s="1"/>
  <c r="O76" i="38"/>
  <c r="L85" i="30"/>
  <c r="M85" i="30"/>
  <c r="L44" i="11"/>
  <c r="L43" i="11"/>
  <c r="L41" i="11"/>
  <c r="L31" i="11"/>
  <c r="L73" i="30" s="1"/>
  <c r="L28" i="11"/>
  <c r="L72" i="30" s="1"/>
  <c r="P85" i="38" l="1"/>
  <c r="O85" i="38"/>
  <c r="T83" i="38"/>
  <c r="T85" i="38"/>
  <c r="R85" i="38"/>
  <c r="R83" i="38"/>
  <c r="V79" i="38"/>
  <c r="V82" i="38"/>
  <c r="S83" i="38"/>
  <c r="W84" i="38"/>
  <c r="L84" i="38" s="1"/>
  <c r="U79" i="38"/>
  <c r="R79" i="38"/>
  <c r="S85" i="38"/>
  <c r="W75" i="38"/>
  <c r="L75" i="38" s="1"/>
  <c r="W77" i="38"/>
  <c r="U85" i="38"/>
  <c r="W139" i="38"/>
  <c r="R82" i="38"/>
  <c r="P79" i="38"/>
  <c r="V83" i="38"/>
  <c r="W78" i="38"/>
  <c r="L78" i="38" s="1"/>
  <c r="W138" i="38"/>
  <c r="O83" i="38"/>
  <c r="P83" i="38"/>
  <c r="V85" i="38"/>
  <c r="W76" i="38"/>
  <c r="L76" i="38" s="1"/>
  <c r="S79" i="38"/>
  <c r="O79" i="38"/>
  <c r="T79" i="38"/>
  <c r="C17" i="1"/>
  <c r="C16" i="1"/>
  <c r="C15" i="1"/>
  <c r="T86" i="38" l="1"/>
  <c r="W83" i="38"/>
  <c r="L83" i="38" s="1"/>
  <c r="U86" i="38"/>
  <c r="L77" i="38"/>
  <c r="P86" i="38"/>
  <c r="R86" i="38"/>
  <c r="W82" i="38"/>
  <c r="L82" i="38" s="1"/>
  <c r="S86" i="38"/>
  <c r="O86" i="38"/>
  <c r="V86" i="38"/>
  <c r="W85" i="38"/>
  <c r="L85" i="38" s="1"/>
  <c r="W79" i="38"/>
  <c r="L79" i="38" s="1"/>
  <c r="D971" i="18"/>
  <c r="D970" i="18"/>
  <c r="D969" i="18"/>
  <c r="D968" i="18"/>
  <c r="D967" i="18"/>
  <c r="D966" i="18"/>
  <c r="D965" i="18"/>
  <c r="D963" i="18"/>
  <c r="D962" i="18"/>
  <c r="D961" i="18"/>
  <c r="D960" i="18"/>
  <c r="D959" i="18"/>
  <c r="D958" i="18"/>
  <c r="D956" i="18"/>
  <c r="D955" i="18"/>
  <c r="D825" i="18"/>
  <c r="D842" i="18"/>
  <c r="D841" i="18"/>
  <c r="D840" i="18"/>
  <c r="D839" i="18"/>
  <c r="D838" i="18"/>
  <c r="D837" i="18"/>
  <c r="D836" i="18"/>
  <c r="D834" i="18"/>
  <c r="D833" i="18"/>
  <c r="D832" i="18"/>
  <c r="D831" i="18"/>
  <c r="D830" i="18"/>
  <c r="D829" i="18"/>
  <c r="D827" i="18"/>
  <c r="D826" i="18"/>
  <c r="D805" i="18"/>
  <c r="D822" i="18"/>
  <c r="D821" i="18"/>
  <c r="D820" i="18"/>
  <c r="D819" i="18"/>
  <c r="D818" i="18"/>
  <c r="D817" i="18"/>
  <c r="D816" i="18"/>
  <c r="D814" i="18"/>
  <c r="D813" i="18"/>
  <c r="D812" i="18"/>
  <c r="D811" i="18"/>
  <c r="D810" i="18"/>
  <c r="D809" i="18"/>
  <c r="D807" i="18"/>
  <c r="D806" i="18"/>
  <c r="D777" i="18"/>
  <c r="D794" i="18"/>
  <c r="D793" i="18"/>
  <c r="D792" i="18"/>
  <c r="D791" i="18"/>
  <c r="D790" i="18"/>
  <c r="D789" i="18"/>
  <c r="D788" i="18"/>
  <c r="D786" i="18"/>
  <c r="D785" i="18"/>
  <c r="D784" i="18"/>
  <c r="D783" i="18"/>
  <c r="D782" i="18"/>
  <c r="D781" i="18"/>
  <c r="D779" i="18"/>
  <c r="D778" i="18"/>
  <c r="D744" i="18"/>
  <c r="D761" i="18"/>
  <c r="D760" i="18"/>
  <c r="D759" i="18"/>
  <c r="D758" i="18"/>
  <c r="D757" i="18"/>
  <c r="D756" i="18"/>
  <c r="D755" i="18"/>
  <c r="D753" i="18"/>
  <c r="D752" i="18"/>
  <c r="D751" i="18"/>
  <c r="D750" i="18"/>
  <c r="D749" i="18"/>
  <c r="D748" i="18"/>
  <c r="D746" i="18"/>
  <c r="D745" i="18"/>
  <c r="D723" i="18"/>
  <c r="D740" i="18"/>
  <c r="D739" i="18"/>
  <c r="D738" i="18"/>
  <c r="D737" i="18"/>
  <c r="D736" i="18"/>
  <c r="D735" i="18"/>
  <c r="D734" i="18"/>
  <c r="D732" i="18"/>
  <c r="D731" i="18"/>
  <c r="D730" i="18"/>
  <c r="D729" i="18"/>
  <c r="D728" i="18"/>
  <c r="D727" i="18"/>
  <c r="D725" i="18"/>
  <c r="D724" i="18"/>
  <c r="D702" i="18"/>
  <c r="D719" i="18"/>
  <c r="D718" i="18"/>
  <c r="D717" i="18"/>
  <c r="D716" i="18"/>
  <c r="D715" i="18"/>
  <c r="D714" i="18"/>
  <c r="D713" i="18"/>
  <c r="D711" i="18"/>
  <c r="D710" i="18"/>
  <c r="D709" i="18"/>
  <c r="D708" i="18"/>
  <c r="D707" i="18"/>
  <c r="D706" i="18"/>
  <c r="D704" i="18"/>
  <c r="D703" i="18"/>
  <c r="D681" i="18"/>
  <c r="D698" i="18"/>
  <c r="D697" i="18"/>
  <c r="D696" i="18"/>
  <c r="D695" i="18"/>
  <c r="D694" i="18"/>
  <c r="D693" i="18"/>
  <c r="D692" i="18"/>
  <c r="D690" i="18"/>
  <c r="D689" i="18"/>
  <c r="D688" i="18"/>
  <c r="D687" i="18"/>
  <c r="D686" i="18"/>
  <c r="D685" i="18"/>
  <c r="D683" i="18"/>
  <c r="D682" i="18"/>
  <c r="D660" i="18"/>
  <c r="D677" i="18"/>
  <c r="D676" i="18"/>
  <c r="D675" i="18"/>
  <c r="D674" i="18"/>
  <c r="D673" i="18"/>
  <c r="D672" i="18"/>
  <c r="D671" i="18"/>
  <c r="D669" i="18"/>
  <c r="D668" i="18"/>
  <c r="D667" i="18"/>
  <c r="D666" i="18"/>
  <c r="D665" i="18"/>
  <c r="D664" i="18"/>
  <c r="D662" i="18"/>
  <c r="D661" i="18"/>
  <c r="D639" i="18"/>
  <c r="D656" i="18"/>
  <c r="D655" i="18"/>
  <c r="D654" i="18"/>
  <c r="D653" i="18"/>
  <c r="D652" i="18"/>
  <c r="D651" i="18"/>
  <c r="D650" i="18"/>
  <c r="D648" i="18"/>
  <c r="D647" i="18"/>
  <c r="D646" i="18"/>
  <c r="D645" i="18"/>
  <c r="D644" i="18"/>
  <c r="D643" i="18"/>
  <c r="D641" i="18"/>
  <c r="D640" i="18"/>
  <c r="D552" i="18"/>
  <c r="D551" i="18"/>
  <c r="D550" i="18"/>
  <c r="D549" i="18"/>
  <c r="D548" i="18"/>
  <c r="D547" i="18"/>
  <c r="D546" i="18"/>
  <c r="D544" i="18"/>
  <c r="D543" i="18"/>
  <c r="D542" i="18"/>
  <c r="D541" i="18"/>
  <c r="D540" i="18"/>
  <c r="D539" i="18"/>
  <c r="D537" i="18"/>
  <c r="D536" i="18"/>
  <c r="D515" i="18"/>
  <c r="D532" i="18"/>
  <c r="D531" i="18"/>
  <c r="D530" i="18"/>
  <c r="D529" i="18"/>
  <c r="D528" i="18"/>
  <c r="D527" i="18"/>
  <c r="D526" i="18"/>
  <c r="D524" i="18"/>
  <c r="D523" i="18"/>
  <c r="D522" i="18"/>
  <c r="D521" i="18"/>
  <c r="D520" i="18"/>
  <c r="D519" i="18"/>
  <c r="D517" i="18"/>
  <c r="D516" i="18"/>
  <c r="D485" i="18"/>
  <c r="D502" i="18"/>
  <c r="D501" i="18"/>
  <c r="D500" i="18"/>
  <c r="D499" i="18"/>
  <c r="D498" i="18"/>
  <c r="D497" i="18"/>
  <c r="D496" i="18"/>
  <c r="D494" i="18"/>
  <c r="D493" i="18"/>
  <c r="D492" i="18"/>
  <c r="D491" i="18"/>
  <c r="D490" i="18"/>
  <c r="D489" i="18"/>
  <c r="D487" i="18"/>
  <c r="D486" i="18"/>
  <c r="D464" i="18"/>
  <c r="D481" i="18"/>
  <c r="D480" i="18"/>
  <c r="D479" i="18"/>
  <c r="D478" i="18"/>
  <c r="D477" i="18"/>
  <c r="D476" i="18"/>
  <c r="D475" i="18"/>
  <c r="D473" i="18"/>
  <c r="D472" i="18"/>
  <c r="D471" i="18"/>
  <c r="D470" i="18"/>
  <c r="D469" i="18"/>
  <c r="D468" i="18"/>
  <c r="D466" i="18"/>
  <c r="D465" i="18"/>
  <c r="D443" i="18"/>
  <c r="D460" i="18"/>
  <c r="D459" i="18"/>
  <c r="D458" i="18"/>
  <c r="D457" i="18"/>
  <c r="D456" i="18"/>
  <c r="D455" i="18"/>
  <c r="D454" i="18"/>
  <c r="D452" i="18"/>
  <c r="D451" i="18"/>
  <c r="D450" i="18"/>
  <c r="D449" i="18"/>
  <c r="D448" i="18"/>
  <c r="D447" i="18"/>
  <c r="D445" i="18"/>
  <c r="D444" i="18"/>
  <c r="D422" i="18"/>
  <c r="D439" i="18"/>
  <c r="D438" i="18"/>
  <c r="D437" i="18"/>
  <c r="D436" i="18"/>
  <c r="D435" i="18"/>
  <c r="D434" i="18"/>
  <c r="D433" i="18"/>
  <c r="D431" i="18"/>
  <c r="D430" i="18"/>
  <c r="D429" i="18"/>
  <c r="D428" i="18"/>
  <c r="D427" i="18"/>
  <c r="D426" i="18"/>
  <c r="D424" i="18"/>
  <c r="D423" i="18"/>
  <c r="D401" i="18"/>
  <c r="D418" i="18"/>
  <c r="D417" i="18"/>
  <c r="D416" i="18"/>
  <c r="D415" i="18"/>
  <c r="D414" i="18"/>
  <c r="D413" i="18"/>
  <c r="D412" i="18"/>
  <c r="D410" i="18"/>
  <c r="D409" i="18"/>
  <c r="D408" i="18"/>
  <c r="D407" i="18"/>
  <c r="D406" i="18"/>
  <c r="D405" i="18"/>
  <c r="D403" i="18"/>
  <c r="D402" i="18"/>
  <c r="D380" i="18"/>
  <c r="D397" i="18"/>
  <c r="D396" i="18"/>
  <c r="D395" i="18"/>
  <c r="D394" i="18"/>
  <c r="D393" i="18"/>
  <c r="D392" i="18"/>
  <c r="D391" i="18"/>
  <c r="D389" i="18"/>
  <c r="D388" i="18"/>
  <c r="D387" i="18"/>
  <c r="D386" i="18"/>
  <c r="D385" i="18"/>
  <c r="D384" i="18"/>
  <c r="D382" i="18"/>
  <c r="D381" i="18"/>
  <c r="D376" i="18"/>
  <c r="D375" i="18"/>
  <c r="D374" i="18"/>
  <c r="D373" i="18"/>
  <c r="D372" i="18"/>
  <c r="D371" i="18"/>
  <c r="D370" i="18"/>
  <c r="D368" i="18"/>
  <c r="D367" i="18"/>
  <c r="D366" i="18"/>
  <c r="D365" i="18"/>
  <c r="D364" i="18"/>
  <c r="D363" i="18"/>
  <c r="D361" i="18"/>
  <c r="D360" i="18"/>
  <c r="D173" i="18"/>
  <c r="D190" i="18"/>
  <c r="D189" i="18"/>
  <c r="D188" i="18"/>
  <c r="D187" i="18"/>
  <c r="D186" i="18"/>
  <c r="D185" i="18"/>
  <c r="D184" i="18"/>
  <c r="D182" i="18"/>
  <c r="D181" i="18"/>
  <c r="D180" i="18"/>
  <c r="D179" i="18"/>
  <c r="D178" i="18"/>
  <c r="D177" i="18"/>
  <c r="D175" i="18"/>
  <c r="D174" i="18"/>
  <c r="D148" i="18"/>
  <c r="D165" i="18"/>
  <c r="D164" i="18"/>
  <c r="D163" i="18"/>
  <c r="D162" i="18"/>
  <c r="D161" i="18"/>
  <c r="D160" i="18"/>
  <c r="D159" i="18"/>
  <c r="D157" i="18"/>
  <c r="D156" i="18"/>
  <c r="D155" i="18"/>
  <c r="D154" i="18"/>
  <c r="D153" i="18"/>
  <c r="D152" i="18"/>
  <c r="D150" i="18"/>
  <c r="D149" i="18"/>
  <c r="D130" i="18"/>
  <c r="D144" i="18"/>
  <c r="D143" i="18"/>
  <c r="D142" i="18"/>
  <c r="D141" i="18"/>
  <c r="D139" i="18"/>
  <c r="D138" i="18"/>
  <c r="D137" i="18"/>
  <c r="D136" i="18"/>
  <c r="D135" i="18"/>
  <c r="D134" i="18"/>
  <c r="D132" i="18"/>
  <c r="D131" i="18"/>
  <c r="D71" i="18"/>
  <c r="D85" i="18"/>
  <c r="D84" i="18"/>
  <c r="D83" i="18"/>
  <c r="D82" i="18"/>
  <c r="D80" i="18"/>
  <c r="D79" i="18"/>
  <c r="D78" i="18"/>
  <c r="D77" i="18"/>
  <c r="D76" i="18"/>
  <c r="D75" i="18"/>
  <c r="D73" i="18"/>
  <c r="D72" i="18"/>
  <c r="D54" i="18"/>
  <c r="D68" i="18"/>
  <c r="D67" i="18"/>
  <c r="D66" i="18"/>
  <c r="D65" i="18"/>
  <c r="D63" i="18"/>
  <c r="D62" i="18"/>
  <c r="D61" i="18"/>
  <c r="D60" i="18"/>
  <c r="D59" i="18"/>
  <c r="D58" i="18"/>
  <c r="D56" i="18"/>
  <c r="D55" i="18"/>
  <c r="D33" i="18"/>
  <c r="D50" i="18"/>
  <c r="D49" i="18"/>
  <c r="D48" i="18"/>
  <c r="D47" i="18"/>
  <c r="D46" i="18"/>
  <c r="D45" i="18"/>
  <c r="D44" i="18"/>
  <c r="D42" i="18"/>
  <c r="D41" i="18"/>
  <c r="D40" i="18"/>
  <c r="D39" i="18"/>
  <c r="D38" i="18"/>
  <c r="D37" i="18"/>
  <c r="D35" i="18"/>
  <c r="D34" i="18"/>
  <c r="D15" i="18"/>
  <c r="D29" i="18"/>
  <c r="D28" i="18"/>
  <c r="D27" i="18"/>
  <c r="D26" i="18"/>
  <c r="D24" i="18"/>
  <c r="D23" i="18"/>
  <c r="D22" i="18"/>
  <c r="D21" i="18"/>
  <c r="D20" i="18"/>
  <c r="D19" i="18"/>
  <c r="D17" i="18"/>
  <c r="D16" i="18"/>
  <c r="D15" i="17"/>
  <c r="D128" i="17"/>
  <c r="D145" i="17"/>
  <c r="D144" i="17"/>
  <c r="D143" i="17"/>
  <c r="D142" i="17"/>
  <c r="D141" i="17"/>
  <c r="D140" i="17"/>
  <c r="D139" i="17"/>
  <c r="D137" i="17"/>
  <c r="D136" i="17"/>
  <c r="D135" i="17"/>
  <c r="D134" i="17"/>
  <c r="D133" i="17"/>
  <c r="D132" i="17"/>
  <c r="D130" i="17"/>
  <c r="D129" i="17"/>
  <c r="D107" i="17"/>
  <c r="D124" i="17"/>
  <c r="D123" i="17"/>
  <c r="D122" i="17"/>
  <c r="D121" i="17"/>
  <c r="D120" i="17"/>
  <c r="D119" i="17"/>
  <c r="D118" i="17"/>
  <c r="D116" i="17"/>
  <c r="D115" i="17"/>
  <c r="D114" i="17"/>
  <c r="D113" i="17"/>
  <c r="D112" i="17"/>
  <c r="D111" i="17"/>
  <c r="D109" i="17"/>
  <c r="D108" i="17"/>
  <c r="D75" i="17"/>
  <c r="D92" i="17"/>
  <c r="D91" i="17"/>
  <c r="D90" i="17"/>
  <c r="D89" i="17"/>
  <c r="D88" i="17"/>
  <c r="D87" i="17"/>
  <c r="D86" i="17"/>
  <c r="D84" i="17"/>
  <c r="D83" i="17"/>
  <c r="D82" i="17"/>
  <c r="D81" i="17"/>
  <c r="D80" i="17"/>
  <c r="D79" i="17"/>
  <c r="D77" i="17"/>
  <c r="D76" i="17"/>
  <c r="D55" i="17"/>
  <c r="D72" i="17"/>
  <c r="D71" i="17"/>
  <c r="D70" i="17"/>
  <c r="D69" i="17"/>
  <c r="D68" i="17"/>
  <c r="D67" i="17"/>
  <c r="D66" i="17"/>
  <c r="D64" i="17"/>
  <c r="D63" i="17"/>
  <c r="D62" i="17"/>
  <c r="D61" i="17"/>
  <c r="D60" i="17"/>
  <c r="D59" i="17"/>
  <c r="D57" i="17"/>
  <c r="D56" i="17"/>
  <c r="D35" i="17"/>
  <c r="D52" i="17"/>
  <c r="D51" i="17"/>
  <c r="D50" i="17"/>
  <c r="D49" i="17"/>
  <c r="D48" i="17"/>
  <c r="D47" i="17"/>
  <c r="D46" i="17"/>
  <c r="D44" i="17"/>
  <c r="D43" i="17"/>
  <c r="D42" i="17"/>
  <c r="D41" i="17"/>
  <c r="D40" i="17"/>
  <c r="D39" i="17"/>
  <c r="D37" i="17"/>
  <c r="D36" i="17"/>
  <c r="D32" i="17"/>
  <c r="D31" i="17"/>
  <c r="D30" i="17"/>
  <c r="D29" i="17"/>
  <c r="D28" i="17"/>
  <c r="D27" i="17"/>
  <c r="D26" i="17"/>
  <c r="D24" i="17"/>
  <c r="D23" i="17"/>
  <c r="D22" i="17"/>
  <c r="D21" i="17"/>
  <c r="D20" i="17"/>
  <c r="D19" i="17"/>
  <c r="D17" i="17"/>
  <c r="D16" i="17"/>
  <c r="D647" i="5"/>
  <c r="D646" i="5"/>
  <c r="D645" i="5"/>
  <c r="D644" i="5"/>
  <c r="D643" i="5"/>
  <c r="D642" i="5"/>
  <c r="D641" i="5"/>
  <c r="D639" i="5"/>
  <c r="D638" i="5"/>
  <c r="D637" i="5"/>
  <c r="D636" i="5"/>
  <c r="D635" i="5"/>
  <c r="D634" i="5"/>
  <c r="D632" i="5"/>
  <c r="D631" i="5"/>
  <c r="D630" i="5"/>
  <c r="D592" i="5"/>
  <c r="D626" i="5"/>
  <c r="D625" i="5"/>
  <c r="D624" i="5"/>
  <c r="D610" i="5"/>
  <c r="D612" i="5"/>
  <c r="D611" i="5"/>
  <c r="D606" i="5"/>
  <c r="D605" i="5"/>
  <c r="D604" i="5"/>
  <c r="D603" i="5"/>
  <c r="D601" i="5"/>
  <c r="D600" i="5"/>
  <c r="D599" i="5"/>
  <c r="D598" i="5"/>
  <c r="D597" i="5"/>
  <c r="D596" i="5"/>
  <c r="D594" i="5"/>
  <c r="D593" i="5"/>
  <c r="D574" i="5"/>
  <c r="D588" i="5"/>
  <c r="D587" i="5"/>
  <c r="D586" i="5"/>
  <c r="D585" i="5"/>
  <c r="D583" i="5"/>
  <c r="D582" i="5"/>
  <c r="D581" i="5"/>
  <c r="D580" i="5"/>
  <c r="D579" i="5"/>
  <c r="D578" i="5"/>
  <c r="D576" i="5"/>
  <c r="D575" i="5"/>
  <c r="D550" i="5"/>
  <c r="D570" i="5"/>
  <c r="D569" i="5"/>
  <c r="D568" i="5"/>
  <c r="D545" i="5"/>
  <c r="D564" i="5"/>
  <c r="D563" i="5"/>
  <c r="D562" i="5"/>
  <c r="D561" i="5"/>
  <c r="D559" i="5"/>
  <c r="D558" i="5"/>
  <c r="D557" i="5"/>
  <c r="D556" i="5"/>
  <c r="D555" i="5"/>
  <c r="D554" i="5"/>
  <c r="D552" i="5"/>
  <c r="D551" i="5"/>
  <c r="D528" i="5"/>
  <c r="D547" i="5"/>
  <c r="D546" i="5"/>
  <c r="D542" i="5"/>
  <c r="D541" i="5"/>
  <c r="D540" i="5"/>
  <c r="D539" i="5"/>
  <c r="D537" i="5"/>
  <c r="D536" i="5"/>
  <c r="D535" i="5"/>
  <c r="D534" i="5"/>
  <c r="D533" i="5"/>
  <c r="D532" i="5"/>
  <c r="D530" i="5"/>
  <c r="D529" i="5"/>
  <c r="D506" i="5"/>
  <c r="D520" i="5"/>
  <c r="D519" i="5"/>
  <c r="D518" i="5"/>
  <c r="D517" i="5"/>
  <c r="D515" i="5"/>
  <c r="D514" i="5"/>
  <c r="D513" i="5"/>
  <c r="D512" i="5"/>
  <c r="D511" i="5"/>
  <c r="D510" i="5"/>
  <c r="D508" i="5"/>
  <c r="D507" i="5"/>
  <c r="D488" i="5"/>
  <c r="D502" i="5"/>
  <c r="D501" i="5"/>
  <c r="D500" i="5"/>
  <c r="D499" i="5"/>
  <c r="D497" i="5"/>
  <c r="D496" i="5"/>
  <c r="D495" i="5"/>
  <c r="D494" i="5"/>
  <c r="D493" i="5"/>
  <c r="D492" i="5"/>
  <c r="D490" i="5"/>
  <c r="D489" i="5"/>
  <c r="D383" i="5"/>
  <c r="D382" i="5"/>
  <c r="D381" i="5"/>
  <c r="D380" i="5"/>
  <c r="D378" i="5"/>
  <c r="D377" i="5"/>
  <c r="D376" i="5"/>
  <c r="D375" i="5"/>
  <c r="D374" i="5"/>
  <c r="D373" i="5"/>
  <c r="D371" i="5"/>
  <c r="D370" i="5"/>
  <c r="D352" i="5"/>
  <c r="D366" i="5"/>
  <c r="D365" i="5"/>
  <c r="D364" i="5"/>
  <c r="D363" i="5"/>
  <c r="D361" i="5"/>
  <c r="D360" i="5"/>
  <c r="D359" i="5"/>
  <c r="D358" i="5"/>
  <c r="D357" i="5"/>
  <c r="D356" i="5"/>
  <c r="D354" i="5"/>
  <c r="D353" i="5"/>
  <c r="D326" i="5"/>
  <c r="D325" i="5"/>
  <c r="D324" i="5"/>
  <c r="D348" i="5"/>
  <c r="D347" i="5"/>
  <c r="D346" i="5"/>
  <c r="D345" i="5"/>
  <c r="D343" i="5"/>
  <c r="D342" i="5"/>
  <c r="D341" i="5"/>
  <c r="D340" i="5"/>
  <c r="D339" i="5"/>
  <c r="D338" i="5"/>
  <c r="D336" i="5"/>
  <c r="D335" i="5"/>
  <c r="D78" i="11"/>
  <c r="D91" i="11"/>
  <c r="D90" i="11"/>
  <c r="D89" i="11"/>
  <c r="D88" i="11"/>
  <c r="D86" i="11"/>
  <c r="D85" i="11"/>
  <c r="D84" i="11"/>
  <c r="D83" i="11"/>
  <c r="D82" i="11"/>
  <c r="D81" i="11"/>
  <c r="D79" i="11"/>
  <c r="D291" i="16"/>
  <c r="D308" i="16"/>
  <c r="D307" i="16"/>
  <c r="D306" i="16"/>
  <c r="D305" i="16"/>
  <c r="D304" i="16"/>
  <c r="D303" i="16"/>
  <c r="D302" i="16"/>
  <c r="D300" i="16"/>
  <c r="D299" i="16"/>
  <c r="D298" i="16"/>
  <c r="D297" i="16"/>
  <c r="D296" i="16"/>
  <c r="D295" i="16"/>
  <c r="D293" i="16"/>
  <c r="D292" i="16"/>
  <c r="D269" i="16"/>
  <c r="D284" i="16"/>
  <c r="D283" i="16"/>
  <c r="D282" i="16"/>
  <c r="D281" i="16"/>
  <c r="D278" i="16"/>
  <c r="D277" i="16"/>
  <c r="D276" i="16"/>
  <c r="D275" i="16"/>
  <c r="D274" i="16"/>
  <c r="D273" i="16"/>
  <c r="D271" i="16"/>
  <c r="D270" i="16"/>
  <c r="D203" i="16"/>
  <c r="D220" i="16"/>
  <c r="D219" i="16"/>
  <c r="D218" i="16"/>
  <c r="D217" i="16"/>
  <c r="D216" i="16"/>
  <c r="D215" i="16"/>
  <c r="D214" i="16"/>
  <c r="D212" i="16"/>
  <c r="D211" i="16"/>
  <c r="D210" i="16"/>
  <c r="D209" i="16"/>
  <c r="D208" i="16"/>
  <c r="D207" i="16"/>
  <c r="D205" i="16"/>
  <c r="D204" i="16"/>
  <c r="D183" i="16"/>
  <c r="D200" i="16"/>
  <c r="D199" i="16"/>
  <c r="D198" i="16"/>
  <c r="D197" i="16"/>
  <c r="D196" i="16"/>
  <c r="D195" i="16"/>
  <c r="D194" i="16"/>
  <c r="D192" i="16"/>
  <c r="D191" i="16"/>
  <c r="D190" i="16"/>
  <c r="D189" i="16"/>
  <c r="D188" i="16"/>
  <c r="D187" i="16"/>
  <c r="D185" i="16"/>
  <c r="D184" i="16"/>
  <c r="D159" i="16"/>
  <c r="D176" i="16"/>
  <c r="D175" i="16"/>
  <c r="D174" i="16"/>
  <c r="D173" i="16"/>
  <c r="D172" i="16"/>
  <c r="D171" i="16"/>
  <c r="D170" i="16"/>
  <c r="D168" i="16"/>
  <c r="D167" i="16"/>
  <c r="D166" i="16"/>
  <c r="D165" i="16"/>
  <c r="D164" i="16"/>
  <c r="D163" i="16"/>
  <c r="D161" i="16"/>
  <c r="D160" i="16"/>
  <c r="D139" i="16"/>
  <c r="D156" i="16"/>
  <c r="D155" i="16"/>
  <c r="D154" i="16"/>
  <c r="D153" i="16"/>
  <c r="D152" i="16"/>
  <c r="D151" i="16"/>
  <c r="D150" i="16"/>
  <c r="D148" i="16"/>
  <c r="D147" i="16"/>
  <c r="D146" i="16"/>
  <c r="D145" i="16"/>
  <c r="D144" i="16"/>
  <c r="D143" i="16"/>
  <c r="D141" i="16"/>
  <c r="D140" i="16"/>
  <c r="D119" i="16"/>
  <c r="D136" i="16"/>
  <c r="D135" i="16"/>
  <c r="D134" i="16"/>
  <c r="D133" i="16"/>
  <c r="D132" i="16"/>
  <c r="D131" i="16"/>
  <c r="D130" i="16"/>
  <c r="D128" i="16"/>
  <c r="D127" i="16"/>
  <c r="D126" i="16"/>
  <c r="D125" i="16"/>
  <c r="D124" i="16"/>
  <c r="D123" i="16"/>
  <c r="D121" i="16"/>
  <c r="D120" i="16"/>
  <c r="D99" i="16"/>
  <c r="D116" i="16"/>
  <c r="D115" i="16"/>
  <c r="D114" i="16"/>
  <c r="D113" i="16"/>
  <c r="D112" i="16"/>
  <c r="D111" i="16"/>
  <c r="D110" i="16"/>
  <c r="D108" i="16"/>
  <c r="D107" i="16"/>
  <c r="D106" i="16"/>
  <c r="D105" i="16"/>
  <c r="D104" i="16"/>
  <c r="D103" i="16"/>
  <c r="D101" i="16"/>
  <c r="D100" i="16"/>
  <c r="D75" i="16"/>
  <c r="D92" i="16"/>
  <c r="D91" i="16"/>
  <c r="D90" i="16"/>
  <c r="D89" i="16"/>
  <c r="D88" i="16"/>
  <c r="D87" i="16"/>
  <c r="D86" i="16"/>
  <c r="D84" i="16"/>
  <c r="D83" i="16"/>
  <c r="D82" i="16"/>
  <c r="D81" i="16"/>
  <c r="D80" i="16"/>
  <c r="D79" i="16"/>
  <c r="D77" i="16"/>
  <c r="D76" i="16"/>
  <c r="D55" i="16"/>
  <c r="D72" i="16"/>
  <c r="D71" i="16"/>
  <c r="D70" i="16"/>
  <c r="D69" i="16"/>
  <c r="D68" i="16"/>
  <c r="D67" i="16"/>
  <c r="D66" i="16"/>
  <c r="D64" i="16"/>
  <c r="D63" i="16"/>
  <c r="D62" i="16"/>
  <c r="D61" i="16"/>
  <c r="D60" i="16"/>
  <c r="D59" i="16"/>
  <c r="D57" i="16"/>
  <c r="D56" i="16"/>
  <c r="D94" i="19"/>
  <c r="D186" i="19"/>
  <c r="D203" i="19"/>
  <c r="D202" i="19"/>
  <c r="D201" i="19"/>
  <c r="D200" i="19"/>
  <c r="D199" i="19"/>
  <c r="D198" i="19"/>
  <c r="D197" i="19"/>
  <c r="D195" i="19"/>
  <c r="D194" i="19"/>
  <c r="D193" i="19"/>
  <c r="D192" i="19"/>
  <c r="D191" i="19"/>
  <c r="D190" i="19"/>
  <c r="D188" i="19"/>
  <c r="D187" i="19"/>
  <c r="D165" i="19"/>
  <c r="D182" i="19"/>
  <c r="D181" i="19"/>
  <c r="D180" i="19"/>
  <c r="D179" i="19"/>
  <c r="D178" i="19"/>
  <c r="D177" i="19"/>
  <c r="D176" i="19"/>
  <c r="D174" i="19"/>
  <c r="D173" i="19"/>
  <c r="D172" i="19"/>
  <c r="D171" i="19"/>
  <c r="D170" i="19"/>
  <c r="D169" i="19"/>
  <c r="D167" i="19"/>
  <c r="D166" i="19"/>
  <c r="D140" i="19"/>
  <c r="D157" i="19"/>
  <c r="D156" i="19"/>
  <c r="D155" i="19"/>
  <c r="D154" i="19"/>
  <c r="D153" i="19"/>
  <c r="D152" i="19"/>
  <c r="D149" i="19"/>
  <c r="D148" i="19"/>
  <c r="D147" i="19"/>
  <c r="D146" i="19"/>
  <c r="D145" i="19"/>
  <c r="D144" i="19"/>
  <c r="D142" i="19"/>
  <c r="D141" i="19"/>
  <c r="D119" i="19"/>
  <c r="D136" i="19"/>
  <c r="D135" i="19"/>
  <c r="D134" i="19"/>
  <c r="D133" i="19"/>
  <c r="D132" i="19"/>
  <c r="D131" i="19"/>
  <c r="D130" i="19"/>
  <c r="D128" i="19"/>
  <c r="D127" i="19"/>
  <c r="D126" i="19"/>
  <c r="D125" i="19"/>
  <c r="D124" i="19"/>
  <c r="D123" i="19"/>
  <c r="D121" i="19"/>
  <c r="D120" i="19"/>
  <c r="D111" i="19"/>
  <c r="D110" i="19"/>
  <c r="D109" i="19"/>
  <c r="D108" i="19"/>
  <c r="D107" i="19"/>
  <c r="D106" i="19"/>
  <c r="D105" i="19"/>
  <c r="D103" i="19"/>
  <c r="D102" i="19"/>
  <c r="D101" i="19"/>
  <c r="D100" i="19"/>
  <c r="D99" i="19"/>
  <c r="D98" i="19"/>
  <c r="D96" i="19"/>
  <c r="D95" i="19"/>
  <c r="D67" i="19"/>
  <c r="D84" i="19"/>
  <c r="D83" i="19"/>
  <c r="D82" i="19"/>
  <c r="D81" i="19"/>
  <c r="D80" i="19"/>
  <c r="D79" i="19"/>
  <c r="D78" i="19"/>
  <c r="D76" i="19"/>
  <c r="D75" i="19"/>
  <c r="D74" i="19"/>
  <c r="D73" i="19"/>
  <c r="D72" i="19"/>
  <c r="D71" i="19"/>
  <c r="D69" i="19"/>
  <c r="D68" i="19"/>
  <c r="M308" i="16"/>
  <c r="M307" i="16"/>
  <c r="M306" i="16"/>
  <c r="M305" i="16"/>
  <c r="M304" i="16"/>
  <c r="M303" i="16"/>
  <c r="M300" i="16"/>
  <c r="M299" i="16"/>
  <c r="M298" i="16"/>
  <c r="M296" i="16"/>
  <c r="M295" i="16"/>
  <c r="M293" i="16"/>
  <c r="M292" i="16"/>
  <c r="M291" i="16"/>
  <c r="N94" i="38" l="1"/>
  <c r="N93" i="38"/>
  <c r="N95" i="38"/>
  <c r="N96" i="38"/>
  <c r="W86" i="38"/>
  <c r="L86" i="38" s="1"/>
  <c r="M56" i="30"/>
  <c r="F2" i="29"/>
  <c r="F2" i="18"/>
  <c r="F2" i="17"/>
  <c r="F2" i="5"/>
  <c r="F2" i="11"/>
  <c r="F2" i="16"/>
  <c r="R238" i="39" l="1"/>
  <c r="R256" i="39" s="1"/>
  <c r="O238" i="39"/>
  <c r="T238" i="39"/>
  <c r="T256" i="39" s="1"/>
  <c r="S238" i="39"/>
  <c r="S256" i="39" s="1"/>
  <c r="P238" i="39"/>
  <c r="P256" i="39" s="1"/>
  <c r="R243" i="39"/>
  <c r="R261" i="39" s="1"/>
  <c r="S243" i="39"/>
  <c r="S261" i="39" s="1"/>
  <c r="O243" i="39"/>
  <c r="T243" i="39"/>
  <c r="T261" i="39" s="1"/>
  <c r="P243" i="39"/>
  <c r="P261" i="39" s="1"/>
  <c r="R237" i="39"/>
  <c r="R255" i="39" s="1"/>
  <c r="S237" i="39"/>
  <c r="S255" i="39" s="1"/>
  <c r="P237" i="39"/>
  <c r="P255" i="39" s="1"/>
  <c r="O237" i="39"/>
  <c r="T237" i="39"/>
  <c r="T255" i="39" s="1"/>
  <c r="O233" i="39"/>
  <c r="T233" i="39"/>
  <c r="T251" i="39" s="1"/>
  <c r="P233" i="39"/>
  <c r="P251" i="39" s="1"/>
  <c r="S233" i="39"/>
  <c r="S251" i="39" s="1"/>
  <c r="R233" i="39"/>
  <c r="R251" i="39" s="1"/>
  <c r="O241" i="39"/>
  <c r="P241" i="39"/>
  <c r="P259" i="39" s="1"/>
  <c r="T241" i="39"/>
  <c r="T259" i="39" s="1"/>
  <c r="S241" i="39"/>
  <c r="S259" i="39" s="1"/>
  <c r="R241" i="39"/>
  <c r="R259" i="39" s="1"/>
  <c r="P244" i="39"/>
  <c r="P262" i="39" s="1"/>
  <c r="R244" i="39"/>
  <c r="R262" i="39" s="1"/>
  <c r="O244" i="39"/>
  <c r="T244" i="39"/>
  <c r="T262" i="39" s="1"/>
  <c r="S244" i="39"/>
  <c r="S262" i="39" s="1"/>
  <c r="O242" i="39"/>
  <c r="R242" i="39"/>
  <c r="R260" i="39" s="1"/>
  <c r="S242" i="39"/>
  <c r="S260" i="39" s="1"/>
  <c r="T242" i="39"/>
  <c r="T260" i="39" s="1"/>
  <c r="P242" i="39"/>
  <c r="P260" i="39" s="1"/>
  <c r="R234" i="39"/>
  <c r="R252" i="39" s="1"/>
  <c r="T234" i="39"/>
  <c r="T252" i="39" s="1"/>
  <c r="S234" i="39"/>
  <c r="S252" i="39" s="1"/>
  <c r="O234" i="39"/>
  <c r="P234" i="39"/>
  <c r="P252" i="39" s="1"/>
  <c r="S245" i="39"/>
  <c r="S263" i="39" s="1"/>
  <c r="O245" i="39"/>
  <c r="R245" i="39"/>
  <c r="R263" i="39" s="1"/>
  <c r="T245" i="39"/>
  <c r="T263" i="39" s="1"/>
  <c r="P245" i="39"/>
  <c r="P263" i="39" s="1"/>
  <c r="S254" i="39"/>
  <c r="T236" i="39"/>
  <c r="T254" i="39" s="1"/>
  <c r="R236" i="39"/>
  <c r="R254" i="39" s="1"/>
  <c r="P236" i="39"/>
  <c r="P254" i="39" s="1"/>
  <c r="O236" i="39"/>
  <c r="T235" i="39"/>
  <c r="T253" i="39" s="1"/>
  <c r="O235" i="39"/>
  <c r="S235" i="39"/>
  <c r="S253" i="39" s="1"/>
  <c r="R235" i="39"/>
  <c r="R253" i="39" s="1"/>
  <c r="P235" i="39"/>
  <c r="P253" i="39" s="1"/>
  <c r="O118" i="38"/>
  <c r="V118" i="38"/>
  <c r="V125" i="38" s="1"/>
  <c r="V176" i="38" s="1"/>
  <c r="V192" i="38" s="1"/>
  <c r="V78" i="11" s="1"/>
  <c r="S118" i="38"/>
  <c r="S125" i="38" s="1"/>
  <c r="T118" i="38"/>
  <c r="T125" i="38" s="1"/>
  <c r="R118" i="38"/>
  <c r="R125" i="38" s="1"/>
  <c r="U118" i="38"/>
  <c r="U125" i="38" s="1"/>
  <c r="U176" i="38" s="1"/>
  <c r="U192" i="38" s="1"/>
  <c r="U78" i="11" s="1"/>
  <c r="P118" i="38"/>
  <c r="P125" i="38" s="1"/>
  <c r="P169" i="38" s="1"/>
  <c r="K87" i="19"/>
  <c r="K86" i="19"/>
  <c r="AJ17" i="21"/>
  <c r="P401" i="39" l="1"/>
  <c r="P367" i="39"/>
  <c r="P333" i="39"/>
  <c r="P350" i="39"/>
  <c r="P384" i="39"/>
  <c r="P406" i="39"/>
  <c r="P355" i="39"/>
  <c r="P338" i="39"/>
  <c r="P389" i="39"/>
  <c r="P372" i="39"/>
  <c r="T352" i="39"/>
  <c r="T403" i="39"/>
  <c r="T386" i="39"/>
  <c r="T335" i="39"/>
  <c r="T369" i="39"/>
  <c r="S371" i="39"/>
  <c r="S337" i="39"/>
  <c r="S388" i="39"/>
  <c r="S405" i="39"/>
  <c r="S354" i="39"/>
  <c r="P402" i="39"/>
  <c r="P351" i="39"/>
  <c r="P334" i="39"/>
  <c r="P385" i="39"/>
  <c r="P368" i="39"/>
  <c r="P370" i="39"/>
  <c r="P353" i="39"/>
  <c r="P336" i="39"/>
  <c r="P404" i="39"/>
  <c r="P387" i="39"/>
  <c r="S380" i="39"/>
  <c r="S363" i="39"/>
  <c r="S397" i="39"/>
  <c r="S329" i="39"/>
  <c r="S346" i="39"/>
  <c r="T365" i="39"/>
  <c r="T399" i="39"/>
  <c r="T382" i="39"/>
  <c r="T348" i="39"/>
  <c r="T331" i="39"/>
  <c r="T389" i="39"/>
  <c r="T372" i="39"/>
  <c r="T406" i="39"/>
  <c r="T338" i="39"/>
  <c r="T355" i="39"/>
  <c r="S384" i="39"/>
  <c r="S333" i="39"/>
  <c r="S401" i="39"/>
  <c r="S367" i="39"/>
  <c r="S350" i="39"/>
  <c r="S335" i="39"/>
  <c r="S386" i="39"/>
  <c r="S369" i="39"/>
  <c r="S352" i="39"/>
  <c r="S403" i="39"/>
  <c r="T337" i="39"/>
  <c r="T405" i="39"/>
  <c r="T371" i="39"/>
  <c r="T354" i="39"/>
  <c r="T388" i="39"/>
  <c r="T387" i="39"/>
  <c r="T370" i="39"/>
  <c r="T336" i="39"/>
  <c r="T404" i="39"/>
  <c r="T353" i="39"/>
  <c r="R365" i="39"/>
  <c r="R348" i="39"/>
  <c r="R331" i="39"/>
  <c r="R382" i="39"/>
  <c r="R399" i="39"/>
  <c r="T351" i="39"/>
  <c r="T368" i="39"/>
  <c r="T334" i="39"/>
  <c r="T385" i="39"/>
  <c r="T402" i="39"/>
  <c r="R389" i="39"/>
  <c r="R355" i="39"/>
  <c r="R372" i="39"/>
  <c r="R338" i="39"/>
  <c r="R406" i="39"/>
  <c r="R369" i="39"/>
  <c r="R386" i="39"/>
  <c r="R335" i="39"/>
  <c r="R352" i="39"/>
  <c r="R403" i="39"/>
  <c r="R330" i="39"/>
  <c r="R381" i="39"/>
  <c r="R347" i="39"/>
  <c r="R364" i="39"/>
  <c r="R398" i="39"/>
  <c r="R349" i="39"/>
  <c r="R332" i="39"/>
  <c r="R400" i="39"/>
  <c r="R383" i="39"/>
  <c r="R366" i="39"/>
  <c r="R371" i="39"/>
  <c r="R337" i="39"/>
  <c r="R388" i="39"/>
  <c r="R405" i="39"/>
  <c r="R354" i="39"/>
  <c r="T347" i="39"/>
  <c r="T364" i="39"/>
  <c r="T330" i="39"/>
  <c r="T398" i="39"/>
  <c r="T381" i="39"/>
  <c r="S353" i="39"/>
  <c r="S370" i="39"/>
  <c r="S387" i="39"/>
  <c r="S404" i="39"/>
  <c r="S336" i="39"/>
  <c r="T349" i="39"/>
  <c r="T332" i="39"/>
  <c r="T366" i="39"/>
  <c r="T383" i="39"/>
  <c r="T400" i="39"/>
  <c r="W288" i="39"/>
  <c r="P346" i="39"/>
  <c r="P363" i="39"/>
  <c r="P380" i="39"/>
  <c r="P329" i="39"/>
  <c r="P397" i="39"/>
  <c r="S338" i="39"/>
  <c r="S372" i="39"/>
  <c r="S355" i="39"/>
  <c r="S389" i="39"/>
  <c r="S406" i="39"/>
  <c r="P400" i="39"/>
  <c r="P332" i="39"/>
  <c r="P366" i="39"/>
  <c r="P349" i="39"/>
  <c r="P383" i="39"/>
  <c r="P388" i="39"/>
  <c r="P337" i="39"/>
  <c r="P354" i="39"/>
  <c r="P405" i="39"/>
  <c r="P371" i="39"/>
  <c r="R336" i="39"/>
  <c r="R404" i="39"/>
  <c r="R387" i="39"/>
  <c r="R353" i="39"/>
  <c r="R370" i="39"/>
  <c r="R329" i="39"/>
  <c r="R380" i="39"/>
  <c r="R363" i="39"/>
  <c r="R346" i="39"/>
  <c r="R397" i="39"/>
  <c r="R384" i="39"/>
  <c r="R401" i="39"/>
  <c r="R333" i="39"/>
  <c r="R367" i="39"/>
  <c r="R350" i="39"/>
  <c r="S349" i="39"/>
  <c r="S400" i="39"/>
  <c r="S332" i="39"/>
  <c r="S366" i="39"/>
  <c r="S383" i="39"/>
  <c r="R368" i="39"/>
  <c r="R402" i="39"/>
  <c r="R385" i="39"/>
  <c r="R351" i="39"/>
  <c r="R334" i="39"/>
  <c r="P330" i="39"/>
  <c r="P381" i="39"/>
  <c r="P347" i="39"/>
  <c r="P364" i="39"/>
  <c r="P398" i="39"/>
  <c r="P348" i="39"/>
  <c r="P365" i="39"/>
  <c r="P399" i="39"/>
  <c r="P331" i="39"/>
  <c r="P382" i="39"/>
  <c r="P335" i="39"/>
  <c r="P403" i="39"/>
  <c r="P369" i="39"/>
  <c r="P352" i="39"/>
  <c r="P386" i="39"/>
  <c r="T346" i="39"/>
  <c r="T363" i="39"/>
  <c r="T329" i="39"/>
  <c r="T380" i="39"/>
  <c r="T397" i="39"/>
  <c r="T350" i="39"/>
  <c r="T384" i="39"/>
  <c r="T401" i="39"/>
  <c r="T333" i="39"/>
  <c r="T367" i="39"/>
  <c r="S334" i="39"/>
  <c r="S385" i="39"/>
  <c r="S368" i="39"/>
  <c r="S402" i="39"/>
  <c r="S351" i="39"/>
  <c r="S347" i="39"/>
  <c r="S364" i="39"/>
  <c r="S381" i="39"/>
  <c r="S330" i="39"/>
  <c r="S398" i="39"/>
  <c r="S382" i="39"/>
  <c r="S331" i="39"/>
  <c r="S365" i="39"/>
  <c r="S348" i="39"/>
  <c r="S399" i="39"/>
  <c r="U528" i="39"/>
  <c r="S528" i="39"/>
  <c r="V528" i="39"/>
  <c r="P528" i="39"/>
  <c r="P618" i="39" s="1"/>
  <c r="P222" i="19" s="1"/>
  <c r="O528" i="39"/>
  <c r="T528" i="39"/>
  <c r="R528" i="39"/>
  <c r="U531" i="39"/>
  <c r="V531" i="39"/>
  <c r="T531" i="39"/>
  <c r="R531" i="39"/>
  <c r="O531" i="39"/>
  <c r="P531" i="39"/>
  <c r="P621" i="39" s="1"/>
  <c r="P225" i="19" s="1"/>
  <c r="S531" i="39"/>
  <c r="P582" i="39"/>
  <c r="R582" i="39"/>
  <c r="T582" i="39"/>
  <c r="T618" i="39" s="1"/>
  <c r="T222" i="19" s="1"/>
  <c r="V582" i="39"/>
  <c r="O582" i="39"/>
  <c r="S582" i="39"/>
  <c r="U582" i="39"/>
  <c r="P566" i="39"/>
  <c r="U566" i="39"/>
  <c r="O566" i="39"/>
  <c r="T566" i="39"/>
  <c r="V566" i="39"/>
  <c r="R566" i="39"/>
  <c r="S566" i="39"/>
  <c r="S620" i="39" s="1"/>
  <c r="S224" i="19" s="1"/>
  <c r="R529" i="39"/>
  <c r="U529" i="39"/>
  <c r="O529" i="39"/>
  <c r="T529" i="39"/>
  <c r="S529" i="39"/>
  <c r="P529" i="39"/>
  <c r="P619" i="39" s="1"/>
  <c r="P223" i="19" s="1"/>
  <c r="V529" i="39"/>
  <c r="V585" i="39"/>
  <c r="S585" i="39"/>
  <c r="U585" i="39"/>
  <c r="P585" i="39"/>
  <c r="T585" i="39"/>
  <c r="T621" i="39" s="1"/>
  <c r="T225" i="19" s="1"/>
  <c r="R585" i="39"/>
  <c r="O585" i="39"/>
  <c r="S564" i="39"/>
  <c r="S618" i="39" s="1"/>
  <c r="S222" i="19" s="1"/>
  <c r="U564" i="39"/>
  <c r="O564" i="39"/>
  <c r="P564" i="39"/>
  <c r="R564" i="39"/>
  <c r="T564" i="39"/>
  <c r="V564" i="39"/>
  <c r="S584" i="39"/>
  <c r="R584" i="39"/>
  <c r="O584" i="39"/>
  <c r="T584" i="39"/>
  <c r="T620" i="39" s="1"/>
  <c r="T224" i="19" s="1"/>
  <c r="V584" i="39"/>
  <c r="P584" i="39"/>
  <c r="U584" i="39"/>
  <c r="P583" i="39"/>
  <c r="S583" i="39"/>
  <c r="U583" i="39"/>
  <c r="R583" i="39"/>
  <c r="T583" i="39"/>
  <c r="T619" i="39" s="1"/>
  <c r="T223" i="19" s="1"/>
  <c r="V583" i="39"/>
  <c r="O583" i="39"/>
  <c r="T549" i="39"/>
  <c r="V549" i="39"/>
  <c r="S549" i="39"/>
  <c r="O549" i="39"/>
  <c r="U549" i="39"/>
  <c r="R549" i="39"/>
  <c r="R621" i="39" s="1"/>
  <c r="R225" i="19" s="1"/>
  <c r="P549" i="39"/>
  <c r="S546" i="39"/>
  <c r="U546" i="39"/>
  <c r="V546" i="39"/>
  <c r="P546" i="39"/>
  <c r="O546" i="39"/>
  <c r="R546" i="39"/>
  <c r="R618" i="39" s="1"/>
  <c r="R222" i="19" s="1"/>
  <c r="T546" i="39"/>
  <c r="S548" i="39"/>
  <c r="O548" i="39"/>
  <c r="U548" i="39"/>
  <c r="P548" i="39"/>
  <c r="R548" i="39"/>
  <c r="R620" i="39" s="1"/>
  <c r="R224" i="19" s="1"/>
  <c r="V548" i="39"/>
  <c r="T548" i="39"/>
  <c r="S565" i="39"/>
  <c r="S619" i="39" s="1"/>
  <c r="S223" i="19" s="1"/>
  <c r="U565" i="39"/>
  <c r="O565" i="39"/>
  <c r="T565" i="39"/>
  <c r="P565" i="39"/>
  <c r="V565" i="39"/>
  <c r="R565" i="39"/>
  <c r="T567" i="39"/>
  <c r="O567" i="39"/>
  <c r="V567" i="39"/>
  <c r="S567" i="39"/>
  <c r="S621" i="39" s="1"/>
  <c r="S225" i="19" s="1"/>
  <c r="U567" i="39"/>
  <c r="P567" i="39"/>
  <c r="R567" i="39"/>
  <c r="V530" i="39"/>
  <c r="S530" i="39"/>
  <c r="R530" i="39"/>
  <c r="U530" i="39"/>
  <c r="P530" i="39"/>
  <c r="P620" i="39" s="1"/>
  <c r="P224" i="19" s="1"/>
  <c r="O530" i="39"/>
  <c r="T530" i="39"/>
  <c r="R547" i="39"/>
  <c r="R619" i="39" s="1"/>
  <c r="R223" i="19" s="1"/>
  <c r="T547" i="39"/>
  <c r="V547" i="39"/>
  <c r="S547" i="39"/>
  <c r="P547" i="39"/>
  <c r="U547" i="39"/>
  <c r="O547" i="39"/>
  <c r="U183" i="38"/>
  <c r="R169" i="38"/>
  <c r="R199" i="38" s="1"/>
  <c r="R119" i="11" s="1"/>
  <c r="R176" i="38"/>
  <c r="R192" i="38" s="1"/>
  <c r="R78" i="11" s="1"/>
  <c r="O253" i="39"/>
  <c r="W235" i="39"/>
  <c r="O259" i="39"/>
  <c r="W241" i="39"/>
  <c r="T169" i="38"/>
  <c r="T199" i="38" s="1"/>
  <c r="T119" i="11" s="1"/>
  <c r="T176" i="38"/>
  <c r="T192" i="38" s="1"/>
  <c r="T78" i="11" s="1"/>
  <c r="O262" i="39"/>
  <c r="W244" i="39"/>
  <c r="O261" i="39"/>
  <c r="W243" i="39"/>
  <c r="O256" i="39"/>
  <c r="W238" i="39"/>
  <c r="S176" i="38"/>
  <c r="S192" i="38" s="1"/>
  <c r="S78" i="11" s="1"/>
  <c r="S169" i="38"/>
  <c r="S199" i="38" s="1"/>
  <c r="S119" i="11" s="1"/>
  <c r="S71" i="39" s="1"/>
  <c r="S106" i="39" s="1"/>
  <c r="O254" i="39"/>
  <c r="W254" i="39" s="1"/>
  <c r="W236" i="39"/>
  <c r="O263" i="39"/>
  <c r="W245" i="39"/>
  <c r="O252" i="39"/>
  <c r="W234" i="39"/>
  <c r="O260" i="39"/>
  <c r="W242" i="39"/>
  <c r="O251" i="39"/>
  <c r="W233" i="39"/>
  <c r="V183" i="38"/>
  <c r="O255" i="39"/>
  <c r="W289" i="39" s="1"/>
  <c r="W237" i="39"/>
  <c r="P183" i="38"/>
  <c r="O125" i="38"/>
  <c r="W118" i="38"/>
  <c r="G2" i="5"/>
  <c r="H2" i="29"/>
  <c r="G2" i="29"/>
  <c r="R71" i="39" l="1"/>
  <c r="T71" i="39"/>
  <c r="W397" i="39"/>
  <c r="P482" i="39" s="1"/>
  <c r="W363" i="39"/>
  <c r="W380" i="39"/>
  <c r="S465" i="39" s="1"/>
  <c r="O406" i="39"/>
  <c r="W406" i="39" s="1"/>
  <c r="O389" i="39"/>
  <c r="W389" i="39" s="1"/>
  <c r="O355" i="39"/>
  <c r="W355" i="39" s="1"/>
  <c r="O372" i="39"/>
  <c r="W372" i="39" s="1"/>
  <c r="O338" i="39"/>
  <c r="W338" i="39" s="1"/>
  <c r="W297" i="39"/>
  <c r="W295" i="39"/>
  <c r="O370" i="39"/>
  <c r="W370" i="39" s="1"/>
  <c r="O353" i="39"/>
  <c r="W353" i="39" s="1"/>
  <c r="O336" i="39"/>
  <c r="W336" i="39" s="1"/>
  <c r="O387" i="39"/>
  <c r="W387" i="39" s="1"/>
  <c r="O404" i="39"/>
  <c r="W404" i="39" s="1"/>
  <c r="W259" i="39"/>
  <c r="W346" i="39"/>
  <c r="W291" i="39"/>
  <c r="O383" i="39"/>
  <c r="W383" i="39" s="1"/>
  <c r="O349" i="39"/>
  <c r="W349" i="39" s="1"/>
  <c r="O366" i="39"/>
  <c r="W366" i="39" s="1"/>
  <c r="O400" i="39"/>
  <c r="W400" i="39" s="1"/>
  <c r="O332" i="39"/>
  <c r="W332" i="39" s="1"/>
  <c r="O364" i="39"/>
  <c r="W364" i="39" s="1"/>
  <c r="O398" i="39"/>
  <c r="W398" i="39" s="1"/>
  <c r="O330" i="39"/>
  <c r="W330" i="39" s="1"/>
  <c r="O381" i="39"/>
  <c r="W381" i="39" s="1"/>
  <c r="O347" i="39"/>
  <c r="W347" i="39" s="1"/>
  <c r="O367" i="39"/>
  <c r="W367" i="39" s="1"/>
  <c r="O333" i="39"/>
  <c r="W333" i="39" s="1"/>
  <c r="O384" i="39"/>
  <c r="W384" i="39" s="1"/>
  <c r="O350" i="39"/>
  <c r="W350" i="39" s="1"/>
  <c r="O401" i="39"/>
  <c r="W401" i="39" s="1"/>
  <c r="W294" i="39"/>
  <c r="O386" i="39"/>
  <c r="W386" i="39" s="1"/>
  <c r="O352" i="39"/>
  <c r="W352" i="39" s="1"/>
  <c r="O335" i="39"/>
  <c r="W335" i="39" s="1"/>
  <c r="O369" i="39"/>
  <c r="W369" i="39" s="1"/>
  <c r="O403" i="39"/>
  <c r="W403" i="39" s="1"/>
  <c r="W290" i="39"/>
  <c r="O399" i="39"/>
  <c r="W399" i="39" s="1"/>
  <c r="O382" i="39"/>
  <c r="W382" i="39" s="1"/>
  <c r="O348" i="39"/>
  <c r="W348" i="39" s="1"/>
  <c r="O365" i="39"/>
  <c r="W365" i="39" s="1"/>
  <c r="O331" i="39"/>
  <c r="W331" i="39" s="1"/>
  <c r="W296" i="39"/>
  <c r="O354" i="39"/>
  <c r="W354" i="39" s="1"/>
  <c r="O371" i="39"/>
  <c r="W371" i="39" s="1"/>
  <c r="O388" i="39"/>
  <c r="W388" i="39" s="1"/>
  <c r="O337" i="39"/>
  <c r="W337" i="39" s="1"/>
  <c r="O405" i="39"/>
  <c r="W405" i="39" s="1"/>
  <c r="W292" i="39"/>
  <c r="W329" i="39"/>
  <c r="W528" i="39"/>
  <c r="W585" i="39"/>
  <c r="W546" i="39"/>
  <c r="W565" i="39"/>
  <c r="W530" i="39"/>
  <c r="W252" i="39"/>
  <c r="W256" i="39"/>
  <c r="W262" i="39"/>
  <c r="S512" i="39"/>
  <c r="S602" i="39" s="1"/>
  <c r="T512" i="39"/>
  <c r="T602" i="39" s="1"/>
  <c r="O512" i="39"/>
  <c r="O602" i="39" s="1"/>
  <c r="R512" i="39"/>
  <c r="V512" i="39"/>
  <c r="U512" i="39"/>
  <c r="U602" i="39" s="1"/>
  <c r="P512" i="39"/>
  <c r="W253" i="39"/>
  <c r="W584" i="39"/>
  <c r="W531" i="39"/>
  <c r="W255" i="39"/>
  <c r="W263" i="39"/>
  <c r="U513" i="39"/>
  <c r="U603" i="39" s="1"/>
  <c r="V513" i="39"/>
  <c r="R513" i="39"/>
  <c r="R603" i="39" s="1"/>
  <c r="T513" i="39"/>
  <c r="T603" i="39" s="1"/>
  <c r="P513" i="39"/>
  <c r="S513" i="39"/>
  <c r="S603" i="39" s="1"/>
  <c r="O513" i="39"/>
  <c r="O603" i="39" s="1"/>
  <c r="W547" i="39"/>
  <c r="W548" i="39"/>
  <c r="W549" i="39"/>
  <c r="W564" i="39"/>
  <c r="W529" i="39"/>
  <c r="W261" i="39"/>
  <c r="R511" i="39"/>
  <c r="R601" i="39" s="1"/>
  <c r="U511" i="39"/>
  <c r="U601" i="39" s="1"/>
  <c r="P511" i="39"/>
  <c r="P601" i="39" s="1"/>
  <c r="S511" i="39"/>
  <c r="S601" i="39" s="1"/>
  <c r="V511" i="39"/>
  <c r="T511" i="39"/>
  <c r="T601" i="39" s="1"/>
  <c r="O511" i="39"/>
  <c r="O601" i="39" s="1"/>
  <c r="W566" i="39"/>
  <c r="W251" i="39"/>
  <c r="W567" i="39"/>
  <c r="W583" i="39"/>
  <c r="W582" i="39"/>
  <c r="W260" i="39"/>
  <c r="R510" i="39"/>
  <c r="R600" i="39" s="1"/>
  <c r="U510" i="39"/>
  <c r="U600" i="39" s="1"/>
  <c r="S510" i="39"/>
  <c r="S600" i="39" s="1"/>
  <c r="V510" i="39"/>
  <c r="T510" i="39"/>
  <c r="T600" i="39" s="1"/>
  <c r="O510" i="39"/>
  <c r="O600" i="39" s="1"/>
  <c r="P510" i="39"/>
  <c r="P600" i="39" s="1"/>
  <c r="O169" i="38"/>
  <c r="W125" i="38"/>
  <c r="R183" i="38"/>
  <c r="S183" i="38"/>
  <c r="T183" i="38"/>
  <c r="H2" i="18"/>
  <c r="G2" i="18"/>
  <c r="H2" i="17"/>
  <c r="G2" i="17"/>
  <c r="H2" i="5"/>
  <c r="H2" i="11"/>
  <c r="G2" i="11"/>
  <c r="H2" i="16"/>
  <c r="G2" i="16"/>
  <c r="U454" i="39" l="1"/>
  <c r="V454" i="39"/>
  <c r="V541" i="39" s="1"/>
  <c r="P454" i="39"/>
  <c r="O454" i="39"/>
  <c r="R454" i="39"/>
  <c r="R541" i="39" s="1"/>
  <c r="R613" i="39" s="1"/>
  <c r="R217" i="19" s="1"/>
  <c r="S454" i="39"/>
  <c r="S541" i="39" s="1"/>
  <c r="T454" i="39"/>
  <c r="T541" i="39" s="1"/>
  <c r="S452" i="39"/>
  <c r="S539" i="39" s="1"/>
  <c r="T452" i="39"/>
  <c r="T539" i="39" s="1"/>
  <c r="U452" i="39"/>
  <c r="U539" i="39" s="1"/>
  <c r="V452" i="39"/>
  <c r="O452" i="39"/>
  <c r="P452" i="39"/>
  <c r="P539" i="39" s="1"/>
  <c r="R452" i="39"/>
  <c r="R539" i="39" s="1"/>
  <c r="R611" i="39" s="1"/>
  <c r="R215" i="19" s="1"/>
  <c r="R451" i="39"/>
  <c r="R538" i="39" s="1"/>
  <c r="R610" i="39" s="1"/>
  <c r="R214" i="19" s="1"/>
  <c r="S451" i="39"/>
  <c r="S538" i="39" s="1"/>
  <c r="S727" i="39" s="1"/>
  <c r="T451" i="39"/>
  <c r="T538" i="39" s="1"/>
  <c r="T727" i="39" s="1"/>
  <c r="U451" i="39"/>
  <c r="U538" i="39" s="1"/>
  <c r="U727" i="39" s="1"/>
  <c r="V451" i="39"/>
  <c r="O451" i="39"/>
  <c r="P451" i="39"/>
  <c r="P538" i="39" s="1"/>
  <c r="P727" i="39" s="1"/>
  <c r="P450" i="39"/>
  <c r="P537" i="39" s="1"/>
  <c r="R450" i="39"/>
  <c r="R537" i="39" s="1"/>
  <c r="R609" i="39" s="1"/>
  <c r="R213" i="19" s="1"/>
  <c r="S450" i="39"/>
  <c r="S537" i="39" s="1"/>
  <c r="T450" i="39"/>
  <c r="T537" i="39" s="1"/>
  <c r="U450" i="39"/>
  <c r="U537" i="39" s="1"/>
  <c r="V450" i="39"/>
  <c r="O450" i="39"/>
  <c r="V455" i="39"/>
  <c r="V542" i="39" s="1"/>
  <c r="O455" i="39"/>
  <c r="R455" i="39"/>
  <c r="R542" i="39" s="1"/>
  <c r="R614" i="39" s="1"/>
  <c r="R218" i="19" s="1"/>
  <c r="P455" i="39"/>
  <c r="P542" i="39" s="1"/>
  <c r="S455" i="39"/>
  <c r="T455" i="39"/>
  <c r="T542" i="39" s="1"/>
  <c r="U455" i="39"/>
  <c r="O448" i="39"/>
  <c r="V448" i="39"/>
  <c r="S448" i="39"/>
  <c r="T448" i="39"/>
  <c r="U448" i="39"/>
  <c r="P448" i="39"/>
  <c r="R448" i="39"/>
  <c r="O456" i="39"/>
  <c r="P456" i="39"/>
  <c r="R456" i="39"/>
  <c r="S456" i="39"/>
  <c r="T456" i="39"/>
  <c r="U456" i="39"/>
  <c r="V456" i="39"/>
  <c r="O449" i="39"/>
  <c r="P449" i="39"/>
  <c r="R449" i="39"/>
  <c r="S449" i="39"/>
  <c r="T449" i="39"/>
  <c r="U449" i="39"/>
  <c r="V449" i="39"/>
  <c r="O457" i="39"/>
  <c r="P457" i="39"/>
  <c r="R457" i="39"/>
  <c r="S457" i="39"/>
  <c r="T457" i="39"/>
  <c r="U457" i="39"/>
  <c r="V457" i="39"/>
  <c r="T106" i="39"/>
  <c r="R106" i="39"/>
  <c r="T465" i="39"/>
  <c r="P465" i="39"/>
  <c r="P638" i="39"/>
  <c r="P245" i="19" s="1"/>
  <c r="P80" i="19" s="1"/>
  <c r="P602" i="39"/>
  <c r="V602" i="39"/>
  <c r="V638" i="39"/>
  <c r="V245" i="19" s="1"/>
  <c r="R638" i="39"/>
  <c r="R245" i="19" s="1"/>
  <c r="R602" i="39"/>
  <c r="V637" i="39"/>
  <c r="V244" i="19" s="1"/>
  <c r="V601" i="39"/>
  <c r="V600" i="39"/>
  <c r="V636" i="39"/>
  <c r="V243" i="19" s="1"/>
  <c r="P639" i="39"/>
  <c r="P246" i="19" s="1"/>
  <c r="P81" i="19" s="1"/>
  <c r="P603" i="39"/>
  <c r="V603" i="39"/>
  <c r="V639" i="39"/>
  <c r="V246" i="19" s="1"/>
  <c r="O621" i="39"/>
  <c r="O225" i="19" s="1"/>
  <c r="O81" i="19" s="1"/>
  <c r="V537" i="39"/>
  <c r="P541" i="39"/>
  <c r="U541" i="39"/>
  <c r="U542" i="39"/>
  <c r="V539" i="39"/>
  <c r="V538" i="39"/>
  <c r="V727" i="39" s="1"/>
  <c r="V465" i="39"/>
  <c r="O482" i="39"/>
  <c r="R482" i="39"/>
  <c r="V482" i="39"/>
  <c r="P637" i="39"/>
  <c r="P244" i="19" s="1"/>
  <c r="P79" i="19" s="1"/>
  <c r="P636" i="39"/>
  <c r="P243" i="19" s="1"/>
  <c r="P78" i="19" s="1"/>
  <c r="U465" i="39"/>
  <c r="O465" i="39"/>
  <c r="R465" i="39"/>
  <c r="T482" i="39"/>
  <c r="S482" i="39"/>
  <c r="U482" i="39"/>
  <c r="U473" i="39"/>
  <c r="T473" i="39"/>
  <c r="V473" i="39"/>
  <c r="P473" i="39"/>
  <c r="R473" i="39"/>
  <c r="S473" i="39"/>
  <c r="O473" i="39"/>
  <c r="R472" i="39"/>
  <c r="R560" i="39" s="1"/>
  <c r="T472" i="39"/>
  <c r="T560" i="39" s="1"/>
  <c r="P472" i="39"/>
  <c r="P560" i="39" s="1"/>
  <c r="U472" i="39"/>
  <c r="U560" i="39" s="1"/>
  <c r="V472" i="39"/>
  <c r="V560" i="39" s="1"/>
  <c r="S472" i="39"/>
  <c r="S560" i="39" s="1"/>
  <c r="S614" i="39" s="1"/>
  <c r="S218" i="19" s="1"/>
  <c r="O472" i="39"/>
  <c r="O483" i="39"/>
  <c r="U483" i="39"/>
  <c r="T483" i="39"/>
  <c r="S483" i="39"/>
  <c r="V483" i="39"/>
  <c r="R483" i="39"/>
  <c r="P483" i="39"/>
  <c r="R468" i="39"/>
  <c r="R556" i="39" s="1"/>
  <c r="V468" i="39"/>
  <c r="V556" i="39" s="1"/>
  <c r="V744" i="39" s="1"/>
  <c r="T468" i="39"/>
  <c r="T556" i="39" s="1"/>
  <c r="T744" i="39" s="1"/>
  <c r="O468" i="39"/>
  <c r="P468" i="39"/>
  <c r="P556" i="39" s="1"/>
  <c r="U468" i="39"/>
  <c r="U556" i="39" s="1"/>
  <c r="U744" i="39" s="1"/>
  <c r="S468" i="39"/>
  <c r="S556" i="39" s="1"/>
  <c r="S610" i="39" s="1"/>
  <c r="S214" i="19" s="1"/>
  <c r="S432" i="39"/>
  <c r="P432" i="39"/>
  <c r="U432" i="39"/>
  <c r="R432" i="39"/>
  <c r="V432" i="39"/>
  <c r="T432" i="39"/>
  <c r="O432" i="39"/>
  <c r="V416" i="39"/>
  <c r="V501" i="39" s="1"/>
  <c r="S416" i="39"/>
  <c r="S501" i="39" s="1"/>
  <c r="O416" i="39"/>
  <c r="R416" i="39"/>
  <c r="R501" i="39" s="1"/>
  <c r="U416" i="39"/>
  <c r="U501" i="39" s="1"/>
  <c r="P416" i="39"/>
  <c r="P501" i="39" s="1"/>
  <c r="T416" i="39"/>
  <c r="T501" i="39" s="1"/>
  <c r="R437" i="39"/>
  <c r="R523" i="39" s="1"/>
  <c r="T437" i="39"/>
  <c r="T523" i="39" s="1"/>
  <c r="U437" i="39"/>
  <c r="U523" i="39" s="1"/>
  <c r="S437" i="39"/>
  <c r="S523" i="39" s="1"/>
  <c r="P437" i="39"/>
  <c r="P523" i="39" s="1"/>
  <c r="P613" i="39" s="1"/>
  <c r="P217" i="19" s="1"/>
  <c r="O437" i="39"/>
  <c r="V437" i="39"/>
  <c r="V523" i="39" s="1"/>
  <c r="T469" i="39"/>
  <c r="T557" i="39" s="1"/>
  <c r="P469" i="39"/>
  <c r="P557" i="39" s="1"/>
  <c r="U469" i="39"/>
  <c r="U557" i="39" s="1"/>
  <c r="R469" i="39"/>
  <c r="R557" i="39" s="1"/>
  <c r="S469" i="39"/>
  <c r="S557" i="39" s="1"/>
  <c r="S611" i="39" s="1"/>
  <c r="S215" i="19" s="1"/>
  <c r="V469" i="39"/>
  <c r="V557" i="39" s="1"/>
  <c r="O469" i="39"/>
  <c r="O415" i="39"/>
  <c r="T415" i="39"/>
  <c r="P415" i="39"/>
  <c r="U415" i="39"/>
  <c r="R415" i="39"/>
  <c r="V415" i="39"/>
  <c r="S415" i="39"/>
  <c r="V466" i="39"/>
  <c r="R466" i="39"/>
  <c r="P466" i="39"/>
  <c r="T466" i="39"/>
  <c r="O466" i="39"/>
  <c r="S466" i="39"/>
  <c r="U466" i="39"/>
  <c r="U490" i="39"/>
  <c r="R490" i="39"/>
  <c r="V490" i="39"/>
  <c r="O490" i="39"/>
  <c r="S490" i="39"/>
  <c r="P490" i="39"/>
  <c r="T490" i="39"/>
  <c r="U471" i="39"/>
  <c r="U559" i="39" s="1"/>
  <c r="S471" i="39"/>
  <c r="S559" i="39" s="1"/>
  <c r="S613" i="39" s="1"/>
  <c r="S217" i="19" s="1"/>
  <c r="T471" i="39"/>
  <c r="T559" i="39" s="1"/>
  <c r="R471" i="39"/>
  <c r="R559" i="39" s="1"/>
  <c r="O471" i="39"/>
  <c r="V471" i="39"/>
  <c r="V559" i="39" s="1"/>
  <c r="P471" i="39"/>
  <c r="P559" i="39" s="1"/>
  <c r="S418" i="39"/>
  <c r="S503" i="39" s="1"/>
  <c r="U418" i="39"/>
  <c r="U503" i="39" s="1"/>
  <c r="P418" i="39"/>
  <c r="P503" i="39" s="1"/>
  <c r="T418" i="39"/>
  <c r="T503" i="39" s="1"/>
  <c r="V418" i="39"/>
  <c r="V503" i="39" s="1"/>
  <c r="R418" i="39"/>
  <c r="R503" i="39" s="1"/>
  <c r="O418" i="39"/>
  <c r="V421" i="39"/>
  <c r="V506" i="39" s="1"/>
  <c r="P421" i="39"/>
  <c r="P506" i="39" s="1"/>
  <c r="S421" i="39"/>
  <c r="S506" i="39" s="1"/>
  <c r="T421" i="39"/>
  <c r="T506" i="39" s="1"/>
  <c r="R421" i="39"/>
  <c r="R506" i="39" s="1"/>
  <c r="U421" i="39"/>
  <c r="U506" i="39" s="1"/>
  <c r="O421" i="39"/>
  <c r="W298" i="39"/>
  <c r="O356" i="39"/>
  <c r="O390" i="39"/>
  <c r="O407" i="39"/>
  <c r="O373" i="39"/>
  <c r="O339" i="39"/>
  <c r="S420" i="39"/>
  <c r="S505" i="39" s="1"/>
  <c r="R420" i="39"/>
  <c r="R505" i="39" s="1"/>
  <c r="T420" i="39"/>
  <c r="T505" i="39" s="1"/>
  <c r="O420" i="39"/>
  <c r="U420" i="39"/>
  <c r="U505" i="39" s="1"/>
  <c r="P420" i="39"/>
  <c r="P505" i="39" s="1"/>
  <c r="V420" i="39"/>
  <c r="V505" i="39" s="1"/>
  <c r="R489" i="39"/>
  <c r="R578" i="39" s="1"/>
  <c r="S489" i="39"/>
  <c r="S578" i="39" s="1"/>
  <c r="P489" i="39"/>
  <c r="P578" i="39" s="1"/>
  <c r="U489" i="39"/>
  <c r="U578" i="39" s="1"/>
  <c r="V489" i="39"/>
  <c r="V578" i="39" s="1"/>
  <c r="O489" i="39"/>
  <c r="T489" i="39"/>
  <c r="T578" i="39" s="1"/>
  <c r="T614" i="39" s="1"/>
  <c r="T218" i="19" s="1"/>
  <c r="P422" i="39"/>
  <c r="V422" i="39"/>
  <c r="R422" i="39"/>
  <c r="T422" i="39"/>
  <c r="U422" i="39"/>
  <c r="S422" i="39"/>
  <c r="O422" i="39"/>
  <c r="R474" i="39"/>
  <c r="S474" i="39"/>
  <c r="U474" i="39"/>
  <c r="T474" i="39"/>
  <c r="O474" i="39"/>
  <c r="P474" i="39"/>
  <c r="V474" i="39"/>
  <c r="U417" i="39"/>
  <c r="U502" i="39" s="1"/>
  <c r="V417" i="39"/>
  <c r="V502" i="39" s="1"/>
  <c r="O417" i="39"/>
  <c r="R417" i="39"/>
  <c r="R502" i="39" s="1"/>
  <c r="T417" i="39"/>
  <c r="T502" i="39" s="1"/>
  <c r="S417" i="39"/>
  <c r="S502" i="39" s="1"/>
  <c r="P417" i="39"/>
  <c r="P502" i="39" s="1"/>
  <c r="P438" i="39"/>
  <c r="P524" i="39" s="1"/>
  <c r="P614" i="39" s="1"/>
  <c r="P218" i="19" s="1"/>
  <c r="U438" i="39"/>
  <c r="U524" i="39" s="1"/>
  <c r="S438" i="39"/>
  <c r="S524" i="39" s="1"/>
  <c r="R438" i="39"/>
  <c r="R524" i="39" s="1"/>
  <c r="V438" i="39"/>
  <c r="V524" i="39" s="1"/>
  <c r="O438" i="39"/>
  <c r="T438" i="39"/>
  <c r="T524" i="39" s="1"/>
  <c r="S407" i="39"/>
  <c r="S339" i="39"/>
  <c r="S373" i="39"/>
  <c r="S356" i="39"/>
  <c r="S390" i="39"/>
  <c r="S491" i="39"/>
  <c r="T491" i="39"/>
  <c r="V491" i="39"/>
  <c r="U491" i="39"/>
  <c r="R491" i="39"/>
  <c r="P491" i="39"/>
  <c r="O491" i="39"/>
  <c r="S433" i="39"/>
  <c r="S519" i="39" s="1"/>
  <c r="P433" i="39"/>
  <c r="P519" i="39" s="1"/>
  <c r="P609" i="39" s="1"/>
  <c r="P213" i="19" s="1"/>
  <c r="R433" i="39"/>
  <c r="R519" i="39" s="1"/>
  <c r="V433" i="39"/>
  <c r="V519" i="39" s="1"/>
  <c r="O433" i="39"/>
  <c r="T433" i="39"/>
  <c r="T519" i="39" s="1"/>
  <c r="U433" i="39"/>
  <c r="U519" i="39" s="1"/>
  <c r="O423" i="39"/>
  <c r="P423" i="39"/>
  <c r="U423" i="39"/>
  <c r="R423" i="39"/>
  <c r="S423" i="39"/>
  <c r="V423" i="39"/>
  <c r="T423" i="39"/>
  <c r="S485" i="39"/>
  <c r="S574" i="39" s="1"/>
  <c r="P485" i="39"/>
  <c r="P574" i="39" s="1"/>
  <c r="R485" i="39"/>
  <c r="R574" i="39" s="1"/>
  <c r="O485" i="39"/>
  <c r="V485" i="39"/>
  <c r="V574" i="39" s="1"/>
  <c r="V761" i="39" s="1"/>
  <c r="T485" i="39"/>
  <c r="T574" i="39" s="1"/>
  <c r="T610" i="39" s="1"/>
  <c r="T214" i="19" s="1"/>
  <c r="U485" i="39"/>
  <c r="U574" i="39" s="1"/>
  <c r="U761" i="39" s="1"/>
  <c r="S431" i="39"/>
  <c r="U431" i="39"/>
  <c r="T431" i="39"/>
  <c r="R431" i="39"/>
  <c r="V431" i="39"/>
  <c r="P431" i="39"/>
  <c r="O431" i="39"/>
  <c r="R339" i="39"/>
  <c r="R407" i="39"/>
  <c r="R390" i="39"/>
  <c r="R356" i="39"/>
  <c r="R373" i="39"/>
  <c r="V440" i="39"/>
  <c r="S440" i="39"/>
  <c r="R440" i="39"/>
  <c r="T440" i="39"/>
  <c r="O440" i="39"/>
  <c r="U440" i="39"/>
  <c r="P440" i="39"/>
  <c r="O467" i="39"/>
  <c r="O555" i="39" s="1"/>
  <c r="V467" i="39"/>
  <c r="V555" i="39" s="1"/>
  <c r="R467" i="39"/>
  <c r="R555" i="39" s="1"/>
  <c r="S467" i="39"/>
  <c r="S555" i="39" s="1"/>
  <c r="S609" i="39" s="1"/>
  <c r="S213" i="19" s="1"/>
  <c r="P467" i="39"/>
  <c r="U467" i="39"/>
  <c r="U555" i="39" s="1"/>
  <c r="T467" i="39"/>
  <c r="T555" i="39" s="1"/>
  <c r="R488" i="39"/>
  <c r="R577" i="39" s="1"/>
  <c r="O488" i="39"/>
  <c r="V488" i="39"/>
  <c r="V577" i="39" s="1"/>
  <c r="U488" i="39"/>
  <c r="U577" i="39" s="1"/>
  <c r="P488" i="39"/>
  <c r="P577" i="39" s="1"/>
  <c r="S488" i="39"/>
  <c r="S577" i="39" s="1"/>
  <c r="T488" i="39"/>
  <c r="T577" i="39" s="1"/>
  <c r="T613" i="39" s="1"/>
  <c r="T217" i="19" s="1"/>
  <c r="S542" i="39"/>
  <c r="T439" i="39"/>
  <c r="R439" i="39"/>
  <c r="U439" i="39"/>
  <c r="O439" i="39"/>
  <c r="S439" i="39"/>
  <c r="V439" i="39"/>
  <c r="P439" i="39"/>
  <c r="O484" i="39"/>
  <c r="V484" i="39"/>
  <c r="V573" i="39" s="1"/>
  <c r="U484" i="39"/>
  <c r="U573" i="39" s="1"/>
  <c r="T484" i="39"/>
  <c r="T573" i="39" s="1"/>
  <c r="T609" i="39" s="1"/>
  <c r="T213" i="19" s="1"/>
  <c r="R484" i="39"/>
  <c r="R573" i="39" s="1"/>
  <c r="P484" i="39"/>
  <c r="P573" i="39" s="1"/>
  <c r="S484" i="39"/>
  <c r="S573" i="39" s="1"/>
  <c r="O486" i="39"/>
  <c r="V486" i="39"/>
  <c r="V575" i="39" s="1"/>
  <c r="U486" i="39"/>
  <c r="U575" i="39" s="1"/>
  <c r="T486" i="39"/>
  <c r="T575" i="39" s="1"/>
  <c r="T611" i="39" s="1"/>
  <c r="T215" i="19" s="1"/>
  <c r="P486" i="39"/>
  <c r="P575" i="39" s="1"/>
  <c r="R486" i="39"/>
  <c r="R575" i="39" s="1"/>
  <c r="S486" i="39"/>
  <c r="S575" i="39" s="1"/>
  <c r="O402" i="39"/>
  <c r="W402" i="39" s="1"/>
  <c r="O351" i="39"/>
  <c r="W351" i="39" s="1"/>
  <c r="O334" i="39"/>
  <c r="W334" i="39" s="1"/>
  <c r="O385" i="39"/>
  <c r="W385" i="39" s="1"/>
  <c r="O368" i="39"/>
  <c r="W368" i="39" s="1"/>
  <c r="W293" i="39"/>
  <c r="T339" i="39"/>
  <c r="T407" i="39"/>
  <c r="T356" i="39"/>
  <c r="T373" i="39"/>
  <c r="T390" i="39"/>
  <c r="P407" i="39"/>
  <c r="P373" i="39"/>
  <c r="P356" i="39"/>
  <c r="P339" i="39"/>
  <c r="P390" i="39"/>
  <c r="S414" i="39"/>
  <c r="V414" i="39"/>
  <c r="O414" i="39"/>
  <c r="T414" i="39"/>
  <c r="P414" i="39"/>
  <c r="U414" i="39"/>
  <c r="R414" i="39"/>
  <c r="S435" i="39"/>
  <c r="S521" i="39" s="1"/>
  <c r="P435" i="39"/>
  <c r="P521" i="39" s="1"/>
  <c r="P611" i="39" s="1"/>
  <c r="P215" i="19" s="1"/>
  <c r="U435" i="39"/>
  <c r="U521" i="39" s="1"/>
  <c r="R435" i="39"/>
  <c r="R521" i="39" s="1"/>
  <c r="O435" i="39"/>
  <c r="V435" i="39"/>
  <c r="V521" i="39" s="1"/>
  <c r="T435" i="39"/>
  <c r="T521" i="39" s="1"/>
  <c r="U434" i="39"/>
  <c r="U520" i="39" s="1"/>
  <c r="U710" i="39" s="1"/>
  <c r="R434" i="39"/>
  <c r="R520" i="39" s="1"/>
  <c r="R710" i="39" s="1"/>
  <c r="S434" i="39"/>
  <c r="S520" i="39" s="1"/>
  <c r="S710" i="39" s="1"/>
  <c r="O434" i="39"/>
  <c r="P434" i="39"/>
  <c r="P520" i="39" s="1"/>
  <c r="P610" i="39" s="1"/>
  <c r="P214" i="19" s="1"/>
  <c r="V434" i="39"/>
  <c r="V520" i="39" s="1"/>
  <c r="V710" i="39" s="1"/>
  <c r="T434" i="39"/>
  <c r="T520" i="39" s="1"/>
  <c r="T710" i="39" s="1"/>
  <c r="U639" i="39"/>
  <c r="U246" i="19" s="1"/>
  <c r="S636" i="39"/>
  <c r="S243" i="19" s="1"/>
  <c r="U636" i="39"/>
  <c r="U243" i="19" s="1"/>
  <c r="U637" i="39"/>
  <c r="U244" i="19" s="1"/>
  <c r="R636" i="39"/>
  <c r="R243" i="19" s="1"/>
  <c r="O619" i="39"/>
  <c r="S639" i="39"/>
  <c r="S246" i="19" s="1"/>
  <c r="R637" i="39"/>
  <c r="R244" i="19" s="1"/>
  <c r="U638" i="39"/>
  <c r="U245" i="19" s="1"/>
  <c r="O618" i="39"/>
  <c r="T636" i="39"/>
  <c r="T243" i="19" s="1"/>
  <c r="T637" i="39"/>
  <c r="T244" i="19" s="1"/>
  <c r="T639" i="39"/>
  <c r="T246" i="19" s="1"/>
  <c r="O620" i="39"/>
  <c r="R639" i="39"/>
  <c r="R246" i="19" s="1"/>
  <c r="T638" i="39"/>
  <c r="T245" i="19" s="1"/>
  <c r="S637" i="39"/>
  <c r="S244" i="19" s="1"/>
  <c r="S638" i="39"/>
  <c r="S245" i="19" s="1"/>
  <c r="W511" i="39"/>
  <c r="W513" i="39"/>
  <c r="W510" i="39"/>
  <c r="W512" i="39"/>
  <c r="O183" i="38"/>
  <c r="W183" i="38" s="1"/>
  <c r="L183" i="38" s="1"/>
  <c r="V441" i="16"/>
  <c r="T453" i="39" l="1"/>
  <c r="U453" i="39"/>
  <c r="V453" i="39"/>
  <c r="O453" i="39"/>
  <c r="P453" i="39"/>
  <c r="R453" i="39"/>
  <c r="R540" i="39" s="1"/>
  <c r="R612" i="39" s="1"/>
  <c r="R216" i="19" s="1"/>
  <c r="S453" i="39"/>
  <c r="S540" i="39" s="1"/>
  <c r="P656" i="39"/>
  <c r="W621" i="39"/>
  <c r="W106" i="39"/>
  <c r="P657" i="39"/>
  <c r="S595" i="39"/>
  <c r="O657" i="39"/>
  <c r="R656" i="39"/>
  <c r="U596" i="39"/>
  <c r="R693" i="39"/>
  <c r="R592" i="39"/>
  <c r="U591" i="39"/>
  <c r="V693" i="39"/>
  <c r="V628" i="39"/>
  <c r="V235" i="19" s="1"/>
  <c r="V592" i="39"/>
  <c r="V595" i="39"/>
  <c r="V631" i="39"/>
  <c r="V238" i="19" s="1"/>
  <c r="R596" i="39"/>
  <c r="R593" i="39"/>
  <c r="R591" i="39"/>
  <c r="U693" i="39"/>
  <c r="U592" i="39"/>
  <c r="P595" i="39"/>
  <c r="T596" i="39"/>
  <c r="V629" i="39"/>
  <c r="V236" i="19" s="1"/>
  <c r="V593" i="39"/>
  <c r="U595" i="39"/>
  <c r="S596" i="39"/>
  <c r="T593" i="39"/>
  <c r="S591" i="39"/>
  <c r="P592" i="39"/>
  <c r="P596" i="39"/>
  <c r="P593" i="39"/>
  <c r="V627" i="39"/>
  <c r="V234" i="19" s="1"/>
  <c r="V591" i="39"/>
  <c r="S693" i="39"/>
  <c r="S592" i="39"/>
  <c r="T595" i="39"/>
  <c r="V632" i="39"/>
  <c r="V239" i="19" s="1"/>
  <c r="V596" i="39"/>
  <c r="U593" i="39"/>
  <c r="T693" i="39"/>
  <c r="T592" i="39"/>
  <c r="R595" i="39"/>
  <c r="S593" i="39"/>
  <c r="T591" i="39"/>
  <c r="U220" i="19"/>
  <c r="U215" i="19"/>
  <c r="U217" i="19"/>
  <c r="U213" i="19"/>
  <c r="U219" i="19"/>
  <c r="U218" i="19"/>
  <c r="U214" i="19"/>
  <c r="U212" i="19"/>
  <c r="P540" i="39"/>
  <c r="T540" i="39"/>
  <c r="V540" i="39"/>
  <c r="U540" i="39"/>
  <c r="S631" i="39"/>
  <c r="S238" i="19" s="1"/>
  <c r="S627" i="39"/>
  <c r="S234" i="19" s="1"/>
  <c r="W465" i="39"/>
  <c r="R632" i="39"/>
  <c r="R239" i="19" s="1"/>
  <c r="W225" i="19"/>
  <c r="O223" i="19"/>
  <c r="O79" i="19" s="1"/>
  <c r="O224" i="19"/>
  <c r="O80" i="19" s="1"/>
  <c r="O222" i="19"/>
  <c r="O78" i="19" s="1"/>
  <c r="P627" i="39"/>
  <c r="P234" i="19" s="1"/>
  <c r="P69" i="19" s="1"/>
  <c r="R629" i="39"/>
  <c r="R236" i="19" s="1"/>
  <c r="R631" i="39"/>
  <c r="R238" i="19" s="1"/>
  <c r="P655" i="39"/>
  <c r="T654" i="39"/>
  <c r="R655" i="39"/>
  <c r="U654" i="39"/>
  <c r="P632" i="39"/>
  <c r="P239" i="19" s="1"/>
  <c r="P74" i="19" s="1"/>
  <c r="P654" i="39"/>
  <c r="V655" i="39"/>
  <c r="S656" i="39"/>
  <c r="V654" i="39"/>
  <c r="T656" i="39"/>
  <c r="V656" i="39"/>
  <c r="R654" i="39"/>
  <c r="S654" i="39"/>
  <c r="R727" i="39"/>
  <c r="P628" i="39"/>
  <c r="P235" i="19" s="1"/>
  <c r="P70" i="19" s="1"/>
  <c r="V657" i="39"/>
  <c r="T657" i="39"/>
  <c r="U656" i="39"/>
  <c r="S657" i="39"/>
  <c r="U657" i="39"/>
  <c r="S744" i="39"/>
  <c r="R657" i="39"/>
  <c r="T761" i="39"/>
  <c r="P631" i="39"/>
  <c r="P238" i="19" s="1"/>
  <c r="P73" i="19" s="1"/>
  <c r="P629" i="39"/>
  <c r="P236" i="19" s="1"/>
  <c r="P71" i="19" s="1"/>
  <c r="S655" i="39"/>
  <c r="T655" i="39"/>
  <c r="U655" i="39"/>
  <c r="P710" i="39"/>
  <c r="U631" i="39"/>
  <c r="U238" i="19" s="1"/>
  <c r="T632" i="39"/>
  <c r="T239" i="19" s="1"/>
  <c r="T627" i="39"/>
  <c r="T234" i="19" s="1"/>
  <c r="S629" i="39"/>
  <c r="S236" i="19" s="1"/>
  <c r="W482" i="39"/>
  <c r="P693" i="39"/>
  <c r="U632" i="39"/>
  <c r="U239" i="19" s="1"/>
  <c r="R627" i="39"/>
  <c r="R234" i="19" s="1"/>
  <c r="U628" i="39"/>
  <c r="U235" i="19" s="1"/>
  <c r="W339" i="39"/>
  <c r="P424" i="39" s="1"/>
  <c r="P509" i="39" s="1"/>
  <c r="T631" i="39"/>
  <c r="T238" i="19" s="1"/>
  <c r="U629" i="39"/>
  <c r="U236" i="19" s="1"/>
  <c r="S628" i="39"/>
  <c r="S235" i="19" s="1"/>
  <c r="W488" i="39"/>
  <c r="O577" i="39"/>
  <c r="W577" i="39" s="1"/>
  <c r="U211" i="19"/>
  <c r="W435" i="39"/>
  <c r="O521" i="39"/>
  <c r="W521" i="39" s="1"/>
  <c r="W483" i="39"/>
  <c r="W440" i="39"/>
  <c r="W491" i="39"/>
  <c r="W417" i="39"/>
  <c r="O502" i="39"/>
  <c r="W472" i="39"/>
  <c r="O560" i="39"/>
  <c r="W560" i="39" s="1"/>
  <c r="W423" i="39"/>
  <c r="W434" i="39"/>
  <c r="O520" i="39"/>
  <c r="W520" i="39" s="1"/>
  <c r="P470" i="39"/>
  <c r="P558" i="39" s="1"/>
  <c r="T470" i="39"/>
  <c r="T558" i="39" s="1"/>
  <c r="S470" i="39"/>
  <c r="S558" i="39" s="1"/>
  <c r="R470" i="39"/>
  <c r="R558" i="39" s="1"/>
  <c r="V470" i="39"/>
  <c r="V558" i="39" s="1"/>
  <c r="O470" i="39"/>
  <c r="U470" i="39"/>
  <c r="U558" i="39" s="1"/>
  <c r="W484" i="39"/>
  <c r="O573" i="39"/>
  <c r="W573" i="39" s="1"/>
  <c r="W489" i="39"/>
  <c r="O578" i="39"/>
  <c r="W578" i="39" s="1"/>
  <c r="W390" i="39"/>
  <c r="W414" i="39"/>
  <c r="W467" i="39"/>
  <c r="P555" i="39"/>
  <c r="P591" i="39" s="1"/>
  <c r="W407" i="39"/>
  <c r="W433" i="39"/>
  <c r="O519" i="39"/>
  <c r="W519" i="39" s="1"/>
  <c r="W420" i="39"/>
  <c r="O505" i="39"/>
  <c r="S632" i="39"/>
  <c r="S239" i="19" s="1"/>
  <c r="W432" i="39"/>
  <c r="W450" i="39"/>
  <c r="O537" i="39"/>
  <c r="W537" i="39" s="1"/>
  <c r="W438" i="39"/>
  <c r="O524" i="39"/>
  <c r="W524" i="39" s="1"/>
  <c r="W469" i="39"/>
  <c r="O557" i="39"/>
  <c r="W557" i="39" s="1"/>
  <c r="W422" i="39"/>
  <c r="W416" i="39"/>
  <c r="O501" i="39"/>
  <c r="U627" i="39"/>
  <c r="U234" i="19" s="1"/>
  <c r="O419" i="39"/>
  <c r="P419" i="39"/>
  <c r="P504" i="39" s="1"/>
  <c r="S419" i="39"/>
  <c r="S504" i="39" s="1"/>
  <c r="T419" i="39"/>
  <c r="T504" i="39" s="1"/>
  <c r="V419" i="39"/>
  <c r="V504" i="39" s="1"/>
  <c r="U419" i="39"/>
  <c r="U504" i="39" s="1"/>
  <c r="R419" i="39"/>
  <c r="R504" i="39" s="1"/>
  <c r="W486" i="39"/>
  <c r="O575" i="39"/>
  <c r="W575" i="39" s="1"/>
  <c r="W431" i="39"/>
  <c r="W356" i="39"/>
  <c r="W466" i="39"/>
  <c r="T629" i="39"/>
  <c r="T236" i="19" s="1"/>
  <c r="T628" i="39"/>
  <c r="T235" i="19" s="1"/>
  <c r="T436" i="39"/>
  <c r="T522" i="39" s="1"/>
  <c r="P436" i="39"/>
  <c r="P522" i="39" s="1"/>
  <c r="P612" i="39" s="1"/>
  <c r="P216" i="19" s="1"/>
  <c r="V436" i="39"/>
  <c r="V522" i="39" s="1"/>
  <c r="U436" i="39"/>
  <c r="U522" i="39" s="1"/>
  <c r="S436" i="39"/>
  <c r="S522" i="39" s="1"/>
  <c r="R436" i="39"/>
  <c r="R522" i="39" s="1"/>
  <c r="O436" i="39"/>
  <c r="W418" i="39"/>
  <c r="O503" i="39"/>
  <c r="W490" i="39"/>
  <c r="W373" i="39"/>
  <c r="W452" i="39"/>
  <c r="O539" i="39"/>
  <c r="W539" i="39" s="1"/>
  <c r="W421" i="39"/>
  <c r="O506" i="39"/>
  <c r="W437" i="39"/>
  <c r="O523" i="39"/>
  <c r="W523" i="39" s="1"/>
  <c r="W439" i="39"/>
  <c r="W473" i="39"/>
  <c r="R628" i="39"/>
  <c r="R235" i="19" s="1"/>
  <c r="T487" i="39"/>
  <c r="T576" i="39" s="1"/>
  <c r="T612" i="39" s="1"/>
  <c r="T216" i="19" s="1"/>
  <c r="P487" i="39"/>
  <c r="P576" i="39" s="1"/>
  <c r="S487" i="39"/>
  <c r="S576" i="39" s="1"/>
  <c r="U487" i="39"/>
  <c r="U576" i="39" s="1"/>
  <c r="V487" i="39"/>
  <c r="V576" i="39" s="1"/>
  <c r="R487" i="39"/>
  <c r="R576" i="39" s="1"/>
  <c r="O487" i="39"/>
  <c r="W454" i="39"/>
  <c r="O541" i="39"/>
  <c r="W541" i="39" s="1"/>
  <c r="W455" i="39"/>
  <c r="O542" i="39"/>
  <c r="W542" i="39" s="1"/>
  <c r="W451" i="39"/>
  <c r="O538" i="39"/>
  <c r="W538" i="39" s="1"/>
  <c r="W485" i="39"/>
  <c r="O574" i="39"/>
  <c r="W574" i="39" s="1"/>
  <c r="W474" i="39"/>
  <c r="W471" i="39"/>
  <c r="O559" i="39"/>
  <c r="W559" i="39" s="1"/>
  <c r="W415" i="39"/>
  <c r="W468" i="39"/>
  <c r="O556" i="39"/>
  <c r="W556" i="39" s="1"/>
  <c r="W618" i="39"/>
  <c r="O654" i="39"/>
  <c r="W619" i="39"/>
  <c r="O655" i="39"/>
  <c r="W620" i="39"/>
  <c r="O656" i="39"/>
  <c r="W603" i="39"/>
  <c r="W601" i="39"/>
  <c r="W602" i="39"/>
  <c r="W638" i="39"/>
  <c r="W636" i="39"/>
  <c r="W600" i="39"/>
  <c r="W639" i="39"/>
  <c r="W637" i="39"/>
  <c r="B12" i="4"/>
  <c r="P458" i="39" l="1"/>
  <c r="R458" i="39"/>
  <c r="S458" i="39"/>
  <c r="U458" i="39"/>
  <c r="T458" i="39"/>
  <c r="V458" i="39"/>
  <c r="O458" i="39"/>
  <c r="O591" i="39"/>
  <c r="W591" i="39" s="1"/>
  <c r="P594" i="39"/>
  <c r="R594" i="39"/>
  <c r="U594" i="39"/>
  <c r="O596" i="39"/>
  <c r="W596" i="39" s="1"/>
  <c r="V594" i="39"/>
  <c r="V630" i="39"/>
  <c r="V237" i="19" s="1"/>
  <c r="T594" i="39"/>
  <c r="O592" i="39"/>
  <c r="W592" i="39" s="1"/>
  <c r="O595" i="39"/>
  <c r="W595" i="39" s="1"/>
  <c r="O593" i="39"/>
  <c r="W593" i="39" s="1"/>
  <c r="S594" i="39"/>
  <c r="U216" i="19"/>
  <c r="S649" i="39"/>
  <c r="P545" i="39"/>
  <c r="P635" i="39" s="1"/>
  <c r="P242" i="19" s="1"/>
  <c r="P649" i="39"/>
  <c r="S645" i="39"/>
  <c r="R647" i="39"/>
  <c r="P646" i="39"/>
  <c r="P778" i="39" s="1"/>
  <c r="P645" i="39"/>
  <c r="R650" i="39"/>
  <c r="R649" i="39"/>
  <c r="W657" i="39"/>
  <c r="W224" i="19"/>
  <c r="V424" i="39"/>
  <c r="V509" i="39" s="1"/>
  <c r="W222" i="19"/>
  <c r="W654" i="39"/>
  <c r="P647" i="39"/>
  <c r="W223" i="19"/>
  <c r="P650" i="39"/>
  <c r="W243" i="19"/>
  <c r="W656" i="39"/>
  <c r="W655" i="39"/>
  <c r="W244" i="19"/>
  <c r="T647" i="39"/>
  <c r="T650" i="39"/>
  <c r="W246" i="19"/>
  <c r="P630" i="39"/>
  <c r="P237" i="19" s="1"/>
  <c r="P72" i="19" s="1"/>
  <c r="U650" i="39"/>
  <c r="S650" i="39"/>
  <c r="S646" i="39"/>
  <c r="S778" i="39" s="1"/>
  <c r="V645" i="39"/>
  <c r="T649" i="39"/>
  <c r="W238" i="19"/>
  <c r="U646" i="39"/>
  <c r="U778" i="39" s="1"/>
  <c r="R645" i="39"/>
  <c r="W245" i="19"/>
  <c r="T646" i="39"/>
  <c r="T778" i="39" s="1"/>
  <c r="U645" i="39"/>
  <c r="U649" i="39"/>
  <c r="V647" i="39"/>
  <c r="V650" i="39"/>
  <c r="W236" i="19"/>
  <c r="T645" i="39"/>
  <c r="U647" i="39"/>
  <c r="V649" i="39"/>
  <c r="V646" i="39"/>
  <c r="V778" i="39" s="1"/>
  <c r="S647" i="39"/>
  <c r="R646" i="39"/>
  <c r="R778" i="39" s="1"/>
  <c r="W235" i="19"/>
  <c r="W631" i="39"/>
  <c r="T424" i="39"/>
  <c r="T509" i="39" s="1"/>
  <c r="O424" i="39"/>
  <c r="O509" i="39" s="1"/>
  <c r="W629" i="39"/>
  <c r="U424" i="39"/>
  <c r="U509" i="39" s="1"/>
  <c r="S424" i="39"/>
  <c r="S509" i="39" s="1"/>
  <c r="R424" i="39"/>
  <c r="R509" i="39" s="1"/>
  <c r="W627" i="39"/>
  <c r="W628" i="39"/>
  <c r="W632" i="39"/>
  <c r="R630" i="39"/>
  <c r="R237" i="19" s="1"/>
  <c r="W453" i="39"/>
  <c r="O540" i="39"/>
  <c r="W540" i="39" s="1"/>
  <c r="U630" i="39"/>
  <c r="U237" i="19" s="1"/>
  <c r="O492" i="39"/>
  <c r="U492" i="39"/>
  <c r="U581" i="39" s="1"/>
  <c r="T492" i="39"/>
  <c r="T581" i="39" s="1"/>
  <c r="T617" i="39" s="1"/>
  <c r="V492" i="39"/>
  <c r="V581" i="39" s="1"/>
  <c r="P492" i="39"/>
  <c r="P581" i="39" s="1"/>
  <c r="S492" i="39"/>
  <c r="S581" i="39" s="1"/>
  <c r="R492" i="39"/>
  <c r="R581" i="39" s="1"/>
  <c r="W555" i="39"/>
  <c r="W436" i="39"/>
  <c r="O522" i="39"/>
  <c r="W522" i="39" s="1"/>
  <c r="O613" i="39"/>
  <c r="W505" i="39"/>
  <c r="S612" i="39"/>
  <c r="S216" i="19" s="1"/>
  <c r="R441" i="39"/>
  <c r="R527" i="39" s="1"/>
  <c r="R717" i="39" s="1"/>
  <c r="O441" i="39"/>
  <c r="V441" i="39"/>
  <c r="V527" i="39" s="1"/>
  <c r="V717" i="39" s="1"/>
  <c r="T441" i="39"/>
  <c r="T527" i="39" s="1"/>
  <c r="T717" i="39" s="1"/>
  <c r="U441" i="39"/>
  <c r="U527" i="39" s="1"/>
  <c r="U717" i="39" s="1"/>
  <c r="S441" i="39"/>
  <c r="S527" i="39" s="1"/>
  <c r="S717" i="39" s="1"/>
  <c r="P441" i="39"/>
  <c r="P527" i="39" s="1"/>
  <c r="P617" i="39" s="1"/>
  <c r="P221" i="19" s="1"/>
  <c r="T630" i="39"/>
  <c r="T237" i="19" s="1"/>
  <c r="W506" i="39"/>
  <c r="O614" i="39"/>
  <c r="S630" i="39"/>
  <c r="S237" i="19" s="1"/>
  <c r="S475" i="39"/>
  <c r="S563" i="39" s="1"/>
  <c r="S617" i="39" s="1"/>
  <c r="S221" i="19" s="1"/>
  <c r="P475" i="39"/>
  <c r="P563" i="39" s="1"/>
  <c r="R475" i="39"/>
  <c r="R563" i="39" s="1"/>
  <c r="O475" i="39"/>
  <c r="O563" i="39" s="1"/>
  <c r="T475" i="39"/>
  <c r="V475" i="39"/>
  <c r="V563" i="39" s="1"/>
  <c r="U475" i="39"/>
  <c r="U563" i="39" s="1"/>
  <c r="U751" i="39" s="1"/>
  <c r="O610" i="39"/>
  <c r="W502" i="39"/>
  <c r="O611" i="39"/>
  <c r="W503" i="39"/>
  <c r="W501" i="39"/>
  <c r="O609" i="39"/>
  <c r="W470" i="39"/>
  <c r="O558" i="39"/>
  <c r="W558" i="39" s="1"/>
  <c r="W487" i="39"/>
  <c r="O576" i="39"/>
  <c r="W576" i="39" s="1"/>
  <c r="W419" i="39"/>
  <c r="O504" i="39"/>
  <c r="P700" i="39"/>
  <c r="M75" i="16"/>
  <c r="V768" i="39" l="1"/>
  <c r="V617" i="39"/>
  <c r="U768" i="39"/>
  <c r="U617" i="39"/>
  <c r="U622" i="39" s="1"/>
  <c r="O594" i="39"/>
  <c r="W594" i="39" s="1"/>
  <c r="U700" i="39"/>
  <c r="P599" i="39"/>
  <c r="U221" i="19"/>
  <c r="U229" i="19" s="1"/>
  <c r="V700" i="39"/>
  <c r="P77" i="19"/>
  <c r="O215" i="19"/>
  <c r="O71" i="19" s="1"/>
  <c r="O217" i="19"/>
  <c r="O73" i="19" s="1"/>
  <c r="O213" i="19"/>
  <c r="O69" i="19" s="1"/>
  <c r="O218" i="19"/>
  <c r="O74" i="19" s="1"/>
  <c r="O214" i="19"/>
  <c r="O70" i="19" s="1"/>
  <c r="T221" i="19"/>
  <c r="T700" i="39"/>
  <c r="W239" i="19"/>
  <c r="W234" i="19"/>
  <c r="S751" i="39"/>
  <c r="P717" i="39"/>
  <c r="S700" i="39"/>
  <c r="W237" i="19"/>
  <c r="P734" i="39"/>
  <c r="R635" i="39"/>
  <c r="R700" i="39"/>
  <c r="W424" i="39"/>
  <c r="O612" i="39"/>
  <c r="W504" i="39"/>
  <c r="O617" i="39"/>
  <c r="O221" i="19" s="1"/>
  <c r="O77" i="19" s="1"/>
  <c r="W509" i="39"/>
  <c r="V648" i="39"/>
  <c r="U648" i="39"/>
  <c r="W492" i="39"/>
  <c r="O581" i="39"/>
  <c r="W581" i="39" s="1"/>
  <c r="V751" i="39"/>
  <c r="O645" i="39"/>
  <c r="W645" i="39" s="1"/>
  <c r="W609" i="39"/>
  <c r="W611" i="39"/>
  <c r="O647" i="39"/>
  <c r="W647" i="39" s="1"/>
  <c r="W475" i="39"/>
  <c r="T563" i="39"/>
  <c r="O650" i="39"/>
  <c r="W650" i="39" s="1"/>
  <c r="W614" i="39"/>
  <c r="W441" i="39"/>
  <c r="O527" i="39"/>
  <c r="R648" i="39"/>
  <c r="P653" i="39"/>
  <c r="P785" i="39" s="1"/>
  <c r="T648" i="39"/>
  <c r="O545" i="39"/>
  <c r="P648" i="39"/>
  <c r="W630" i="39"/>
  <c r="S648" i="39"/>
  <c r="O646" i="39"/>
  <c r="W610" i="39"/>
  <c r="O693" i="39"/>
  <c r="W613" i="39"/>
  <c r="O649" i="39"/>
  <c r="W649" i="39" s="1"/>
  <c r="T768" i="39"/>
  <c r="K69" i="5"/>
  <c r="B29" i="4"/>
  <c r="B38" i="4" s="1"/>
  <c r="L80" i="16"/>
  <c r="V221" i="19" l="1"/>
  <c r="V229" i="19" s="1"/>
  <c r="V622" i="39"/>
  <c r="O599" i="39"/>
  <c r="W213" i="19"/>
  <c r="O216" i="19"/>
  <c r="O72" i="19" s="1"/>
  <c r="W214" i="19"/>
  <c r="W217" i="19"/>
  <c r="R242" i="19"/>
  <c r="W218" i="19"/>
  <c r="W215" i="19"/>
  <c r="T751" i="39"/>
  <c r="W612" i="39"/>
  <c r="O648" i="39"/>
  <c r="W648" i="39" s="1"/>
  <c r="W646" i="39"/>
  <c r="O778" i="39"/>
  <c r="L778" i="39" s="1" a="1"/>
  <c r="L778" i="39" s="1"/>
  <c r="O653" i="39"/>
  <c r="O700" i="39"/>
  <c r="W527" i="39"/>
  <c r="W563" i="39"/>
  <c r="W184" i="11"/>
  <c r="W216" i="19" l="1"/>
  <c r="O785" i="39"/>
  <c r="K166" i="18"/>
  <c r="K165" i="18"/>
  <c r="K164" i="18"/>
  <c r="K163" i="18"/>
  <c r="K162" i="18"/>
  <c r="K161" i="18"/>
  <c r="K160" i="18"/>
  <c r="K159" i="18"/>
  <c r="K157" i="18"/>
  <c r="K156" i="18"/>
  <c r="K155" i="18"/>
  <c r="K154" i="18"/>
  <c r="K153" i="18"/>
  <c r="K152" i="18"/>
  <c r="K150" i="18"/>
  <c r="K149" i="18"/>
  <c r="K148" i="18"/>
  <c r="K30" i="18"/>
  <c r="K29" i="18"/>
  <c r="K28" i="18"/>
  <c r="K27" i="18"/>
  <c r="K26" i="18"/>
  <c r="K24" i="18"/>
  <c r="K23" i="18"/>
  <c r="K22" i="18"/>
  <c r="K21" i="18"/>
  <c r="K20" i="18"/>
  <c r="K19" i="18"/>
  <c r="K17" i="18"/>
  <c r="K16" i="18"/>
  <c r="K15" i="18"/>
  <c r="K619" i="5" l="1"/>
  <c r="K607" i="5" l="1"/>
  <c r="K606" i="5"/>
  <c r="K605" i="5"/>
  <c r="K604" i="5"/>
  <c r="K603" i="5"/>
  <c r="K601" i="5"/>
  <c r="K600" i="5"/>
  <c r="K599" i="5"/>
  <c r="K598" i="5"/>
  <c r="K597" i="5"/>
  <c r="K596" i="5"/>
  <c r="K594" i="5"/>
  <c r="K593" i="5"/>
  <c r="K592" i="5"/>
  <c r="J84" i="1" l="1"/>
  <c r="K84" i="1"/>
  <c r="L207" i="11" l="1"/>
  <c r="M83" i="16" l="1"/>
  <c r="L352" i="16"/>
  <c r="L351" i="16"/>
  <c r="L350" i="16"/>
  <c r="L75" i="16"/>
  <c r="L220" i="16"/>
  <c r="L219" i="16"/>
  <c r="L218" i="16"/>
  <c r="L217" i="16"/>
  <c r="L216" i="16"/>
  <c r="L215" i="16"/>
  <c r="L214" i="16"/>
  <c r="L212" i="16"/>
  <c r="L211" i="16"/>
  <c r="L210" i="16"/>
  <c r="L209" i="16"/>
  <c r="L208" i="16"/>
  <c r="L207" i="16"/>
  <c r="L205" i="16"/>
  <c r="L204" i="16"/>
  <c r="L200" i="16"/>
  <c r="L199" i="16"/>
  <c r="L198" i="16"/>
  <c r="L197" i="16"/>
  <c r="L196" i="16"/>
  <c r="L195" i="16"/>
  <c r="L194" i="16"/>
  <c r="L192" i="16"/>
  <c r="L191" i="16"/>
  <c r="L190" i="16"/>
  <c r="L189" i="16"/>
  <c r="L188" i="16"/>
  <c r="L187" i="16"/>
  <c r="L185" i="16"/>
  <c r="L184" i="16"/>
  <c r="L183" i="16"/>
  <c r="L156" i="16"/>
  <c r="L155" i="16"/>
  <c r="L154" i="16"/>
  <c r="L153" i="16"/>
  <c r="L152" i="16"/>
  <c r="L151" i="16"/>
  <c r="L150" i="16"/>
  <c r="L147" i="16"/>
  <c r="L146" i="16"/>
  <c r="L145" i="16"/>
  <c r="L144" i="16"/>
  <c r="L143" i="16"/>
  <c r="L141" i="16"/>
  <c r="L140" i="16"/>
  <c r="L139" i="16"/>
  <c r="L176" i="16"/>
  <c r="L175" i="16"/>
  <c r="L174" i="16"/>
  <c r="L173" i="16"/>
  <c r="L172" i="16"/>
  <c r="L171" i="16"/>
  <c r="L170" i="16"/>
  <c r="L168" i="16"/>
  <c r="L167" i="16"/>
  <c r="L166" i="16"/>
  <c r="L165" i="16"/>
  <c r="L164" i="16"/>
  <c r="L163" i="16"/>
  <c r="L161" i="16"/>
  <c r="L160" i="16"/>
  <c r="L159" i="16"/>
  <c r="L136" i="16"/>
  <c r="L135" i="16"/>
  <c r="L134" i="16"/>
  <c r="L133" i="16"/>
  <c r="L132" i="16"/>
  <c r="L131" i="16"/>
  <c r="L130" i="16"/>
  <c r="L128" i="16"/>
  <c r="L127" i="16"/>
  <c r="L126" i="16"/>
  <c r="L125" i="16"/>
  <c r="L124" i="16"/>
  <c r="L123" i="16"/>
  <c r="L121" i="16"/>
  <c r="L120" i="16"/>
  <c r="L119" i="16"/>
  <c r="L116" i="16"/>
  <c r="L115" i="16"/>
  <c r="L114" i="16"/>
  <c r="L113" i="16"/>
  <c r="L112" i="16"/>
  <c r="L111" i="16"/>
  <c r="L110" i="16"/>
  <c r="L108" i="16"/>
  <c r="L107" i="16"/>
  <c r="L106" i="16"/>
  <c r="L105" i="16"/>
  <c r="L104" i="16"/>
  <c r="L103" i="16"/>
  <c r="L101" i="16"/>
  <c r="L100" i="16"/>
  <c r="L99" i="16"/>
  <c r="L92" i="16"/>
  <c r="L91" i="16"/>
  <c r="L90" i="16"/>
  <c r="L89" i="16"/>
  <c r="L88" i="16"/>
  <c r="L87" i="16"/>
  <c r="L86" i="16"/>
  <c r="L84" i="16"/>
  <c r="L83" i="16"/>
  <c r="L82" i="16"/>
  <c r="L81" i="16"/>
  <c r="L79" i="16"/>
  <c r="L77" i="16"/>
  <c r="L76" i="16"/>
  <c r="L31" i="30"/>
  <c r="L48" i="16"/>
  <c r="L47" i="16"/>
  <c r="L46" i="16"/>
  <c r="L45" i="16"/>
  <c r="L213" i="11"/>
  <c r="L347" i="11"/>
  <c r="L104" i="30" s="1"/>
  <c r="L350" i="11"/>
  <c r="L105" i="30" s="1"/>
  <c r="L167" i="11"/>
  <c r="L86" i="30" s="1"/>
  <c r="L341" i="11"/>
  <c r="L340" i="11"/>
  <c r="L336" i="11"/>
  <c r="L335" i="11"/>
  <c r="L334" i="11"/>
  <c r="L294" i="11"/>
  <c r="L293" i="11"/>
  <c r="L292" i="11"/>
  <c r="L291" i="11"/>
  <c r="L290" i="11"/>
  <c r="L289" i="11"/>
  <c r="L288" i="11"/>
  <c r="L287" i="11"/>
  <c r="L286" i="11"/>
  <c r="L285" i="11"/>
  <c r="L284" i="11"/>
  <c r="L283" i="11"/>
  <c r="L282" i="11"/>
  <c r="L281" i="11"/>
  <c r="L280" i="11"/>
  <c r="L279" i="11"/>
  <c r="L278" i="11"/>
  <c r="L277" i="11"/>
  <c r="L276" i="11"/>
  <c r="L275" i="11"/>
  <c r="L274" i="11"/>
  <c r="L273" i="11"/>
  <c r="L272" i="11"/>
  <c r="L271"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190" i="11"/>
  <c r="L212" i="11"/>
  <c r="L211" i="11"/>
  <c r="L210" i="11"/>
  <c r="L209" i="11"/>
  <c r="L208" i="11"/>
  <c r="L206" i="11"/>
  <c r="L205" i="11"/>
  <c r="L204" i="11"/>
  <c r="L203" i="11"/>
  <c r="L202" i="11"/>
  <c r="L201" i="11"/>
  <c r="L200" i="11"/>
  <c r="L199" i="11"/>
  <c r="L198" i="11"/>
  <c r="L197" i="11"/>
  <c r="L196" i="11"/>
  <c r="L195" i="11"/>
  <c r="L194" i="11"/>
  <c r="L193" i="11"/>
  <c r="L192" i="11"/>
  <c r="L191" i="11"/>
  <c r="L57" i="30" l="1"/>
  <c r="L99" i="30"/>
  <c r="L42" i="30"/>
  <c r="L40" i="30"/>
  <c r="L46" i="30"/>
  <c r="L41" i="30"/>
  <c r="L47" i="30"/>
  <c r="L43" i="30"/>
  <c r="L37" i="30"/>
  <c r="L106" i="30"/>
  <c r="L103" i="30"/>
  <c r="L34" i="30"/>
  <c r="L93" i="30"/>
  <c r="L74" i="30"/>
  <c r="M269" i="16"/>
  <c r="M99" i="16"/>
  <c r="N532" i="18" l="1"/>
  <c r="N531" i="18"/>
  <c r="N530" i="18"/>
  <c r="N529" i="18"/>
  <c r="N528" i="18"/>
  <c r="N527" i="18"/>
  <c r="N526" i="18"/>
  <c r="N524" i="18"/>
  <c r="N523" i="18"/>
  <c r="N522" i="18"/>
  <c r="N521" i="18"/>
  <c r="N520" i="18"/>
  <c r="N519" i="18"/>
  <c r="N517" i="18"/>
  <c r="N516" i="18"/>
  <c r="N515" i="18"/>
  <c r="M220" i="16"/>
  <c r="M219" i="16"/>
  <c r="M218" i="16"/>
  <c r="M217" i="16"/>
  <c r="M216" i="16"/>
  <c r="M215" i="16"/>
  <c r="M214" i="16"/>
  <c r="M212" i="16"/>
  <c r="M211" i="16"/>
  <c r="M210" i="16"/>
  <c r="M209" i="16"/>
  <c r="M208" i="16"/>
  <c r="M207" i="16"/>
  <c r="M205" i="16"/>
  <c r="M204" i="16"/>
  <c r="M200" i="16"/>
  <c r="M199" i="16"/>
  <c r="M198" i="16"/>
  <c r="M197" i="16"/>
  <c r="M196" i="16"/>
  <c r="M195" i="16"/>
  <c r="M194" i="16"/>
  <c r="M191" i="16"/>
  <c r="M190" i="16"/>
  <c r="M189" i="16"/>
  <c r="M188" i="16"/>
  <c r="M187" i="16"/>
  <c r="M185" i="16"/>
  <c r="M184" i="16"/>
  <c r="M183" i="16"/>
  <c r="M156" i="16"/>
  <c r="M155" i="16"/>
  <c r="M154" i="16"/>
  <c r="M153" i="16"/>
  <c r="M152" i="16"/>
  <c r="M151" i="16"/>
  <c r="M150" i="16"/>
  <c r="M148" i="16"/>
  <c r="M147" i="16"/>
  <c r="M146" i="16"/>
  <c r="M145" i="16"/>
  <c r="M144" i="16"/>
  <c r="M143" i="16"/>
  <c r="M141" i="16"/>
  <c r="M140" i="16"/>
  <c r="M139" i="16"/>
  <c r="M176" i="16"/>
  <c r="M175" i="16"/>
  <c r="M174" i="16"/>
  <c r="M173" i="16"/>
  <c r="M172" i="16"/>
  <c r="M171" i="16"/>
  <c r="M170" i="16"/>
  <c r="M168" i="16"/>
  <c r="M167" i="16"/>
  <c r="M166" i="16"/>
  <c r="M165" i="16"/>
  <c r="M164" i="16"/>
  <c r="M163" i="16"/>
  <c r="M161" i="16"/>
  <c r="M160" i="16"/>
  <c r="M159" i="16"/>
  <c r="M136" i="16"/>
  <c r="M135" i="16"/>
  <c r="M134" i="16"/>
  <c r="M133" i="16"/>
  <c r="M132" i="16"/>
  <c r="M131" i="16"/>
  <c r="M130" i="16"/>
  <c r="M128" i="16"/>
  <c r="M127" i="16"/>
  <c r="M126" i="16"/>
  <c r="M125" i="16"/>
  <c r="M124" i="16"/>
  <c r="M123" i="16"/>
  <c r="M121" i="16"/>
  <c r="M120" i="16"/>
  <c r="M119" i="16"/>
  <c r="M116" i="16"/>
  <c r="M115" i="16"/>
  <c r="M114" i="16"/>
  <c r="M113" i="16"/>
  <c r="M112" i="16"/>
  <c r="M111" i="16"/>
  <c r="M110" i="16"/>
  <c r="M108" i="16"/>
  <c r="M107" i="16"/>
  <c r="M106" i="16"/>
  <c r="M105" i="16"/>
  <c r="M104" i="16"/>
  <c r="M103" i="16"/>
  <c r="M101" i="16"/>
  <c r="M100" i="16"/>
  <c r="M15" i="16"/>
  <c r="M31" i="30" s="1"/>
  <c r="M350" i="11"/>
  <c r="M105" i="30" s="1"/>
  <c r="M40" i="30" l="1"/>
  <c r="M41" i="30"/>
  <c r="M47" i="30"/>
  <c r="M43" i="30"/>
  <c r="M42" i="30"/>
  <c r="M46" i="30"/>
  <c r="M44" i="11" l="1"/>
  <c r="M43" i="11"/>
  <c r="M41" i="11"/>
  <c r="M37" i="11"/>
  <c r="M36" i="11"/>
  <c r="M35" i="11"/>
  <c r="M34" i="11"/>
  <c r="M31" i="11"/>
  <c r="M73" i="30" s="1"/>
  <c r="M72" i="30"/>
  <c r="M352" i="16"/>
  <c r="M351" i="16"/>
  <c r="M350" i="16"/>
  <c r="M314" i="16"/>
  <c r="M313" i="16"/>
  <c r="M312" i="16"/>
  <c r="M48" i="16"/>
  <c r="M47" i="16"/>
  <c r="M46" i="16"/>
  <c r="M45" i="16"/>
  <c r="M57" i="30" l="1"/>
  <c r="M34" i="30"/>
  <c r="M74" i="30"/>
  <c r="M92" i="16"/>
  <c r="M91" i="16"/>
  <c r="M90" i="16"/>
  <c r="M89" i="16"/>
  <c r="M88" i="16"/>
  <c r="M87" i="16"/>
  <c r="M86" i="16"/>
  <c r="M84" i="16"/>
  <c r="M82" i="16"/>
  <c r="M81" i="16"/>
  <c r="M80" i="16"/>
  <c r="M77" i="16"/>
  <c r="M76" i="16"/>
  <c r="M347" i="11"/>
  <c r="M104" i="30" s="1"/>
  <c r="M341" i="11"/>
  <c r="M336" i="11"/>
  <c r="M335" i="11"/>
  <c r="M167" i="11"/>
  <c r="M86" i="30" s="1"/>
  <c r="M184" i="11"/>
  <c r="M92" i="30" s="1"/>
  <c r="M99" i="30" l="1"/>
  <c r="M103" i="30"/>
  <c r="M106" i="30"/>
  <c r="M93" i="30"/>
  <c r="M37" i="30"/>
  <c r="V438" i="16"/>
  <c r="V412" i="16"/>
  <c r="K74" i="5"/>
  <c r="K648" i="5" l="1"/>
  <c r="K647" i="5"/>
  <c r="K646" i="5"/>
  <c r="K645" i="5"/>
  <c r="K644" i="5"/>
  <c r="K643" i="5"/>
  <c r="K642" i="5"/>
  <c r="K641" i="5"/>
  <c r="K639" i="5"/>
  <c r="K638" i="5"/>
  <c r="K637" i="5"/>
  <c r="K636" i="5"/>
  <c r="K635" i="5"/>
  <c r="K634" i="5"/>
  <c r="K632" i="5"/>
  <c r="K631" i="5"/>
  <c r="K630" i="5"/>
  <c r="V435" i="16" l="1"/>
  <c r="V434" i="16"/>
  <c r="V433" i="16"/>
  <c r="V432" i="16"/>
  <c r="V431" i="16"/>
  <c r="V430" i="16"/>
  <c r="V429" i="16"/>
  <c r="V428" i="16"/>
  <c r="V427" i="16"/>
  <c r="V426" i="16"/>
  <c r="V425" i="16"/>
  <c r="V424" i="16"/>
  <c r="V423" i="16"/>
  <c r="V422" i="16"/>
  <c r="V421" i="16"/>
  <c r="V420" i="16"/>
  <c r="V419" i="16"/>
  <c r="V418" i="16"/>
  <c r="V417" i="16"/>
  <c r="V416" i="16"/>
  <c r="V415" i="16"/>
  <c r="V414" i="16"/>
  <c r="V413" i="16"/>
  <c r="V403" i="33" l="1" a="1"/>
  <c r="V403" i="33" s="1"/>
  <c r="V404" i="33" a="1"/>
  <c r="V404" i="33" s="1"/>
  <c r="V405" i="33" a="1"/>
  <c r="V405" i="33" s="1"/>
  <c r="V257" i="33" a="1"/>
  <c r="V257" i="33" s="1"/>
  <c r="V259" i="33" a="1"/>
  <c r="V259" i="33" s="1"/>
  <c r="V258" i="33" a="1"/>
  <c r="V258" i="33" s="1"/>
  <c r="M412" i="16"/>
  <c r="V108" i="18"/>
  <c r="V110" i="18" s="1"/>
  <c r="U110" i="18"/>
  <c r="T108" i="18"/>
  <c r="T110" i="18" s="1"/>
  <c r="AC404" i="33" l="1"/>
  <c r="AC405" i="33"/>
  <c r="AC403" i="33"/>
  <c r="L259" i="33" a="1"/>
  <c r="L259" i="33" s="1"/>
  <c r="L405" i="33" a="1"/>
  <c r="L405" i="33" s="1"/>
  <c r="V103" i="18"/>
  <c r="V105" i="18"/>
  <c r="V104" i="18"/>
  <c r="U104" i="18"/>
  <c r="U103" i="18"/>
  <c r="U105" i="18"/>
  <c r="T105" i="18"/>
  <c r="T104" i="18"/>
  <c r="T103" i="18"/>
  <c r="S110" i="18"/>
  <c r="S105" i="18" l="1"/>
  <c r="S104" i="18"/>
  <c r="S103" i="18"/>
  <c r="AN19" i="21"/>
  <c r="K251" i="29"/>
  <c r="K224" i="29"/>
  <c r="K197" i="29"/>
  <c r="K170" i="29"/>
  <c r="AN39" i="21" l="1"/>
  <c r="AM39" i="21"/>
  <c r="AL39" i="21"/>
  <c r="AK39" i="21"/>
  <c r="AJ39" i="21"/>
  <c r="AN30" i="21"/>
  <c r="AM30" i="21"/>
  <c r="AK30" i="21"/>
  <c r="AJ30" i="21"/>
  <c r="AN38" i="21"/>
  <c r="AM38" i="21"/>
  <c r="AL38" i="21"/>
  <c r="AK38" i="21"/>
  <c r="AJ38" i="21"/>
  <c r="AN37" i="21"/>
  <c r="AM37" i="21"/>
  <c r="AL37" i="21"/>
  <c r="AK37" i="21"/>
  <c r="AJ37" i="21"/>
  <c r="AN36" i="21"/>
  <c r="AM36" i="21"/>
  <c r="AL36" i="21"/>
  <c r="AK36" i="21"/>
  <c r="AJ36" i="21"/>
  <c r="AN33" i="21"/>
  <c r="AM33" i="21"/>
  <c r="AL33" i="21"/>
  <c r="AK33" i="21"/>
  <c r="AJ33" i="21"/>
  <c r="AN24" i="21"/>
  <c r="AM24" i="21"/>
  <c r="AL24" i="21"/>
  <c r="AK24" i="21"/>
  <c r="AJ24" i="21"/>
  <c r="AM23" i="21"/>
  <c r="AL23" i="21"/>
  <c r="AK23" i="21"/>
  <c r="AJ23" i="21"/>
  <c r="AN22" i="21"/>
  <c r="AM22" i="21"/>
  <c r="AL22" i="21"/>
  <c r="AK22" i="21"/>
  <c r="AJ22" i="21"/>
  <c r="AM19" i="21"/>
  <c r="AL19" i="21"/>
  <c r="AK19" i="21"/>
  <c r="AJ19" i="21"/>
  <c r="AN18" i="21"/>
  <c r="AM18" i="21"/>
  <c r="AL18" i="21"/>
  <c r="AK18" i="21"/>
  <c r="AJ18" i="21"/>
  <c r="AN17" i="21"/>
  <c r="AM17" i="21"/>
  <c r="AK17" i="21"/>
  <c r="K508" i="18" l="1"/>
  <c r="K507" i="18"/>
  <c r="K506" i="18"/>
  <c r="K349" i="5" l="1"/>
  <c r="K521" i="5"/>
  <c r="K621" i="5"/>
  <c r="K620" i="5"/>
  <c r="K618" i="5"/>
  <c r="K617" i="5"/>
  <c r="K616" i="5"/>
  <c r="N348" i="5"/>
  <c r="N347" i="5"/>
  <c r="N346" i="5"/>
  <c r="N345" i="5"/>
  <c r="N341" i="5"/>
  <c r="N340" i="5"/>
  <c r="N339" i="5"/>
  <c r="N338" i="5"/>
  <c r="N336" i="5"/>
  <c r="M284" i="16" l="1"/>
  <c r="M283" i="16"/>
  <c r="M278" i="16"/>
  <c r="M277" i="16"/>
  <c r="M276" i="16"/>
  <c r="M275" i="16"/>
  <c r="M274" i="16"/>
  <c r="M271" i="16"/>
  <c r="M270" i="16"/>
  <c r="M53" i="30" l="1"/>
  <c r="V319" i="11"/>
  <c r="V326" i="11" s="1"/>
  <c r="V94" i="5" s="1"/>
  <c r="U319" i="11"/>
  <c r="U326" i="11" s="1"/>
  <c r="U94" i="5" s="1"/>
  <c r="T319" i="11"/>
  <c r="T326" i="11" s="1"/>
  <c r="T94" i="5" s="1"/>
  <c r="S319" i="11"/>
  <c r="S326" i="11" s="1"/>
  <c r="S94" i="5" s="1"/>
  <c r="R319" i="11"/>
  <c r="R326" i="11" s="1"/>
  <c r="R94" i="5" s="1"/>
  <c r="R97" i="19" l="1"/>
  <c r="W94" i="5"/>
  <c r="R102" i="17"/>
  <c r="R131" i="17" s="1"/>
  <c r="R107" i="5"/>
  <c r="R106" i="5"/>
  <c r="W326" i="11"/>
  <c r="W327" i="11" s="1"/>
  <c r="R91" i="5"/>
  <c r="T106" i="5"/>
  <c r="T107" i="5"/>
  <c r="T108" i="5"/>
  <c r="T104" i="5"/>
  <c r="T103" i="5"/>
  <c r="T102" i="5"/>
  <c r="T101" i="5"/>
  <c r="T100" i="5"/>
  <c r="T99" i="5"/>
  <c r="T98" i="5"/>
  <c r="T97" i="5"/>
  <c r="T96" i="5"/>
  <c r="T95" i="5"/>
  <c r="T93" i="5"/>
  <c r="T92" i="5"/>
  <c r="T91" i="5"/>
  <c r="T105" i="5"/>
  <c r="U106" i="5"/>
  <c r="U107" i="5"/>
  <c r="U105" i="5"/>
  <c r="U108" i="5"/>
  <c r="U104" i="5"/>
  <c r="U103" i="5"/>
  <c r="U102" i="5"/>
  <c r="U101" i="5"/>
  <c r="U100" i="5"/>
  <c r="U99" i="5"/>
  <c r="U98" i="5"/>
  <c r="U97" i="5"/>
  <c r="U96" i="5"/>
  <c r="U95" i="5"/>
  <c r="U93" i="5"/>
  <c r="U92" i="5"/>
  <c r="U91" i="5"/>
  <c r="V106" i="5"/>
  <c r="V107" i="5"/>
  <c r="V91" i="5"/>
  <c r="V108" i="5"/>
  <c r="V104" i="5"/>
  <c r="V103" i="5"/>
  <c r="V102" i="5"/>
  <c r="V101" i="5"/>
  <c r="V100" i="5"/>
  <c r="V99" i="5"/>
  <c r="V98" i="5"/>
  <c r="V97" i="5"/>
  <c r="V96" i="5"/>
  <c r="V95" i="5"/>
  <c r="V93" i="5"/>
  <c r="V92" i="5"/>
  <c r="V105" i="5"/>
  <c r="S107" i="5"/>
  <c r="S106" i="5"/>
  <c r="S108" i="5"/>
  <c r="S104" i="5"/>
  <c r="S103" i="5"/>
  <c r="S102" i="5"/>
  <c r="S101" i="5"/>
  <c r="S100" i="5"/>
  <c r="S99" i="5"/>
  <c r="S98" i="5"/>
  <c r="S97" i="5"/>
  <c r="S96" i="5"/>
  <c r="S95" i="5"/>
  <c r="S93" i="5"/>
  <c r="S92" i="5"/>
  <c r="S105" i="5"/>
  <c r="S91" i="5"/>
  <c r="R108" i="5"/>
  <c r="R103" i="5"/>
  <c r="R99" i="5"/>
  <c r="R95" i="5"/>
  <c r="R105" i="5"/>
  <c r="R102" i="5"/>
  <c r="R98" i="5"/>
  <c r="R93" i="5"/>
  <c r="R101" i="5"/>
  <c r="R97" i="5"/>
  <c r="R92" i="5"/>
  <c r="R104" i="5"/>
  <c r="R100" i="5"/>
  <c r="R96" i="5"/>
  <c r="R327" i="11"/>
  <c r="R140" i="11" s="1"/>
  <c r="M326" i="11"/>
  <c r="M100" i="30" s="1"/>
  <c r="L326" i="11"/>
  <c r="L100" i="30" s="1"/>
  <c r="K204" i="19"/>
  <c r="K203" i="19"/>
  <c r="K202" i="19"/>
  <c r="K201" i="19"/>
  <c r="K200" i="19"/>
  <c r="K199" i="19"/>
  <c r="K198" i="19"/>
  <c r="K197" i="19"/>
  <c r="K195" i="19"/>
  <c r="K194" i="19"/>
  <c r="K193" i="19"/>
  <c r="K192" i="19"/>
  <c r="K191" i="19"/>
  <c r="K190" i="19"/>
  <c r="K188" i="19"/>
  <c r="K187" i="19"/>
  <c r="K186" i="19"/>
  <c r="K183" i="19"/>
  <c r="K182" i="19"/>
  <c r="K181" i="19"/>
  <c r="K180" i="19"/>
  <c r="K179" i="19"/>
  <c r="K178" i="19"/>
  <c r="K177" i="19"/>
  <c r="K176" i="19"/>
  <c r="K174" i="19"/>
  <c r="K173" i="19"/>
  <c r="K172" i="19"/>
  <c r="K171" i="19"/>
  <c r="K170" i="19"/>
  <c r="K169" i="19"/>
  <c r="K167" i="19"/>
  <c r="K166" i="19"/>
  <c r="K165" i="19"/>
  <c r="R236" i="5" l="1"/>
  <c r="V236" i="5"/>
  <c r="S236" i="5"/>
  <c r="U236" i="5"/>
  <c r="T236" i="5"/>
  <c r="W106" i="5"/>
  <c r="W107" i="5"/>
  <c r="V29" i="20"/>
  <c r="U29" i="20"/>
  <c r="T29" i="20"/>
  <c r="S29" i="20"/>
  <c r="R29" i="20"/>
  <c r="W236" i="5" l="1"/>
  <c r="L236" i="5"/>
  <c r="K350" i="29"/>
  <c r="K349" i="29"/>
  <c r="K348" i="29"/>
  <c r="K347" i="29"/>
  <c r="K344" i="29"/>
  <c r="K343" i="29"/>
  <c r="K342" i="29"/>
  <c r="K341" i="29"/>
  <c r="K316" i="29"/>
  <c r="K315" i="29"/>
  <c r="K314" i="29"/>
  <c r="K313" i="29"/>
  <c r="V31" i="29" l="1"/>
  <c r="V30" i="29"/>
  <c r="R24" i="29"/>
  <c r="U357" i="16" l="1"/>
  <c r="U31" i="29" s="1"/>
  <c r="T357" i="16"/>
  <c r="T31" i="29" s="1"/>
  <c r="S357" i="16"/>
  <c r="S31" i="29" s="1"/>
  <c r="R357" i="16"/>
  <c r="U356" i="16"/>
  <c r="U30" i="29" s="1"/>
  <c r="T356" i="16"/>
  <c r="T30" i="29" s="1"/>
  <c r="S356" i="16"/>
  <c r="S30" i="29" s="1"/>
  <c r="R356" i="16"/>
  <c r="V355" i="16"/>
  <c r="V29" i="29" s="1"/>
  <c r="U355" i="16"/>
  <c r="U29" i="29" s="1"/>
  <c r="T355" i="16"/>
  <c r="T29" i="29" s="1"/>
  <c r="S355" i="16"/>
  <c r="S29" i="29" s="1"/>
  <c r="R355" i="16"/>
  <c r="L356" i="16" l="1"/>
  <c r="M356" i="16"/>
  <c r="L357" i="16"/>
  <c r="M357" i="16"/>
  <c r="L355" i="16"/>
  <c r="M355" i="16"/>
  <c r="R30" i="29"/>
  <c r="R31" i="29"/>
  <c r="R29" i="29"/>
  <c r="K699" i="18"/>
  <c r="K698" i="18"/>
  <c r="K697" i="18"/>
  <c r="K696" i="18"/>
  <c r="K695" i="18"/>
  <c r="K694" i="18"/>
  <c r="K693" i="18"/>
  <c r="K692" i="18"/>
  <c r="K690" i="18"/>
  <c r="K689" i="18"/>
  <c r="K688" i="18"/>
  <c r="K687" i="18"/>
  <c r="K686" i="18"/>
  <c r="K685" i="18"/>
  <c r="K683" i="18"/>
  <c r="K682" i="18"/>
  <c r="K681" i="18"/>
  <c r="K720" i="18"/>
  <c r="K719" i="18"/>
  <c r="K718" i="18"/>
  <c r="K717" i="18"/>
  <c r="K716" i="18"/>
  <c r="K715" i="18"/>
  <c r="K714" i="18"/>
  <c r="K713" i="18"/>
  <c r="K711" i="18"/>
  <c r="K710" i="18"/>
  <c r="K709" i="18"/>
  <c r="K708" i="18"/>
  <c r="K707" i="18"/>
  <c r="K706" i="18"/>
  <c r="K704" i="18"/>
  <c r="K703" i="18"/>
  <c r="K702" i="18"/>
  <c r="K657" i="18"/>
  <c r="K656" i="18"/>
  <c r="K655" i="18"/>
  <c r="K654" i="18"/>
  <c r="K653" i="18"/>
  <c r="K652" i="18"/>
  <c r="K651" i="18"/>
  <c r="K650" i="18"/>
  <c r="K648" i="18"/>
  <c r="K647" i="18"/>
  <c r="K646" i="18"/>
  <c r="K645" i="18"/>
  <c r="K644" i="18"/>
  <c r="K643" i="18"/>
  <c r="K641" i="18"/>
  <c r="K640" i="18"/>
  <c r="K639" i="18"/>
  <c r="K678" i="18"/>
  <c r="K677" i="18"/>
  <c r="K676" i="18"/>
  <c r="K675" i="18"/>
  <c r="K674" i="18"/>
  <c r="K673" i="18"/>
  <c r="K672" i="18"/>
  <c r="K671" i="18"/>
  <c r="K669" i="18"/>
  <c r="K668" i="18"/>
  <c r="K667" i="18"/>
  <c r="K666" i="18"/>
  <c r="K665" i="18"/>
  <c r="K664" i="18"/>
  <c r="K662" i="18"/>
  <c r="K661" i="18"/>
  <c r="K660" i="18"/>
  <c r="K119" i="19"/>
  <c r="K120" i="19"/>
  <c r="K121" i="19"/>
  <c r="K123" i="19"/>
  <c r="M64" i="30" l="1"/>
  <c r="L64" i="30"/>
  <c r="K18" i="19"/>
  <c r="K17" i="19"/>
  <c r="K16" i="19"/>
  <c r="K15" i="19"/>
  <c r="K85" i="19"/>
  <c r="K84" i="19"/>
  <c r="K83" i="19"/>
  <c r="K82" i="19"/>
  <c r="K81" i="19"/>
  <c r="K80" i="19"/>
  <c r="K79" i="19"/>
  <c r="K78" i="19"/>
  <c r="K76" i="19"/>
  <c r="K75" i="19"/>
  <c r="K74" i="19"/>
  <c r="K73" i="19"/>
  <c r="K72" i="19"/>
  <c r="K71" i="19"/>
  <c r="K69" i="19"/>
  <c r="K68" i="19"/>
  <c r="K67" i="19"/>
  <c r="K112" i="19"/>
  <c r="K111" i="19"/>
  <c r="K110" i="19"/>
  <c r="K109" i="19"/>
  <c r="K108" i="19"/>
  <c r="K107" i="19"/>
  <c r="K106" i="19"/>
  <c r="K105" i="19"/>
  <c r="K103" i="19"/>
  <c r="K102" i="19"/>
  <c r="K101" i="19"/>
  <c r="K100" i="19"/>
  <c r="K99" i="19"/>
  <c r="K98" i="19"/>
  <c r="K96" i="19"/>
  <c r="K95" i="19"/>
  <c r="K94" i="19"/>
  <c r="K158" i="19"/>
  <c r="K157" i="19"/>
  <c r="K156" i="19"/>
  <c r="K155" i="19"/>
  <c r="K154" i="19"/>
  <c r="K153" i="19"/>
  <c r="K152" i="19"/>
  <c r="K149" i="19"/>
  <c r="K148" i="19"/>
  <c r="K147" i="19"/>
  <c r="K146" i="19"/>
  <c r="K145" i="19"/>
  <c r="K144" i="19"/>
  <c r="K142" i="19"/>
  <c r="K141" i="19"/>
  <c r="K140" i="19"/>
  <c r="K137" i="19"/>
  <c r="K136" i="19"/>
  <c r="K135" i="19"/>
  <c r="K134" i="19"/>
  <c r="K133" i="19"/>
  <c r="K132" i="19"/>
  <c r="K131" i="19"/>
  <c r="K130" i="19"/>
  <c r="K128" i="19"/>
  <c r="K127" i="19"/>
  <c r="K126" i="19"/>
  <c r="K125" i="19"/>
  <c r="K124" i="19"/>
  <c r="K503" i="18"/>
  <c r="K502" i="18"/>
  <c r="K501" i="18"/>
  <c r="K500" i="18"/>
  <c r="K499" i="18"/>
  <c r="K498" i="18"/>
  <c r="K497" i="18"/>
  <c r="K496" i="18"/>
  <c r="K494" i="18"/>
  <c r="K493" i="18"/>
  <c r="K492" i="18"/>
  <c r="K491" i="18"/>
  <c r="K490" i="18"/>
  <c r="K489" i="18"/>
  <c r="K487" i="18"/>
  <c r="K486" i="18"/>
  <c r="K485" i="18"/>
  <c r="K482" i="18"/>
  <c r="K481" i="18"/>
  <c r="K480" i="18"/>
  <c r="K479" i="18"/>
  <c r="K478" i="18"/>
  <c r="K477" i="18"/>
  <c r="K476" i="18"/>
  <c r="K475" i="18"/>
  <c r="K473" i="18"/>
  <c r="K472" i="18"/>
  <c r="K471" i="18"/>
  <c r="K470" i="18"/>
  <c r="K469" i="18"/>
  <c r="K468" i="18"/>
  <c r="K466" i="18"/>
  <c r="K465" i="18"/>
  <c r="K464" i="18"/>
  <c r="K461" i="18"/>
  <c r="K460" i="18"/>
  <c r="K459" i="18"/>
  <c r="K458" i="18"/>
  <c r="K457" i="18"/>
  <c r="K456" i="18"/>
  <c r="K455" i="18"/>
  <c r="K454" i="18"/>
  <c r="K452" i="18"/>
  <c r="K451" i="18"/>
  <c r="K450" i="18"/>
  <c r="K449" i="18"/>
  <c r="K448" i="18"/>
  <c r="K447" i="18"/>
  <c r="K445" i="18"/>
  <c r="K444" i="18"/>
  <c r="K443" i="18"/>
  <c r="K440" i="18"/>
  <c r="K439" i="18"/>
  <c r="K438" i="18"/>
  <c r="K437" i="18"/>
  <c r="K436" i="18"/>
  <c r="K435" i="18"/>
  <c r="K434" i="18"/>
  <c r="K433" i="18"/>
  <c r="K431" i="18"/>
  <c r="K430" i="18"/>
  <c r="K429" i="18"/>
  <c r="K428" i="18"/>
  <c r="K427" i="18"/>
  <c r="K426" i="18"/>
  <c r="K424" i="18"/>
  <c r="K423" i="18"/>
  <c r="K422" i="18"/>
  <c r="K419" i="18"/>
  <c r="K418" i="18"/>
  <c r="K417" i="18"/>
  <c r="K416" i="18"/>
  <c r="K415" i="18"/>
  <c r="K414" i="18"/>
  <c r="K413" i="18"/>
  <c r="K412" i="18"/>
  <c r="K410" i="18"/>
  <c r="K409" i="18"/>
  <c r="K408" i="18"/>
  <c r="K407" i="18"/>
  <c r="K406" i="18"/>
  <c r="K405" i="18"/>
  <c r="K403" i="18"/>
  <c r="K402" i="18"/>
  <c r="K401" i="18"/>
  <c r="K398" i="18"/>
  <c r="K397" i="18"/>
  <c r="K396" i="18"/>
  <c r="K395" i="18"/>
  <c r="K394" i="18"/>
  <c r="K393" i="18"/>
  <c r="K392" i="18"/>
  <c r="K391" i="18"/>
  <c r="K389" i="18"/>
  <c r="K388" i="18"/>
  <c r="K387" i="18"/>
  <c r="K386" i="18"/>
  <c r="K385" i="18"/>
  <c r="K384" i="18"/>
  <c r="K382" i="18"/>
  <c r="K381" i="18"/>
  <c r="K380" i="18"/>
  <c r="K377" i="18"/>
  <c r="K376" i="18"/>
  <c r="K375" i="18"/>
  <c r="K374" i="18"/>
  <c r="K373" i="18"/>
  <c r="K372" i="18"/>
  <c r="K371" i="18"/>
  <c r="K370" i="18"/>
  <c r="K368" i="18"/>
  <c r="K367" i="18"/>
  <c r="K366" i="18"/>
  <c r="K365" i="18"/>
  <c r="K364" i="18"/>
  <c r="K363" i="18"/>
  <c r="K361" i="18"/>
  <c r="K360" i="18"/>
  <c r="K359" i="18"/>
  <c r="K31" i="5" l="1"/>
  <c r="V30" i="5"/>
  <c r="U30" i="5"/>
  <c r="T30" i="5"/>
  <c r="S30" i="5"/>
  <c r="R30" i="5"/>
  <c r="V29" i="5"/>
  <c r="U29" i="5"/>
  <c r="T29" i="5"/>
  <c r="S29" i="5"/>
  <c r="R29" i="5"/>
  <c r="W30" i="5" l="1"/>
  <c r="S31" i="5"/>
  <c r="T31" i="5"/>
  <c r="T25" i="19" s="1"/>
  <c r="U31" i="5"/>
  <c r="R31" i="5"/>
  <c r="V31" i="5"/>
  <c r="K37" i="19"/>
  <c r="K35" i="19"/>
  <c r="K36" i="19"/>
  <c r="K34" i="19"/>
  <c r="K33" i="19"/>
  <c r="K30" i="19"/>
  <c r="K23" i="19"/>
  <c r="K22" i="19"/>
  <c r="K21" i="19"/>
  <c r="K27" i="19"/>
  <c r="U25" i="19" l="1"/>
  <c r="U86" i="19" s="1"/>
  <c r="T86" i="19"/>
  <c r="V25" i="19"/>
  <c r="V86" i="19" s="1"/>
  <c r="S25" i="19"/>
  <c r="S86" i="19" s="1"/>
  <c r="R25" i="19"/>
  <c r="W31" i="5"/>
  <c r="U139" i="29"/>
  <c r="T139" i="29"/>
  <c r="S139" i="29"/>
  <c r="R139" i="29"/>
  <c r="U138" i="29"/>
  <c r="T138" i="29"/>
  <c r="S138" i="29"/>
  <c r="R138" i="29"/>
  <c r="U137" i="29"/>
  <c r="T137" i="29"/>
  <c r="S137" i="29"/>
  <c r="R137" i="29"/>
  <c r="U136" i="29"/>
  <c r="T136" i="29"/>
  <c r="S136" i="29"/>
  <c r="R136" i="29"/>
  <c r="U135" i="29"/>
  <c r="T135" i="29"/>
  <c r="S135" i="29"/>
  <c r="R135" i="29"/>
  <c r="U134" i="29"/>
  <c r="T134" i="29"/>
  <c r="S134" i="29"/>
  <c r="R134" i="29"/>
  <c r="U133" i="29"/>
  <c r="T133" i="29"/>
  <c r="S133" i="29"/>
  <c r="R133" i="29"/>
  <c r="U132" i="29"/>
  <c r="T132" i="29"/>
  <c r="S132" i="29"/>
  <c r="R132" i="29"/>
  <c r="U131" i="29"/>
  <c r="T131" i="29"/>
  <c r="S131" i="29"/>
  <c r="R131" i="29"/>
  <c r="U130" i="29"/>
  <c r="T130" i="29"/>
  <c r="S130" i="29"/>
  <c r="R130" i="29"/>
  <c r="U129" i="29"/>
  <c r="T129" i="29"/>
  <c r="S129" i="29"/>
  <c r="R129" i="29"/>
  <c r="U128" i="29"/>
  <c r="T128" i="29"/>
  <c r="S128" i="29"/>
  <c r="R128" i="29"/>
  <c r="U127" i="29"/>
  <c r="T127" i="29"/>
  <c r="S127" i="29"/>
  <c r="R127" i="29"/>
  <c r="U126" i="29"/>
  <c r="T126" i="29"/>
  <c r="S126" i="29"/>
  <c r="R126" i="29"/>
  <c r="U125" i="29"/>
  <c r="T125" i="29"/>
  <c r="S125" i="29"/>
  <c r="R125" i="29"/>
  <c r="U124" i="29"/>
  <c r="T124" i="29"/>
  <c r="S124" i="29"/>
  <c r="R124" i="29"/>
  <c r="U123" i="29"/>
  <c r="T123" i="29"/>
  <c r="S123" i="29"/>
  <c r="R123" i="29"/>
  <c r="U122" i="29"/>
  <c r="T122" i="29"/>
  <c r="S122" i="29"/>
  <c r="R122" i="29"/>
  <c r="U121" i="29"/>
  <c r="T121" i="29"/>
  <c r="S121" i="29"/>
  <c r="R121" i="29"/>
  <c r="U120" i="29"/>
  <c r="T120" i="29"/>
  <c r="S120" i="29"/>
  <c r="R120" i="29"/>
  <c r="U119" i="29"/>
  <c r="T119" i="29"/>
  <c r="S119" i="29"/>
  <c r="R119" i="29"/>
  <c r="U118" i="29"/>
  <c r="T118" i="29"/>
  <c r="S118" i="29"/>
  <c r="R118" i="29"/>
  <c r="U117" i="29"/>
  <c r="T117" i="29"/>
  <c r="S117" i="29"/>
  <c r="R117" i="29"/>
  <c r="U116" i="29"/>
  <c r="T116" i="29"/>
  <c r="S116" i="29"/>
  <c r="R116" i="29"/>
  <c r="U113" i="29"/>
  <c r="T113" i="29"/>
  <c r="S113" i="29"/>
  <c r="R113" i="29"/>
  <c r="U112" i="29"/>
  <c r="T112" i="29"/>
  <c r="S112" i="29"/>
  <c r="R112" i="29"/>
  <c r="U111" i="29"/>
  <c r="T111" i="29"/>
  <c r="S111" i="29"/>
  <c r="R111" i="29"/>
  <c r="U110" i="29"/>
  <c r="T110" i="29"/>
  <c r="S110" i="29"/>
  <c r="R110" i="29"/>
  <c r="U109" i="29"/>
  <c r="T109" i="29"/>
  <c r="S109" i="29"/>
  <c r="R109" i="29"/>
  <c r="U108" i="29"/>
  <c r="T108" i="29"/>
  <c r="S108" i="29"/>
  <c r="R108" i="29"/>
  <c r="U107" i="29"/>
  <c r="T107" i="29"/>
  <c r="S107" i="29"/>
  <c r="R107" i="29"/>
  <c r="U106" i="29"/>
  <c r="T106" i="29"/>
  <c r="S106" i="29"/>
  <c r="R106" i="29"/>
  <c r="U105" i="29"/>
  <c r="T105" i="29"/>
  <c r="S105" i="29"/>
  <c r="R105" i="29"/>
  <c r="U104" i="29"/>
  <c r="T104" i="29"/>
  <c r="S104" i="29"/>
  <c r="R104" i="29"/>
  <c r="U103" i="29"/>
  <c r="T103" i="29"/>
  <c r="S103" i="29"/>
  <c r="R103" i="29"/>
  <c r="U102" i="29"/>
  <c r="T102" i="29"/>
  <c r="S102" i="29"/>
  <c r="R102" i="29"/>
  <c r="U101" i="29"/>
  <c r="T101" i="29"/>
  <c r="S101" i="29"/>
  <c r="R101" i="29"/>
  <c r="U100" i="29"/>
  <c r="T100" i="29"/>
  <c r="S100" i="29"/>
  <c r="R100" i="29"/>
  <c r="U99" i="29"/>
  <c r="T99" i="29"/>
  <c r="S99" i="29"/>
  <c r="R99" i="29"/>
  <c r="U98" i="29"/>
  <c r="T98" i="29"/>
  <c r="S98" i="29"/>
  <c r="R98" i="29"/>
  <c r="U97" i="29"/>
  <c r="T97" i="29"/>
  <c r="S97" i="29"/>
  <c r="R97" i="29"/>
  <c r="U96" i="29"/>
  <c r="T96" i="29"/>
  <c r="S96" i="29"/>
  <c r="R96" i="29"/>
  <c r="U95" i="29"/>
  <c r="T95" i="29"/>
  <c r="S95" i="29"/>
  <c r="R95" i="29"/>
  <c r="U94" i="29"/>
  <c r="T94" i="29"/>
  <c r="S94" i="29"/>
  <c r="R94" i="29"/>
  <c r="U93" i="29"/>
  <c r="T93" i="29"/>
  <c r="S93" i="29"/>
  <c r="R93" i="29"/>
  <c r="U92" i="29"/>
  <c r="T92" i="29"/>
  <c r="S92" i="29"/>
  <c r="R92" i="29"/>
  <c r="V91" i="29"/>
  <c r="U91" i="29"/>
  <c r="T91" i="29"/>
  <c r="S91" i="29"/>
  <c r="R91" i="29"/>
  <c r="V90" i="29"/>
  <c r="U90" i="29"/>
  <c r="T90" i="29"/>
  <c r="S90" i="29"/>
  <c r="R90" i="29"/>
  <c r="V87" i="29"/>
  <c r="U87" i="29"/>
  <c r="T87" i="29"/>
  <c r="S87" i="29"/>
  <c r="R87" i="29"/>
  <c r="V86" i="29"/>
  <c r="U86" i="29"/>
  <c r="T86" i="29"/>
  <c r="S86" i="29"/>
  <c r="R86" i="29"/>
  <c r="V85" i="29"/>
  <c r="U85" i="29"/>
  <c r="T85" i="29"/>
  <c r="S85" i="29"/>
  <c r="R85" i="29"/>
  <c r="V84" i="29"/>
  <c r="U84" i="29"/>
  <c r="T84" i="29"/>
  <c r="S84" i="29"/>
  <c r="R84" i="29"/>
  <c r="V83" i="29"/>
  <c r="U83" i="29"/>
  <c r="T83" i="29"/>
  <c r="S83" i="29"/>
  <c r="R83" i="29"/>
  <c r="V82" i="29"/>
  <c r="U82" i="29"/>
  <c r="T82" i="29"/>
  <c r="S82" i="29"/>
  <c r="R82" i="29"/>
  <c r="V81" i="29"/>
  <c r="U81" i="29"/>
  <c r="T81" i="29"/>
  <c r="S81" i="29"/>
  <c r="R81" i="29"/>
  <c r="V80" i="29"/>
  <c r="U80" i="29"/>
  <c r="T80" i="29"/>
  <c r="S80" i="29"/>
  <c r="R80" i="29"/>
  <c r="V79" i="29"/>
  <c r="U79" i="29"/>
  <c r="T79" i="29"/>
  <c r="S79" i="29"/>
  <c r="R79" i="29"/>
  <c r="V78" i="29"/>
  <c r="U78" i="29"/>
  <c r="T78" i="29"/>
  <c r="S78" i="29"/>
  <c r="R78" i="29"/>
  <c r="V77" i="29"/>
  <c r="U77" i="29"/>
  <c r="T77" i="29"/>
  <c r="S77" i="29"/>
  <c r="R77" i="29"/>
  <c r="V76" i="29"/>
  <c r="U76" i="29"/>
  <c r="T76" i="29"/>
  <c r="S76" i="29"/>
  <c r="R76" i="29"/>
  <c r="V75" i="29"/>
  <c r="U75" i="29"/>
  <c r="T75" i="29"/>
  <c r="S75" i="29"/>
  <c r="R75" i="29"/>
  <c r="V74" i="29"/>
  <c r="U74" i="29"/>
  <c r="T74" i="29"/>
  <c r="S74" i="29"/>
  <c r="R74" i="29"/>
  <c r="V73" i="29"/>
  <c r="U73" i="29"/>
  <c r="T73" i="29"/>
  <c r="S73" i="29"/>
  <c r="R73" i="29"/>
  <c r="V72" i="29"/>
  <c r="U72" i="29"/>
  <c r="T72" i="29"/>
  <c r="S72" i="29"/>
  <c r="R72" i="29"/>
  <c r="V71" i="29"/>
  <c r="U71" i="29"/>
  <c r="T71" i="29"/>
  <c r="S71" i="29"/>
  <c r="R71" i="29"/>
  <c r="V70" i="29"/>
  <c r="U70" i="29"/>
  <c r="T70" i="29"/>
  <c r="S70" i="29"/>
  <c r="R70" i="29"/>
  <c r="V69" i="29"/>
  <c r="U69" i="29"/>
  <c r="T69" i="29"/>
  <c r="S69" i="29"/>
  <c r="R69" i="29"/>
  <c r="V68" i="29"/>
  <c r="U68" i="29"/>
  <c r="T68" i="29"/>
  <c r="S68" i="29"/>
  <c r="R68" i="29"/>
  <c r="V67" i="29"/>
  <c r="U67" i="29"/>
  <c r="T67" i="29"/>
  <c r="S67" i="29"/>
  <c r="R67" i="29"/>
  <c r="V66" i="29"/>
  <c r="U66" i="29"/>
  <c r="T66" i="29"/>
  <c r="S66" i="29"/>
  <c r="R66" i="29"/>
  <c r="V65" i="29"/>
  <c r="U65" i="29"/>
  <c r="T65" i="29"/>
  <c r="S65" i="29"/>
  <c r="R65" i="29"/>
  <c r="V64" i="29"/>
  <c r="U64" i="29"/>
  <c r="T64" i="29"/>
  <c r="S64" i="29"/>
  <c r="R64" i="29"/>
  <c r="V61" i="29"/>
  <c r="U61" i="29"/>
  <c r="T61" i="29"/>
  <c r="S61" i="29"/>
  <c r="R61" i="29"/>
  <c r="V60" i="29"/>
  <c r="U60" i="29"/>
  <c r="T60" i="29"/>
  <c r="S60" i="29"/>
  <c r="R60" i="29"/>
  <c r="V59" i="29"/>
  <c r="U59" i="29"/>
  <c r="T59" i="29"/>
  <c r="S59" i="29"/>
  <c r="R59" i="29"/>
  <c r="V58" i="29"/>
  <c r="U58" i="29"/>
  <c r="T58" i="29"/>
  <c r="S58" i="29"/>
  <c r="R58" i="29"/>
  <c r="V57" i="29"/>
  <c r="U57" i="29"/>
  <c r="T57" i="29"/>
  <c r="S57" i="29"/>
  <c r="R57" i="29"/>
  <c r="V56" i="29"/>
  <c r="U56" i="29"/>
  <c r="T56" i="29"/>
  <c r="S56" i="29"/>
  <c r="R56" i="29"/>
  <c r="V55" i="29"/>
  <c r="U55" i="29"/>
  <c r="T55" i="29"/>
  <c r="S55" i="29"/>
  <c r="R55" i="29"/>
  <c r="V54" i="29"/>
  <c r="U54" i="29"/>
  <c r="T54" i="29"/>
  <c r="S54" i="29"/>
  <c r="R54" i="29"/>
  <c r="V53" i="29"/>
  <c r="U53" i="29"/>
  <c r="T53" i="29"/>
  <c r="S53" i="29"/>
  <c r="R53" i="29"/>
  <c r="V52" i="29"/>
  <c r="U52" i="29"/>
  <c r="T52" i="29"/>
  <c r="S52" i="29"/>
  <c r="R52" i="29"/>
  <c r="V51" i="29"/>
  <c r="U51" i="29"/>
  <c r="T51" i="29"/>
  <c r="S51" i="29"/>
  <c r="R51" i="29"/>
  <c r="V50" i="29"/>
  <c r="U50" i="29"/>
  <c r="T50" i="29"/>
  <c r="S50" i="29"/>
  <c r="R50" i="29"/>
  <c r="V49" i="29"/>
  <c r="U49" i="29"/>
  <c r="T49" i="29"/>
  <c r="S49" i="29"/>
  <c r="R49" i="29"/>
  <c r="V48" i="29"/>
  <c r="U48" i="29"/>
  <c r="T48" i="29"/>
  <c r="S48" i="29"/>
  <c r="R48" i="29"/>
  <c r="V47" i="29"/>
  <c r="U47" i="29"/>
  <c r="T47" i="29"/>
  <c r="S47" i="29"/>
  <c r="R47" i="29"/>
  <c r="V46" i="29"/>
  <c r="U46" i="29"/>
  <c r="T46" i="29"/>
  <c r="S46" i="29"/>
  <c r="R46" i="29"/>
  <c r="V45" i="29"/>
  <c r="U45" i="29"/>
  <c r="T45" i="29"/>
  <c r="S45" i="29"/>
  <c r="R45" i="29"/>
  <c r="V44" i="29"/>
  <c r="U44" i="29"/>
  <c r="T44" i="29"/>
  <c r="S44" i="29"/>
  <c r="R44" i="29"/>
  <c r="V43" i="29"/>
  <c r="U43" i="29"/>
  <c r="T43" i="29"/>
  <c r="S43" i="29"/>
  <c r="R43" i="29"/>
  <c r="V42" i="29"/>
  <c r="U42" i="29"/>
  <c r="T42" i="29"/>
  <c r="S42" i="29"/>
  <c r="R42" i="29"/>
  <c r="V41" i="29"/>
  <c r="U41" i="29"/>
  <c r="T41" i="29"/>
  <c r="S41" i="29"/>
  <c r="R41" i="29"/>
  <c r="V40" i="29"/>
  <c r="U40" i="29"/>
  <c r="T40" i="29"/>
  <c r="S40" i="29"/>
  <c r="R40" i="29"/>
  <c r="V39" i="29"/>
  <c r="U39" i="29"/>
  <c r="T39" i="29"/>
  <c r="S39" i="29"/>
  <c r="R39" i="29"/>
  <c r="V38" i="29"/>
  <c r="U38" i="29"/>
  <c r="T38" i="29"/>
  <c r="S38" i="29"/>
  <c r="R38" i="29"/>
  <c r="K355" i="29"/>
  <c r="K354" i="29"/>
  <c r="V113" i="29"/>
  <c r="V112" i="29"/>
  <c r="V111" i="29"/>
  <c r="M432" i="16"/>
  <c r="V109" i="29"/>
  <c r="M430" i="16"/>
  <c r="V107" i="29"/>
  <c r="V106" i="29"/>
  <c r="V105" i="29"/>
  <c r="M426" i="16"/>
  <c r="M425" i="16"/>
  <c r="V102" i="29"/>
  <c r="V101" i="29"/>
  <c r="M422" i="16"/>
  <c r="V99" i="29"/>
  <c r="V98" i="29"/>
  <c r="V97" i="29"/>
  <c r="M418" i="16"/>
  <c r="V95" i="29"/>
  <c r="V94" i="29"/>
  <c r="M415" i="16"/>
  <c r="V92" i="29"/>
  <c r="V461" i="16"/>
  <c r="V139" i="29" s="1"/>
  <c r="V460" i="16"/>
  <c r="V138" i="29" s="1"/>
  <c r="V459" i="16"/>
  <c r="V137" i="29" s="1"/>
  <c r="V458" i="16"/>
  <c r="V136" i="29" s="1"/>
  <c r="V457" i="16"/>
  <c r="V135" i="29" s="1"/>
  <c r="V456" i="16"/>
  <c r="V134" i="29" s="1"/>
  <c r="V455" i="16"/>
  <c r="V133" i="29" s="1"/>
  <c r="V454" i="16"/>
  <c r="M454" i="16" s="1"/>
  <c r="V453" i="16"/>
  <c r="V131" i="29" s="1"/>
  <c r="V452" i="16"/>
  <c r="V130" i="29" s="1"/>
  <c r="V451" i="16"/>
  <c r="V129" i="29" s="1"/>
  <c r="V450" i="16"/>
  <c r="V128" i="29" s="1"/>
  <c r="V449" i="16"/>
  <c r="V127" i="29" s="1"/>
  <c r="V448" i="16"/>
  <c r="V126" i="29" s="1"/>
  <c r="V447" i="16"/>
  <c r="V125" i="29" s="1"/>
  <c r="V446" i="16"/>
  <c r="M446" i="16" s="1"/>
  <c r="V445" i="16"/>
  <c r="V123" i="29" s="1"/>
  <c r="V122" i="29"/>
  <c r="V443" i="16"/>
  <c r="V121" i="29" s="1"/>
  <c r="V442" i="16"/>
  <c r="M442" i="16" s="1"/>
  <c r="V119" i="29"/>
  <c r="V118" i="29"/>
  <c r="V439" i="16"/>
  <c r="M438" i="16"/>
  <c r="M413" i="16"/>
  <c r="M428" i="16"/>
  <c r="M424" i="16"/>
  <c r="R86" i="19" l="1"/>
  <c r="W25" i="19"/>
  <c r="M439" i="16"/>
  <c r="V409" i="33" a="1"/>
  <c r="V409" i="33" s="1"/>
  <c r="V263" i="33" a="1"/>
  <c r="V263" i="33" s="1"/>
  <c r="V264" i="33" a="1"/>
  <c r="V264" i="33" s="1"/>
  <c r="V262" i="33" a="1"/>
  <c r="V262" i="33" s="1"/>
  <c r="V410" i="33" a="1"/>
  <c r="V410" i="33" s="1"/>
  <c r="V416" i="33" s="1"/>
  <c r="V411" i="33" a="1"/>
  <c r="V411" i="33" s="1"/>
  <c r="V417" i="33" s="1"/>
  <c r="W86" i="19"/>
  <c r="M460" i="16"/>
  <c r="M423" i="16"/>
  <c r="M416" i="16"/>
  <c r="M443" i="16"/>
  <c r="M419" i="16"/>
  <c r="M441" i="16"/>
  <c r="M452" i="16"/>
  <c r="M414" i="16"/>
  <c r="M451" i="16"/>
  <c r="M417" i="16"/>
  <c r="M459" i="16"/>
  <c r="M450" i="16"/>
  <c r="M421" i="16"/>
  <c r="V103" i="29"/>
  <c r="V132" i="29"/>
  <c r="V120" i="29"/>
  <c r="M458" i="16"/>
  <c r="V93" i="29"/>
  <c r="M456" i="16"/>
  <c r="V117" i="29"/>
  <c r="M455" i="16"/>
  <c r="M447" i="16"/>
  <c r="M448" i="16"/>
  <c r="M440" i="16"/>
  <c r="M444" i="16"/>
  <c r="M427" i="16"/>
  <c r="V124" i="29"/>
  <c r="M461" i="16"/>
  <c r="M457" i="16"/>
  <c r="M445" i="16"/>
  <c r="M453" i="16"/>
  <c r="M449" i="16"/>
  <c r="V116" i="29"/>
  <c r="M435" i="16"/>
  <c r="M434" i="16"/>
  <c r="M433" i="16"/>
  <c r="V110" i="29"/>
  <c r="M431" i="16"/>
  <c r="V108" i="29"/>
  <c r="M429" i="16"/>
  <c r="M420" i="16"/>
  <c r="V100" i="29"/>
  <c r="V104" i="29"/>
  <c r="V96" i="29"/>
  <c r="K21" i="29"/>
  <c r="K20" i="29"/>
  <c r="K19" i="29"/>
  <c r="K361" i="29"/>
  <c r="K360" i="29"/>
  <c r="K359" i="29"/>
  <c r="K356" i="29"/>
  <c r="K353" i="29"/>
  <c r="K325" i="29"/>
  <c r="K324" i="29"/>
  <c r="K323" i="29"/>
  <c r="K310" i="29"/>
  <c r="K309" i="29"/>
  <c r="K308" i="29"/>
  <c r="K307" i="29"/>
  <c r="N285" i="29"/>
  <c r="N284" i="29"/>
  <c r="N283" i="29"/>
  <c r="N282" i="29"/>
  <c r="N278" i="29"/>
  <c r="N277" i="29"/>
  <c r="N276" i="29"/>
  <c r="N275" i="29"/>
  <c r="N271" i="29"/>
  <c r="N270" i="29"/>
  <c r="N269" i="29"/>
  <c r="N268" i="29"/>
  <c r="V250" i="29"/>
  <c r="U250" i="29"/>
  <c r="T250" i="29"/>
  <c r="S250" i="29"/>
  <c r="R250" i="29"/>
  <c r="K250" i="29"/>
  <c r="V249" i="29"/>
  <c r="U249" i="29"/>
  <c r="T249" i="29"/>
  <c r="S249" i="29"/>
  <c r="R249" i="29"/>
  <c r="K249" i="29"/>
  <c r="V248" i="29"/>
  <c r="U248" i="29"/>
  <c r="T248" i="29"/>
  <c r="S248" i="29"/>
  <c r="R248" i="29"/>
  <c r="K248" i="29"/>
  <c r="V247" i="29"/>
  <c r="U247" i="29"/>
  <c r="T247" i="29"/>
  <c r="S247" i="29"/>
  <c r="R247" i="29"/>
  <c r="K247" i="29"/>
  <c r="V246" i="29"/>
  <c r="U246" i="29"/>
  <c r="T246" i="29"/>
  <c r="S246" i="29"/>
  <c r="R246" i="29"/>
  <c r="K246" i="29"/>
  <c r="V245" i="29"/>
  <c r="U245" i="29"/>
  <c r="T245" i="29"/>
  <c r="S245" i="29"/>
  <c r="R245" i="29"/>
  <c r="K245" i="29"/>
  <c r="V244" i="29"/>
  <c r="U244" i="29"/>
  <c r="T244" i="29"/>
  <c r="S244" i="29"/>
  <c r="R244" i="29"/>
  <c r="K244" i="29"/>
  <c r="V243" i="29"/>
  <c r="U243" i="29"/>
  <c r="T243" i="29"/>
  <c r="S243" i="29"/>
  <c r="R243" i="29"/>
  <c r="K243" i="29"/>
  <c r="V242" i="29"/>
  <c r="U242" i="29"/>
  <c r="T242" i="29"/>
  <c r="S242" i="29"/>
  <c r="R242" i="29"/>
  <c r="K242" i="29"/>
  <c r="V241" i="29"/>
  <c r="U241" i="29"/>
  <c r="T241" i="29"/>
  <c r="S241" i="29"/>
  <c r="R241" i="29"/>
  <c r="K241" i="29"/>
  <c r="V240" i="29"/>
  <c r="U240" i="29"/>
  <c r="T240" i="29"/>
  <c r="S240" i="29"/>
  <c r="R240" i="29"/>
  <c r="K240" i="29"/>
  <c r="V239" i="29"/>
  <c r="U239" i="29"/>
  <c r="T239" i="29"/>
  <c r="S239" i="29"/>
  <c r="R239" i="29"/>
  <c r="K239" i="29"/>
  <c r="V238" i="29"/>
  <c r="U238" i="29"/>
  <c r="T238" i="29"/>
  <c r="S238" i="29"/>
  <c r="R238" i="29"/>
  <c r="K238" i="29"/>
  <c r="V237" i="29"/>
  <c r="U237" i="29"/>
  <c r="T237" i="29"/>
  <c r="S237" i="29"/>
  <c r="R237" i="29"/>
  <c r="K237" i="29"/>
  <c r="V236" i="29"/>
  <c r="U236" i="29"/>
  <c r="T236" i="29"/>
  <c r="S236" i="29"/>
  <c r="R236" i="29"/>
  <c r="K236" i="29"/>
  <c r="V235" i="29"/>
  <c r="U235" i="29"/>
  <c r="T235" i="29"/>
  <c r="S235" i="29"/>
  <c r="R235" i="29"/>
  <c r="K235" i="29"/>
  <c r="V234" i="29"/>
  <c r="U234" i="29"/>
  <c r="T234" i="29"/>
  <c r="S234" i="29"/>
  <c r="R234" i="29"/>
  <c r="K234" i="29"/>
  <c r="V233" i="29"/>
  <c r="U233" i="29"/>
  <c r="T233" i="29"/>
  <c r="S233" i="29"/>
  <c r="R233" i="29"/>
  <c r="K233" i="29"/>
  <c r="V232" i="29"/>
  <c r="U232" i="29"/>
  <c r="T232" i="29"/>
  <c r="S232" i="29"/>
  <c r="R232" i="29"/>
  <c r="K232" i="29"/>
  <c r="V231" i="29"/>
  <c r="U231" i="29"/>
  <c r="T231" i="29"/>
  <c r="S231" i="29"/>
  <c r="R231" i="29"/>
  <c r="K231" i="29"/>
  <c r="V230" i="29"/>
  <c r="U230" i="29"/>
  <c r="T230" i="29"/>
  <c r="S230" i="29"/>
  <c r="R230" i="29"/>
  <c r="K230" i="29"/>
  <c r="V229" i="29"/>
  <c r="U229" i="29"/>
  <c r="T229" i="29"/>
  <c r="S229" i="29"/>
  <c r="R229" i="29"/>
  <c r="K229" i="29"/>
  <c r="V228" i="29"/>
  <c r="U228" i="29"/>
  <c r="T228" i="29"/>
  <c r="S228" i="29"/>
  <c r="R228" i="29"/>
  <c r="K228" i="29"/>
  <c r="V227" i="29"/>
  <c r="U227" i="29"/>
  <c r="T227" i="29"/>
  <c r="S227" i="29"/>
  <c r="R227" i="29"/>
  <c r="K227" i="29"/>
  <c r="V223" i="29"/>
  <c r="U223" i="29"/>
  <c r="T223" i="29"/>
  <c r="S223" i="29"/>
  <c r="R223" i="29"/>
  <c r="K223" i="29"/>
  <c r="V222" i="29"/>
  <c r="U222" i="29"/>
  <c r="T222" i="29"/>
  <c r="S222" i="29"/>
  <c r="R222" i="29"/>
  <c r="K222" i="29"/>
  <c r="V221" i="29"/>
  <c r="U221" i="29"/>
  <c r="T221" i="29"/>
  <c r="S221" i="29"/>
  <c r="R221" i="29"/>
  <c r="K221" i="29"/>
  <c r="V220" i="29"/>
  <c r="U220" i="29"/>
  <c r="T220" i="29"/>
  <c r="S220" i="29"/>
  <c r="R220" i="29"/>
  <c r="K220" i="29"/>
  <c r="V219" i="29"/>
  <c r="U219" i="29"/>
  <c r="T219" i="29"/>
  <c r="S219" i="29"/>
  <c r="R219" i="29"/>
  <c r="K219" i="29"/>
  <c r="V218" i="29"/>
  <c r="U218" i="29"/>
  <c r="T218" i="29"/>
  <c r="S218" i="29"/>
  <c r="R218" i="29"/>
  <c r="K218" i="29"/>
  <c r="V217" i="29"/>
  <c r="U217" i="29"/>
  <c r="T217" i="29"/>
  <c r="S217" i="29"/>
  <c r="R217" i="29"/>
  <c r="K217" i="29"/>
  <c r="V216" i="29"/>
  <c r="U216" i="29"/>
  <c r="T216" i="29"/>
  <c r="S216" i="29"/>
  <c r="R216" i="29"/>
  <c r="K216" i="29"/>
  <c r="V215" i="29"/>
  <c r="U215" i="29"/>
  <c r="T215" i="29"/>
  <c r="S215" i="29"/>
  <c r="R215" i="29"/>
  <c r="K215" i="29"/>
  <c r="V214" i="29"/>
  <c r="U214" i="29"/>
  <c r="T214" i="29"/>
  <c r="S214" i="29"/>
  <c r="R214" i="29"/>
  <c r="K214" i="29"/>
  <c r="V213" i="29"/>
  <c r="U213" i="29"/>
  <c r="T213" i="29"/>
  <c r="S213" i="29"/>
  <c r="R213" i="29"/>
  <c r="K213" i="29"/>
  <c r="V212" i="29"/>
  <c r="U212" i="29"/>
  <c r="T212" i="29"/>
  <c r="S212" i="29"/>
  <c r="R212" i="29"/>
  <c r="K212" i="29"/>
  <c r="V211" i="29"/>
  <c r="U211" i="29"/>
  <c r="T211" i="29"/>
  <c r="S211" i="29"/>
  <c r="R211" i="29"/>
  <c r="K211" i="29"/>
  <c r="V210" i="29"/>
  <c r="U210" i="29"/>
  <c r="T210" i="29"/>
  <c r="S210" i="29"/>
  <c r="R210" i="29"/>
  <c r="K210" i="29"/>
  <c r="V209" i="29"/>
  <c r="U209" i="29"/>
  <c r="T209" i="29"/>
  <c r="S209" i="29"/>
  <c r="R209" i="29"/>
  <c r="K209" i="29"/>
  <c r="V208" i="29"/>
  <c r="U208" i="29"/>
  <c r="T208" i="29"/>
  <c r="S208" i="29"/>
  <c r="R208" i="29"/>
  <c r="K208" i="29"/>
  <c r="V207" i="29"/>
  <c r="U207" i="29"/>
  <c r="T207" i="29"/>
  <c r="S207" i="29"/>
  <c r="R207" i="29"/>
  <c r="K207" i="29"/>
  <c r="V206" i="29"/>
  <c r="U206" i="29"/>
  <c r="T206" i="29"/>
  <c r="S206" i="29"/>
  <c r="R206" i="29"/>
  <c r="K206" i="29"/>
  <c r="V205" i="29"/>
  <c r="U205" i="29"/>
  <c r="T205" i="29"/>
  <c r="S205" i="29"/>
  <c r="R205" i="29"/>
  <c r="K205" i="29"/>
  <c r="V204" i="29"/>
  <c r="U204" i="29"/>
  <c r="T204" i="29"/>
  <c r="S204" i="29"/>
  <c r="R204" i="29"/>
  <c r="K204" i="29"/>
  <c r="V203" i="29"/>
  <c r="U203" i="29"/>
  <c r="T203" i="29"/>
  <c r="S203" i="29"/>
  <c r="R203" i="29"/>
  <c r="K203" i="29"/>
  <c r="V202" i="29"/>
  <c r="U202" i="29"/>
  <c r="T202" i="29"/>
  <c r="S202" i="29"/>
  <c r="R202" i="29"/>
  <c r="K202" i="29"/>
  <c r="V201" i="29"/>
  <c r="U201" i="29"/>
  <c r="T201" i="29"/>
  <c r="S201" i="29"/>
  <c r="R201" i="29"/>
  <c r="K201" i="29"/>
  <c r="V200" i="29"/>
  <c r="U200" i="29"/>
  <c r="T200" i="29"/>
  <c r="S200" i="29"/>
  <c r="R200" i="29"/>
  <c r="K200" i="29"/>
  <c r="V196" i="29"/>
  <c r="U196" i="29"/>
  <c r="T196" i="29"/>
  <c r="S196" i="29"/>
  <c r="R196" i="29"/>
  <c r="K196" i="29"/>
  <c r="V195" i="29"/>
  <c r="U195" i="29"/>
  <c r="T195" i="29"/>
  <c r="S195" i="29"/>
  <c r="R195" i="29"/>
  <c r="K195" i="29"/>
  <c r="V194" i="29"/>
  <c r="U194" i="29"/>
  <c r="T194" i="29"/>
  <c r="S194" i="29"/>
  <c r="R194" i="29"/>
  <c r="K194" i="29"/>
  <c r="V193" i="29"/>
  <c r="U193" i="29"/>
  <c r="T193" i="29"/>
  <c r="S193" i="29"/>
  <c r="R193" i="29"/>
  <c r="K193" i="29"/>
  <c r="V192" i="29"/>
  <c r="U192" i="29"/>
  <c r="T192" i="29"/>
  <c r="S192" i="29"/>
  <c r="R192" i="29"/>
  <c r="K192" i="29"/>
  <c r="V191" i="29"/>
  <c r="U191" i="29"/>
  <c r="T191" i="29"/>
  <c r="S191" i="29"/>
  <c r="R191" i="29"/>
  <c r="K191" i="29"/>
  <c r="V190" i="29"/>
  <c r="U190" i="29"/>
  <c r="T190" i="29"/>
  <c r="S190" i="29"/>
  <c r="R190" i="29"/>
  <c r="K190" i="29"/>
  <c r="V189" i="29"/>
  <c r="U189" i="29"/>
  <c r="T189" i="29"/>
  <c r="S189" i="29"/>
  <c r="R189" i="29"/>
  <c r="K189" i="29"/>
  <c r="V188" i="29"/>
  <c r="U188" i="29"/>
  <c r="T188" i="29"/>
  <c r="S188" i="29"/>
  <c r="R188" i="29"/>
  <c r="K188" i="29"/>
  <c r="V187" i="29"/>
  <c r="U187" i="29"/>
  <c r="T187" i="29"/>
  <c r="S187" i="29"/>
  <c r="R187" i="29"/>
  <c r="K187" i="29"/>
  <c r="V186" i="29"/>
  <c r="U186" i="29"/>
  <c r="T186" i="29"/>
  <c r="S186" i="29"/>
  <c r="R186" i="29"/>
  <c r="K186" i="29"/>
  <c r="V185" i="29"/>
  <c r="U185" i="29"/>
  <c r="T185" i="29"/>
  <c r="S185" i="29"/>
  <c r="R185" i="29"/>
  <c r="K185" i="29"/>
  <c r="V184" i="29"/>
  <c r="U184" i="29"/>
  <c r="T184" i="29"/>
  <c r="S184" i="29"/>
  <c r="R184" i="29"/>
  <c r="K184" i="29"/>
  <c r="V183" i="29"/>
  <c r="U183" i="29"/>
  <c r="T183" i="29"/>
  <c r="S183" i="29"/>
  <c r="R183" i="29"/>
  <c r="K183" i="29"/>
  <c r="V182" i="29"/>
  <c r="U182" i="29"/>
  <c r="T182" i="29"/>
  <c r="S182" i="29"/>
  <c r="R182" i="29"/>
  <c r="K182" i="29"/>
  <c r="V181" i="29"/>
  <c r="U181" i="29"/>
  <c r="T181" i="29"/>
  <c r="S181" i="29"/>
  <c r="R181" i="29"/>
  <c r="K181" i="29"/>
  <c r="V180" i="29"/>
  <c r="U180" i="29"/>
  <c r="T180" i="29"/>
  <c r="S180" i="29"/>
  <c r="R180" i="29"/>
  <c r="K180" i="29"/>
  <c r="V179" i="29"/>
  <c r="U179" i="29"/>
  <c r="T179" i="29"/>
  <c r="S179" i="29"/>
  <c r="R179" i="29"/>
  <c r="K179" i="29"/>
  <c r="V178" i="29"/>
  <c r="U178" i="29"/>
  <c r="T178" i="29"/>
  <c r="S178" i="29"/>
  <c r="R178" i="29"/>
  <c r="K178" i="29"/>
  <c r="V177" i="29"/>
  <c r="U177" i="29"/>
  <c r="T177" i="29"/>
  <c r="S177" i="29"/>
  <c r="R177" i="29"/>
  <c r="K177" i="29"/>
  <c r="V176" i="29"/>
  <c r="U176" i="29"/>
  <c r="T176" i="29"/>
  <c r="S176" i="29"/>
  <c r="R176" i="29"/>
  <c r="K176" i="29"/>
  <c r="V175" i="29"/>
  <c r="U175" i="29"/>
  <c r="T175" i="29"/>
  <c r="S175" i="29"/>
  <c r="R175" i="29"/>
  <c r="K175" i="29"/>
  <c r="V174" i="29"/>
  <c r="U174" i="29"/>
  <c r="T174" i="29"/>
  <c r="S174" i="29"/>
  <c r="R174" i="29"/>
  <c r="K174" i="29"/>
  <c r="V173" i="29"/>
  <c r="U173" i="29"/>
  <c r="T173" i="29"/>
  <c r="S173" i="29"/>
  <c r="R173" i="29"/>
  <c r="K173" i="29"/>
  <c r="V169" i="29"/>
  <c r="U169" i="29"/>
  <c r="T169" i="29"/>
  <c r="S169" i="29"/>
  <c r="R169" i="29"/>
  <c r="K169" i="29"/>
  <c r="V168" i="29"/>
  <c r="U168" i="29"/>
  <c r="T168" i="29"/>
  <c r="S168" i="29"/>
  <c r="R168" i="29"/>
  <c r="K168" i="29"/>
  <c r="V167" i="29"/>
  <c r="U167" i="29"/>
  <c r="T167" i="29"/>
  <c r="S167" i="29"/>
  <c r="R167" i="29"/>
  <c r="K167" i="29"/>
  <c r="V166" i="29"/>
  <c r="U166" i="29"/>
  <c r="T166" i="29"/>
  <c r="S166" i="29"/>
  <c r="R166" i="29"/>
  <c r="K166" i="29"/>
  <c r="V165" i="29"/>
  <c r="U165" i="29"/>
  <c r="T165" i="29"/>
  <c r="S165" i="29"/>
  <c r="R165" i="29"/>
  <c r="K165" i="29"/>
  <c r="V164" i="29"/>
  <c r="U164" i="29"/>
  <c r="T164" i="29"/>
  <c r="S164" i="29"/>
  <c r="R164" i="29"/>
  <c r="K164" i="29"/>
  <c r="V163" i="29"/>
  <c r="U163" i="29"/>
  <c r="T163" i="29"/>
  <c r="S163" i="29"/>
  <c r="R163" i="29"/>
  <c r="K163" i="29"/>
  <c r="V162" i="29"/>
  <c r="U162" i="29"/>
  <c r="T162" i="29"/>
  <c r="S162" i="29"/>
  <c r="R162" i="29"/>
  <c r="K162" i="29"/>
  <c r="V161" i="29"/>
  <c r="U161" i="29"/>
  <c r="T161" i="29"/>
  <c r="S161" i="29"/>
  <c r="R161" i="29"/>
  <c r="K161" i="29"/>
  <c r="V160" i="29"/>
  <c r="U160" i="29"/>
  <c r="T160" i="29"/>
  <c r="S160" i="29"/>
  <c r="R160" i="29"/>
  <c r="K160" i="29"/>
  <c r="V159" i="29"/>
  <c r="U159" i="29"/>
  <c r="T159" i="29"/>
  <c r="S159" i="29"/>
  <c r="R159" i="29"/>
  <c r="K159" i="29"/>
  <c r="V158" i="29"/>
  <c r="U158" i="29"/>
  <c r="T158" i="29"/>
  <c r="S158" i="29"/>
  <c r="R158" i="29"/>
  <c r="K158" i="29"/>
  <c r="V157" i="29"/>
  <c r="U157" i="29"/>
  <c r="T157" i="29"/>
  <c r="S157" i="29"/>
  <c r="R157" i="29"/>
  <c r="K157" i="29"/>
  <c r="V156" i="29"/>
  <c r="U156" i="29"/>
  <c r="T156" i="29"/>
  <c r="S156" i="29"/>
  <c r="R156" i="29"/>
  <c r="K156" i="29"/>
  <c r="V155" i="29"/>
  <c r="U155" i="29"/>
  <c r="T155" i="29"/>
  <c r="S155" i="29"/>
  <c r="R155" i="29"/>
  <c r="K155" i="29"/>
  <c r="V154" i="29"/>
  <c r="U154" i="29"/>
  <c r="T154" i="29"/>
  <c r="S154" i="29"/>
  <c r="R154" i="29"/>
  <c r="K154" i="29"/>
  <c r="V153" i="29"/>
  <c r="U153" i="29"/>
  <c r="T153" i="29"/>
  <c r="S153" i="29"/>
  <c r="R153" i="29"/>
  <c r="K153" i="29"/>
  <c r="V152" i="29"/>
  <c r="U152" i="29"/>
  <c r="T152" i="29"/>
  <c r="S152" i="29"/>
  <c r="R152" i="29"/>
  <c r="K152" i="29"/>
  <c r="V151" i="29"/>
  <c r="U151" i="29"/>
  <c r="T151" i="29"/>
  <c r="S151" i="29"/>
  <c r="R151" i="29"/>
  <c r="K151" i="29"/>
  <c r="V150" i="29"/>
  <c r="U150" i="29"/>
  <c r="T150" i="29"/>
  <c r="S150" i="29"/>
  <c r="R150" i="29"/>
  <c r="K150" i="29"/>
  <c r="V149" i="29"/>
  <c r="U149" i="29"/>
  <c r="T149" i="29"/>
  <c r="S149" i="29"/>
  <c r="R149" i="29"/>
  <c r="K149" i="29"/>
  <c r="V148" i="29"/>
  <c r="U148" i="29"/>
  <c r="T148" i="29"/>
  <c r="S148" i="29"/>
  <c r="R148" i="29"/>
  <c r="K148" i="29"/>
  <c r="V147" i="29"/>
  <c r="U147" i="29"/>
  <c r="T147" i="29"/>
  <c r="S147" i="29"/>
  <c r="R147" i="29"/>
  <c r="K147" i="29"/>
  <c r="V146" i="29"/>
  <c r="U146" i="29"/>
  <c r="T146" i="29"/>
  <c r="S146" i="29"/>
  <c r="R146" i="29"/>
  <c r="K146" i="29"/>
  <c r="V26" i="29"/>
  <c r="U26" i="29"/>
  <c r="T26" i="29"/>
  <c r="S26" i="29"/>
  <c r="R26" i="29"/>
  <c r="V25" i="29"/>
  <c r="U25" i="29"/>
  <c r="T25" i="29"/>
  <c r="S25" i="29"/>
  <c r="R25" i="29"/>
  <c r="V24" i="29"/>
  <c r="U24" i="29"/>
  <c r="T24" i="29"/>
  <c r="S24" i="29"/>
  <c r="N10" i="29"/>
  <c r="M10" i="29"/>
  <c r="I5" i="29" s="1"/>
  <c r="K92" i="1" s="1"/>
  <c r="L10" i="29"/>
  <c r="K10" i="29"/>
  <c r="B10" i="29"/>
  <c r="L8" i="29"/>
  <c r="B2" i="29"/>
  <c r="AC409" i="33" l="1"/>
  <c r="AC415" i="33" s="1"/>
  <c r="L264" i="33" a="1"/>
  <c r="L264" i="33" s="1"/>
  <c r="V267" i="33"/>
  <c r="AC411" i="33"/>
  <c r="AC417" i="33" s="1"/>
  <c r="V269" i="33"/>
  <c r="AC410" i="33"/>
  <c r="AC416" i="33" s="1"/>
  <c r="V268" i="33"/>
  <c r="L411" i="33" a="1"/>
  <c r="L411" i="33" s="1"/>
  <c r="V415" i="33"/>
  <c r="M65" i="30"/>
  <c r="T170" i="29"/>
  <c r="B12" i="29"/>
  <c r="U170" i="29"/>
  <c r="W147" i="29"/>
  <c r="W151" i="29"/>
  <c r="W153" i="29"/>
  <c r="W155" i="29"/>
  <c r="W157" i="29"/>
  <c r="W159" i="29"/>
  <c r="W161" i="29"/>
  <c r="W230" i="29"/>
  <c r="W234" i="29"/>
  <c r="W236" i="29"/>
  <c r="W240" i="29"/>
  <c r="W244" i="29"/>
  <c r="W246" i="29"/>
  <c r="W248" i="29"/>
  <c r="W250" i="29"/>
  <c r="W238" i="29"/>
  <c r="E92" i="1"/>
  <c r="U197" i="29"/>
  <c r="W242" i="29"/>
  <c r="U224" i="29"/>
  <c r="W163" i="29"/>
  <c r="W165" i="29"/>
  <c r="W167" i="29"/>
  <c r="W169" i="29"/>
  <c r="T197" i="29"/>
  <c r="W174" i="29"/>
  <c r="W176" i="29"/>
  <c r="W178" i="29"/>
  <c r="W180" i="29"/>
  <c r="W182" i="29"/>
  <c r="W184" i="29"/>
  <c r="W186" i="29"/>
  <c r="W188" i="29"/>
  <c r="W190" i="29"/>
  <c r="W192" i="29"/>
  <c r="W194" i="29"/>
  <c r="W196" i="29"/>
  <c r="T224" i="29"/>
  <c r="W201" i="29"/>
  <c r="W203" i="29"/>
  <c r="W205" i="29"/>
  <c r="W207" i="29"/>
  <c r="W209" i="29"/>
  <c r="W211" i="29"/>
  <c r="W213" i="29"/>
  <c r="W215" i="29"/>
  <c r="W217" i="29"/>
  <c r="W219" i="29"/>
  <c r="W221" i="29"/>
  <c r="W223" i="29"/>
  <c r="T251" i="29"/>
  <c r="W228" i="29"/>
  <c r="U251" i="29"/>
  <c r="R278" i="29"/>
  <c r="W232" i="29"/>
  <c r="W173" i="29"/>
  <c r="R197" i="29"/>
  <c r="V197" i="29"/>
  <c r="W175" i="29"/>
  <c r="W177" i="29"/>
  <c r="W179" i="29"/>
  <c r="W181" i="29"/>
  <c r="W183" i="29"/>
  <c r="W185" i="29"/>
  <c r="W187" i="29"/>
  <c r="W189" i="29"/>
  <c r="W191" i="29"/>
  <c r="W193" i="29"/>
  <c r="W195" i="29"/>
  <c r="R224" i="29"/>
  <c r="W200" i="29"/>
  <c r="V224" i="29"/>
  <c r="W202" i="29"/>
  <c r="W204" i="29"/>
  <c r="W206" i="29"/>
  <c r="W208" i="29"/>
  <c r="W210" i="29"/>
  <c r="W212" i="29"/>
  <c r="W214" i="29"/>
  <c r="W216" i="29"/>
  <c r="W218" i="29"/>
  <c r="W220" i="29"/>
  <c r="W222" i="29"/>
  <c r="W227" i="29"/>
  <c r="R251" i="29"/>
  <c r="V251" i="29"/>
  <c r="W229" i="29"/>
  <c r="W231" i="29"/>
  <c r="W233" i="29"/>
  <c r="W235" i="29"/>
  <c r="W237" i="29"/>
  <c r="W239" i="29"/>
  <c r="W241" i="29"/>
  <c r="W243" i="29"/>
  <c r="W245" i="29"/>
  <c r="W247" i="29"/>
  <c r="W249" i="29"/>
  <c r="S170" i="29"/>
  <c r="S197" i="29"/>
  <c r="S224" i="29"/>
  <c r="S251" i="29"/>
  <c r="W149" i="29"/>
  <c r="R170" i="29"/>
  <c r="V170" i="29"/>
  <c r="W146" i="29"/>
  <c r="W148" i="29"/>
  <c r="W150" i="29"/>
  <c r="W152" i="29"/>
  <c r="W154" i="29"/>
  <c r="W156" i="29"/>
  <c r="W158" i="29"/>
  <c r="W160" i="29"/>
  <c r="W162" i="29"/>
  <c r="W164" i="29"/>
  <c r="W166" i="29"/>
  <c r="W168" i="29"/>
  <c r="T285" i="29"/>
  <c r="S285" i="29"/>
  <c r="U278" i="29"/>
  <c r="R268" i="29"/>
  <c r="R282" i="29"/>
  <c r="R270" i="29"/>
  <c r="V275" i="29"/>
  <c r="V282" i="29"/>
  <c r="S271" i="29"/>
  <c r="T268" i="29"/>
  <c r="R275" i="29"/>
  <c r="T282" i="29"/>
  <c r="T269" i="29"/>
  <c r="V269" i="29"/>
  <c r="R276" i="29"/>
  <c r="V283" i="29"/>
  <c r="T271" i="29"/>
  <c r="V271" i="29"/>
  <c r="V285" i="29"/>
  <c r="T284" i="29"/>
  <c r="T270" i="29"/>
  <c r="R277" i="29"/>
  <c r="U268" i="29"/>
  <c r="U282" i="29"/>
  <c r="S275" i="29"/>
  <c r="S278" i="29"/>
  <c r="V276" i="29"/>
  <c r="V278" i="29"/>
  <c r="V284" i="29"/>
  <c r="V277" i="29"/>
  <c r="V268" i="29"/>
  <c r="T275" i="29"/>
  <c r="S268" i="29"/>
  <c r="S282" i="29"/>
  <c r="U275" i="29"/>
  <c r="S270" i="29"/>
  <c r="S284" i="29"/>
  <c r="U277" i="29"/>
  <c r="S277" i="29"/>
  <c r="U271" i="29"/>
  <c r="U285" i="29"/>
  <c r="U284" i="29"/>
  <c r="U283" i="29"/>
  <c r="U269" i="29"/>
  <c r="R271" i="29"/>
  <c r="R285" i="29"/>
  <c r="T278" i="29"/>
  <c r="T283" i="29"/>
  <c r="S276" i="29"/>
  <c r="U270" i="29"/>
  <c r="V270" i="29"/>
  <c r="R284" i="29"/>
  <c r="T277" i="29"/>
  <c r="R269" i="29"/>
  <c r="R283" i="29"/>
  <c r="T276" i="29"/>
  <c r="S269" i="29"/>
  <c r="S283" i="29"/>
  <c r="U276" i="29"/>
  <c r="K294" i="11"/>
  <c r="K293" i="11"/>
  <c r="K292" i="11"/>
  <c r="K291" i="11"/>
  <c r="K290" i="11"/>
  <c r="K289" i="11"/>
  <c r="K288" i="11"/>
  <c r="K287" i="11"/>
  <c r="K286" i="11"/>
  <c r="K285" i="11"/>
  <c r="K284" i="11"/>
  <c r="K283" i="11"/>
  <c r="K282" i="11"/>
  <c r="K281" i="11"/>
  <c r="K280" i="11"/>
  <c r="K279" i="11"/>
  <c r="K278" i="11"/>
  <c r="K277" i="11"/>
  <c r="K276" i="11"/>
  <c r="K275" i="11"/>
  <c r="K274" i="11"/>
  <c r="K273" i="11"/>
  <c r="K272" i="11"/>
  <c r="K271" i="11"/>
  <c r="K267" i="11"/>
  <c r="K266" i="11"/>
  <c r="K265" i="11"/>
  <c r="K264" i="11"/>
  <c r="K263" i="11"/>
  <c r="K262" i="11"/>
  <c r="K261" i="11"/>
  <c r="K260" i="11"/>
  <c r="K259" i="11"/>
  <c r="K258" i="11"/>
  <c r="K257" i="11"/>
  <c r="K256" i="11"/>
  <c r="K255" i="11"/>
  <c r="K254" i="11"/>
  <c r="K253" i="11"/>
  <c r="K252" i="11"/>
  <c r="K251" i="11"/>
  <c r="K250" i="11"/>
  <c r="K249" i="11"/>
  <c r="K248" i="11"/>
  <c r="K247" i="11"/>
  <c r="K246" i="11"/>
  <c r="K245" i="11"/>
  <c r="K244" i="11"/>
  <c r="K240" i="11"/>
  <c r="K239" i="11"/>
  <c r="K238" i="11"/>
  <c r="K237" i="11"/>
  <c r="K236" i="11"/>
  <c r="K235" i="11"/>
  <c r="K234" i="11"/>
  <c r="K233" i="11"/>
  <c r="K232" i="11"/>
  <c r="K231" i="11"/>
  <c r="K230" i="11"/>
  <c r="K229" i="11"/>
  <c r="K228" i="11"/>
  <c r="K227" i="11"/>
  <c r="K226" i="11"/>
  <c r="K225" i="11"/>
  <c r="K224" i="11"/>
  <c r="K223" i="11"/>
  <c r="K222" i="11"/>
  <c r="K221" i="11"/>
  <c r="K220" i="11"/>
  <c r="K219" i="11"/>
  <c r="K218" i="11"/>
  <c r="K217" i="11"/>
  <c r="V348" i="5"/>
  <c r="U348" i="5"/>
  <c r="T348" i="5"/>
  <c r="S348" i="5"/>
  <c r="R348" i="5"/>
  <c r="V347" i="5"/>
  <c r="U347" i="5"/>
  <c r="T347" i="5"/>
  <c r="S347" i="5"/>
  <c r="R347" i="5"/>
  <c r="V346" i="5"/>
  <c r="U346" i="5"/>
  <c r="T346" i="5"/>
  <c r="S346" i="5"/>
  <c r="R346" i="5"/>
  <c r="V345" i="5"/>
  <c r="U345" i="5"/>
  <c r="T345" i="5"/>
  <c r="S345" i="5"/>
  <c r="R345" i="5"/>
  <c r="V342" i="5"/>
  <c r="T342" i="5"/>
  <c r="R342" i="5"/>
  <c r="V341" i="5"/>
  <c r="U341" i="5"/>
  <c r="T341" i="5"/>
  <c r="S341" i="5"/>
  <c r="R341" i="5"/>
  <c r="V340" i="5"/>
  <c r="U340" i="5"/>
  <c r="T340" i="5"/>
  <c r="S340" i="5"/>
  <c r="R340" i="5"/>
  <c r="V339" i="5"/>
  <c r="U339" i="5"/>
  <c r="T339" i="5"/>
  <c r="S339" i="5"/>
  <c r="R339" i="5"/>
  <c r="V338" i="5"/>
  <c r="U338" i="5"/>
  <c r="T338" i="5"/>
  <c r="S338" i="5"/>
  <c r="R338" i="5"/>
  <c r="V336" i="5"/>
  <c r="U336" i="5"/>
  <c r="T336" i="5"/>
  <c r="S336" i="5"/>
  <c r="R336" i="5"/>
  <c r="V335" i="5"/>
  <c r="U335" i="5"/>
  <c r="T335" i="5"/>
  <c r="S335" i="5"/>
  <c r="R335" i="5"/>
  <c r="V334" i="5"/>
  <c r="T334" i="5"/>
  <c r="U302" i="29" l="1"/>
  <c r="I4" i="33"/>
  <c r="L78" i="30"/>
  <c r="N75" i="18"/>
  <c r="W271" i="29"/>
  <c r="W282" i="29"/>
  <c r="W283" i="29"/>
  <c r="W284" i="29"/>
  <c r="W268" i="29"/>
  <c r="W276" i="29"/>
  <c r="W275" i="29"/>
  <c r="W269" i="29"/>
  <c r="W285" i="29"/>
  <c r="W277" i="29"/>
  <c r="W270" i="29"/>
  <c r="W278" i="29"/>
  <c r="S303" i="29"/>
  <c r="U291" i="29"/>
  <c r="R302" i="29"/>
  <c r="W251" i="29"/>
  <c r="W197" i="29"/>
  <c r="W224" i="29"/>
  <c r="S289" i="29"/>
  <c r="T303" i="29"/>
  <c r="W170" i="29"/>
  <c r="S290" i="29"/>
  <c r="R292" i="29"/>
  <c r="U290" i="29"/>
  <c r="U292" i="29"/>
  <c r="S291" i="29"/>
  <c r="R289" i="29"/>
  <c r="V291" i="29"/>
  <c r="V289" i="29"/>
  <c r="U289" i="29"/>
  <c r="R290" i="29"/>
  <c r="V292" i="29"/>
  <c r="V290" i="29"/>
  <c r="T289" i="29"/>
  <c r="R291" i="29"/>
  <c r="T291" i="29"/>
  <c r="T292" i="29"/>
  <c r="T290" i="29"/>
  <c r="S292" i="29"/>
  <c r="W340" i="5"/>
  <c r="S296" i="29"/>
  <c r="R297" i="29"/>
  <c r="R303" i="29"/>
  <c r="V302" i="29"/>
  <c r="V303" i="29"/>
  <c r="U296" i="29"/>
  <c r="R296" i="29"/>
  <c r="V296" i="29"/>
  <c r="R301" i="29"/>
  <c r="V301" i="29"/>
  <c r="T296" i="29"/>
  <c r="U297" i="29"/>
  <c r="T297" i="29"/>
  <c r="V297" i="29"/>
  <c r="S297" i="29"/>
  <c r="U303" i="29"/>
  <c r="R295" i="29"/>
  <c r="U295" i="29"/>
  <c r="S302" i="29"/>
  <c r="T302" i="29"/>
  <c r="U301" i="29"/>
  <c r="T295" i="29"/>
  <c r="V295" i="29"/>
  <c r="S301" i="29"/>
  <c r="S295" i="29"/>
  <c r="T301" i="29"/>
  <c r="W348" i="5"/>
  <c r="N73" i="18"/>
  <c r="N85" i="18"/>
  <c r="N78" i="18"/>
  <c r="B35" i="29"/>
  <c r="B143" i="29" s="1"/>
  <c r="R286" i="29"/>
  <c r="U272" i="29"/>
  <c r="U286" i="29"/>
  <c r="V286" i="29"/>
  <c r="V279" i="29"/>
  <c r="U279" i="29"/>
  <c r="S286" i="29"/>
  <c r="S279" i="29"/>
  <c r="V272" i="29"/>
  <c r="T286" i="29"/>
  <c r="T279" i="29"/>
  <c r="T272" i="29"/>
  <c r="S272" i="29"/>
  <c r="R272" i="29"/>
  <c r="R279" i="29"/>
  <c r="W338" i="5"/>
  <c r="W336" i="5"/>
  <c r="W339" i="5"/>
  <c r="W341" i="5"/>
  <c r="W347" i="5"/>
  <c r="N76" i="18"/>
  <c r="N82" i="18"/>
  <c r="W345" i="5"/>
  <c r="N77" i="18"/>
  <c r="N84" i="18"/>
  <c r="N83" i="18"/>
  <c r="W346" i="5"/>
  <c r="K212" i="11"/>
  <c r="K211" i="11"/>
  <c r="K210" i="11"/>
  <c r="K209" i="11"/>
  <c r="K208" i="11"/>
  <c r="K207" i="11"/>
  <c r="K206" i="11"/>
  <c r="K205" i="11"/>
  <c r="K204" i="11"/>
  <c r="K203" i="11"/>
  <c r="K202" i="11"/>
  <c r="K201" i="11"/>
  <c r="K200" i="11"/>
  <c r="K199" i="11"/>
  <c r="K198" i="11"/>
  <c r="K197" i="11"/>
  <c r="K196" i="11"/>
  <c r="K195" i="11"/>
  <c r="K194" i="11"/>
  <c r="K193" i="11"/>
  <c r="K192" i="11"/>
  <c r="K191" i="11"/>
  <c r="B255" i="29" l="1"/>
  <c r="C189" i="30" s="1"/>
  <c r="W289" i="29"/>
  <c r="S304" i="29"/>
  <c r="S298" i="29"/>
  <c r="R304" i="29"/>
  <c r="T304" i="29"/>
  <c r="U304" i="29"/>
  <c r="R298" i="29"/>
  <c r="V304" i="29"/>
  <c r="V298" i="29"/>
  <c r="T298" i="29"/>
  <c r="U298" i="29"/>
  <c r="W292" i="29"/>
  <c r="L292" i="29" s="1"/>
  <c r="W291" i="29"/>
  <c r="L291" i="29" s="1"/>
  <c r="W290" i="29"/>
  <c r="W272" i="29"/>
  <c r="W279" i="29"/>
  <c r="W286" i="29"/>
  <c r="N842" i="18"/>
  <c r="N841" i="18"/>
  <c r="N840" i="18"/>
  <c r="N839" i="18"/>
  <c r="N838" i="18"/>
  <c r="N837" i="18"/>
  <c r="N836" i="18"/>
  <c r="N832" i="18"/>
  <c r="N831" i="18"/>
  <c r="N830" i="18"/>
  <c r="N829" i="18"/>
  <c r="N827" i="18"/>
  <c r="N826" i="18"/>
  <c r="N825" i="18"/>
  <c r="N822" i="18"/>
  <c r="N821" i="18"/>
  <c r="N820" i="18"/>
  <c r="N819" i="18"/>
  <c r="N818" i="18"/>
  <c r="N817" i="18"/>
  <c r="N816" i="18"/>
  <c r="N814" i="18"/>
  <c r="N813" i="18"/>
  <c r="N812" i="18"/>
  <c r="N811" i="18"/>
  <c r="N810" i="18"/>
  <c r="N809" i="18"/>
  <c r="N807" i="18"/>
  <c r="N806" i="18"/>
  <c r="N805" i="18"/>
  <c r="N71" i="17"/>
  <c r="N70" i="17"/>
  <c r="N69" i="17"/>
  <c r="N68" i="17"/>
  <c r="N67" i="17"/>
  <c r="N66" i="17"/>
  <c r="N64" i="17"/>
  <c r="N63" i="17"/>
  <c r="N62" i="17"/>
  <c r="N61" i="17"/>
  <c r="N60" i="17"/>
  <c r="N59" i="17"/>
  <c r="N57" i="17"/>
  <c r="N56" i="17"/>
  <c r="N55" i="17"/>
  <c r="N92" i="17"/>
  <c r="N91" i="17"/>
  <c r="N90" i="17"/>
  <c r="N89" i="17"/>
  <c r="N88" i="17"/>
  <c r="N87" i="17"/>
  <c r="N86" i="17"/>
  <c r="N84" i="17"/>
  <c r="N83" i="17"/>
  <c r="N82" i="17"/>
  <c r="N81" i="17"/>
  <c r="N80" i="17"/>
  <c r="N79" i="17"/>
  <c r="N77" i="17"/>
  <c r="N76" i="17"/>
  <c r="N75" i="17"/>
  <c r="N52" i="17"/>
  <c r="N51" i="17"/>
  <c r="N50" i="17"/>
  <c r="N49" i="17"/>
  <c r="N48" i="17"/>
  <c r="N47" i="17"/>
  <c r="N46" i="17"/>
  <c r="N44" i="17"/>
  <c r="N43" i="17"/>
  <c r="N42" i="17"/>
  <c r="N41" i="17"/>
  <c r="N40" i="17"/>
  <c r="N39" i="17"/>
  <c r="N37" i="17"/>
  <c r="N36" i="17"/>
  <c r="N35" i="17"/>
  <c r="N32" i="17"/>
  <c r="N31" i="17"/>
  <c r="N30" i="17"/>
  <c r="N29" i="17"/>
  <c r="N28" i="17"/>
  <c r="N27" i="17"/>
  <c r="N26" i="17"/>
  <c r="N24" i="17"/>
  <c r="N23" i="17"/>
  <c r="N22" i="17"/>
  <c r="N21" i="17"/>
  <c r="N20" i="17"/>
  <c r="N19" i="17"/>
  <c r="N17" i="17"/>
  <c r="N16" i="17"/>
  <c r="N15" i="17"/>
  <c r="L298" i="29" l="1"/>
  <c r="L191" i="30" s="1"/>
  <c r="L289" i="29"/>
  <c r="L304" i="29"/>
  <c r="L192" i="30" s="1"/>
  <c r="L290" i="29"/>
  <c r="B320" i="29"/>
  <c r="C194" i="30" s="1"/>
  <c r="N22" i="4"/>
  <c r="B4" i="28" s="1"/>
  <c r="B3" i="28"/>
  <c r="K286" i="5"/>
  <c r="K72" i="5"/>
  <c r="L190" i="30" l="1"/>
  <c r="K108" i="18"/>
  <c r="K162" i="17" l="1"/>
  <c r="K160" i="17"/>
  <c r="K161" i="17"/>
  <c r="K159" i="17"/>
  <c r="K158" i="17"/>
  <c r="K798" i="18"/>
  <c r="K984" i="18"/>
  <c r="K983" i="18"/>
  <c r="K982" i="18"/>
  <c r="K767" i="18"/>
  <c r="K766" i="18"/>
  <c r="K765" i="18"/>
  <c r="N68" i="18"/>
  <c r="N67" i="18"/>
  <c r="N66" i="18"/>
  <c r="N65" i="18"/>
  <c r="N63" i="18"/>
  <c r="N62" i="18"/>
  <c r="N61" i="18"/>
  <c r="N60" i="18"/>
  <c r="N59" i="18"/>
  <c r="N58" i="18"/>
  <c r="N56" i="18"/>
  <c r="N55" i="18"/>
  <c r="N54" i="18"/>
  <c r="K851" i="18"/>
  <c r="K850" i="18"/>
  <c r="K849" i="18"/>
  <c r="K48" i="5"/>
  <c r="K190" i="11"/>
  <c r="K184" i="11"/>
  <c r="K298" i="11"/>
  <c r="K28" i="11"/>
  <c r="N56" i="5" l="1"/>
  <c r="N55" i="5"/>
  <c r="N54" i="5"/>
  <c r="N52" i="5"/>
  <c r="L184" i="11"/>
  <c r="L92" i="30" s="1"/>
  <c r="V56" i="5" l="1"/>
  <c r="V132" i="5" s="1"/>
  <c r="R56" i="5"/>
  <c r="R132" i="5" s="1"/>
  <c r="S56" i="5"/>
  <c r="S132" i="5" s="1"/>
  <c r="U56" i="5"/>
  <c r="U132" i="5" s="1"/>
  <c r="T56" i="5"/>
  <c r="T132" i="5" s="1"/>
  <c r="S55" i="5"/>
  <c r="S115" i="5" s="1"/>
  <c r="V55" i="5"/>
  <c r="V115" i="5" s="1"/>
  <c r="R55" i="5"/>
  <c r="R115" i="5" s="1"/>
  <c r="U55" i="5"/>
  <c r="U115" i="5" s="1"/>
  <c r="T55" i="5"/>
  <c r="T115" i="5" s="1"/>
  <c r="T54" i="5"/>
  <c r="T166" i="5" s="1"/>
  <c r="S54" i="5"/>
  <c r="S166" i="5" s="1"/>
  <c r="R54" i="5"/>
  <c r="R166" i="5" s="1"/>
  <c r="V54" i="5"/>
  <c r="V166" i="5" s="1"/>
  <c r="U54" i="5"/>
  <c r="U166" i="5" s="1"/>
  <c r="U52" i="5"/>
  <c r="S52" i="5"/>
  <c r="V52" i="5"/>
  <c r="R52" i="5"/>
  <c r="T52" i="5"/>
  <c r="V774" i="18"/>
  <c r="U774" i="18"/>
  <c r="T774" i="18"/>
  <c r="S774" i="18"/>
  <c r="R774" i="18"/>
  <c r="V850" i="18"/>
  <c r="U850" i="18"/>
  <c r="T850" i="18"/>
  <c r="S850" i="18"/>
  <c r="R850" i="18"/>
  <c r="U184" i="5" l="1"/>
  <c r="T184" i="5"/>
  <c r="R184" i="5"/>
  <c r="V184" i="5"/>
  <c r="S184" i="5"/>
  <c r="W166" i="5"/>
  <c r="W132" i="5"/>
  <c r="W115" i="5"/>
  <c r="S163" i="5"/>
  <c r="S168" i="5"/>
  <c r="S172" i="5"/>
  <c r="S176" i="5"/>
  <c r="S177" i="5"/>
  <c r="S164" i="5"/>
  <c r="S169" i="5"/>
  <c r="S173" i="5"/>
  <c r="S165" i="5"/>
  <c r="S170" i="5"/>
  <c r="S174" i="5"/>
  <c r="S178" i="5"/>
  <c r="S167" i="5"/>
  <c r="S171" i="5"/>
  <c r="S175" i="5"/>
  <c r="U177" i="5"/>
  <c r="U178" i="5"/>
  <c r="U171" i="5"/>
  <c r="U163" i="5"/>
  <c r="U175" i="5"/>
  <c r="U172" i="5"/>
  <c r="U164" i="5"/>
  <c r="U167" i="5"/>
  <c r="U165" i="5"/>
  <c r="U174" i="5"/>
  <c r="U170" i="5"/>
  <c r="U168" i="5"/>
  <c r="U176" i="5"/>
  <c r="U169" i="5"/>
  <c r="U173" i="5"/>
  <c r="T164" i="5"/>
  <c r="T175" i="5"/>
  <c r="T178" i="5"/>
  <c r="T167" i="5"/>
  <c r="T168" i="5"/>
  <c r="T165" i="5"/>
  <c r="T170" i="5"/>
  <c r="T177" i="5"/>
  <c r="T171" i="5"/>
  <c r="T169" i="5"/>
  <c r="T172" i="5"/>
  <c r="T174" i="5"/>
  <c r="T173" i="5"/>
  <c r="T163" i="5"/>
  <c r="T176" i="5"/>
  <c r="V116" i="5"/>
  <c r="V120" i="5"/>
  <c r="V124" i="5"/>
  <c r="V112" i="5"/>
  <c r="V117" i="5"/>
  <c r="V121" i="5"/>
  <c r="V125" i="5"/>
  <c r="V113" i="5"/>
  <c r="V118" i="5"/>
  <c r="V122" i="5"/>
  <c r="V126" i="5"/>
  <c r="V114" i="5"/>
  <c r="V119" i="5"/>
  <c r="V123" i="5"/>
  <c r="V163" i="5"/>
  <c r="V168" i="5"/>
  <c r="V172" i="5"/>
  <c r="V176" i="5"/>
  <c r="V164" i="5"/>
  <c r="V169" i="5"/>
  <c r="V173" i="5"/>
  <c r="V165" i="5"/>
  <c r="V170" i="5"/>
  <c r="V174" i="5"/>
  <c r="V178" i="5"/>
  <c r="V177" i="5"/>
  <c r="V167" i="5"/>
  <c r="V171" i="5"/>
  <c r="V175" i="5"/>
  <c r="T112" i="5"/>
  <c r="T117" i="5"/>
  <c r="T121" i="5"/>
  <c r="T125" i="5"/>
  <c r="T118" i="5"/>
  <c r="T126" i="5"/>
  <c r="T114" i="5"/>
  <c r="T119" i="5"/>
  <c r="T123" i="5"/>
  <c r="T116" i="5"/>
  <c r="T120" i="5"/>
  <c r="T124" i="5"/>
  <c r="T113" i="5"/>
  <c r="T122" i="5"/>
  <c r="S114" i="5"/>
  <c r="S119" i="5"/>
  <c r="S123" i="5"/>
  <c r="S116" i="5"/>
  <c r="S120" i="5"/>
  <c r="S124" i="5"/>
  <c r="S112" i="5"/>
  <c r="S117" i="5"/>
  <c r="S121" i="5"/>
  <c r="S125" i="5"/>
  <c r="S113" i="5"/>
  <c r="S118" i="5"/>
  <c r="S122" i="5"/>
  <c r="S126" i="5"/>
  <c r="R116" i="5"/>
  <c r="R118" i="5"/>
  <c r="R120" i="5"/>
  <c r="R122" i="5"/>
  <c r="R125" i="5"/>
  <c r="R126" i="5"/>
  <c r="R112" i="5"/>
  <c r="R114" i="5"/>
  <c r="R117" i="5"/>
  <c r="R119" i="5"/>
  <c r="R121" i="5"/>
  <c r="R123" i="5"/>
  <c r="R113" i="5"/>
  <c r="R124" i="5"/>
  <c r="R178" i="5"/>
  <c r="R175" i="5"/>
  <c r="R165" i="5"/>
  <c r="R168" i="5"/>
  <c r="R170" i="5"/>
  <c r="R172" i="5"/>
  <c r="R174" i="5"/>
  <c r="R164" i="5"/>
  <c r="R163" i="5"/>
  <c r="R167" i="5"/>
  <c r="R169" i="5"/>
  <c r="R171" i="5"/>
  <c r="R173" i="5"/>
  <c r="R176" i="5"/>
  <c r="R177" i="5"/>
  <c r="U126" i="5"/>
  <c r="U119" i="5"/>
  <c r="U118" i="5"/>
  <c r="U117" i="5"/>
  <c r="U112" i="5"/>
  <c r="U122" i="5"/>
  <c r="U121" i="5"/>
  <c r="U120" i="5"/>
  <c r="U116" i="5"/>
  <c r="U124" i="5"/>
  <c r="U123" i="5"/>
  <c r="U114" i="5"/>
  <c r="U125" i="5"/>
  <c r="U113" i="5"/>
  <c r="U143" i="5"/>
  <c r="U142" i="5"/>
  <c r="U141" i="5"/>
  <c r="U140" i="5"/>
  <c r="U139" i="5"/>
  <c r="U138" i="5"/>
  <c r="U137" i="5"/>
  <c r="U136" i="5"/>
  <c r="U135" i="5"/>
  <c r="U134" i="5"/>
  <c r="U133" i="5"/>
  <c r="U131" i="5"/>
  <c r="U130" i="5"/>
  <c r="U129" i="5"/>
  <c r="S143" i="5"/>
  <c r="S142" i="5"/>
  <c r="S141" i="5"/>
  <c r="S140" i="5"/>
  <c r="S139" i="5"/>
  <c r="S138" i="5"/>
  <c r="S137" i="5"/>
  <c r="S136" i="5"/>
  <c r="S135" i="5"/>
  <c r="S134" i="5"/>
  <c r="S133" i="5"/>
  <c r="S131" i="5"/>
  <c r="S130" i="5"/>
  <c r="S129" i="5"/>
  <c r="R133" i="5"/>
  <c r="R138" i="5"/>
  <c r="R140" i="5"/>
  <c r="R130" i="5"/>
  <c r="R131" i="5"/>
  <c r="R136" i="5"/>
  <c r="R137" i="5"/>
  <c r="R139" i="5"/>
  <c r="R142" i="5"/>
  <c r="R134" i="5"/>
  <c r="R135" i="5"/>
  <c r="R141" i="5"/>
  <c r="R143" i="5"/>
  <c r="R129" i="5"/>
  <c r="T143" i="5"/>
  <c r="T142" i="5"/>
  <c r="T141" i="5"/>
  <c r="T140" i="5"/>
  <c r="T139" i="5"/>
  <c r="T138" i="5"/>
  <c r="T137" i="5"/>
  <c r="T136" i="5"/>
  <c r="T135" i="5"/>
  <c r="T134" i="5"/>
  <c r="T133" i="5"/>
  <c r="T131" i="5"/>
  <c r="T130" i="5"/>
  <c r="T129" i="5"/>
  <c r="V141" i="5"/>
  <c r="V138" i="5"/>
  <c r="V134" i="5"/>
  <c r="V129" i="5"/>
  <c r="V142" i="5"/>
  <c r="V139" i="5"/>
  <c r="V137" i="5"/>
  <c r="V135" i="5"/>
  <c r="V131" i="5"/>
  <c r="V130" i="5"/>
  <c r="V143" i="5"/>
  <c r="V140" i="5"/>
  <c r="V136" i="5"/>
  <c r="V133" i="5"/>
  <c r="W850" i="18"/>
  <c r="R219" i="5" l="1"/>
  <c r="S219" i="5"/>
  <c r="V219" i="5"/>
  <c r="T219" i="5"/>
  <c r="U219" i="5"/>
  <c r="T202" i="5"/>
  <c r="R202" i="5"/>
  <c r="S202" i="5"/>
  <c r="U202" i="5"/>
  <c r="V202" i="5"/>
  <c r="W184" i="5"/>
  <c r="K762" i="18"/>
  <c r="K761" i="18"/>
  <c r="K760" i="18"/>
  <c r="K759" i="18"/>
  <c r="K758" i="18"/>
  <c r="K757" i="18"/>
  <c r="K756" i="18"/>
  <c r="K755" i="18"/>
  <c r="K753" i="18"/>
  <c r="K752" i="18"/>
  <c r="K751" i="18"/>
  <c r="K750" i="18"/>
  <c r="K749" i="18"/>
  <c r="K748" i="18"/>
  <c r="K746" i="18"/>
  <c r="K745" i="18"/>
  <c r="K744" i="18"/>
  <c r="K741" i="18"/>
  <c r="K740" i="18"/>
  <c r="K739" i="18"/>
  <c r="K738" i="18"/>
  <c r="K737" i="18"/>
  <c r="K736" i="18"/>
  <c r="K735" i="18"/>
  <c r="K734" i="18"/>
  <c r="K732" i="18"/>
  <c r="K731" i="18"/>
  <c r="K730" i="18"/>
  <c r="K729" i="18"/>
  <c r="K728" i="18"/>
  <c r="K727" i="18"/>
  <c r="K725" i="18"/>
  <c r="K724" i="18"/>
  <c r="K723" i="18"/>
  <c r="R656" i="18"/>
  <c r="T270" i="5" l="1"/>
  <c r="R270" i="5"/>
  <c r="S270" i="5"/>
  <c r="U270" i="5"/>
  <c r="V270" i="5"/>
  <c r="L219" i="5"/>
  <c r="W219" i="5"/>
  <c r="L202" i="5"/>
  <c r="W202" i="5"/>
  <c r="R639" i="18"/>
  <c r="R681" i="18"/>
  <c r="N190" i="18"/>
  <c r="N189" i="18"/>
  <c r="N188" i="18"/>
  <c r="N187" i="18"/>
  <c r="N186" i="18"/>
  <c r="N185" i="18"/>
  <c r="N184" i="18"/>
  <c r="N182" i="18"/>
  <c r="N181" i="18"/>
  <c r="N180" i="18"/>
  <c r="N179" i="18"/>
  <c r="N178" i="18"/>
  <c r="N177" i="18"/>
  <c r="N175" i="18"/>
  <c r="N174" i="18"/>
  <c r="N173" i="18"/>
  <c r="V196" i="18"/>
  <c r="U196" i="18"/>
  <c r="T196" i="18"/>
  <c r="S196" i="18"/>
  <c r="R196" i="18"/>
  <c r="V195" i="18"/>
  <c r="U195" i="18"/>
  <c r="T195" i="18"/>
  <c r="S195" i="18"/>
  <c r="R195" i="18"/>
  <c r="V194" i="18"/>
  <c r="U194" i="18"/>
  <c r="T194" i="18"/>
  <c r="S194" i="18"/>
  <c r="R194" i="18"/>
  <c r="V193" i="18"/>
  <c r="U193" i="18"/>
  <c r="T193" i="18"/>
  <c r="S193" i="18"/>
  <c r="R193" i="18"/>
  <c r="L270" i="5" l="1"/>
  <c r="W270" i="5"/>
  <c r="S234" i="18"/>
  <c r="S235" i="18"/>
  <c r="S236" i="18"/>
  <c r="T236" i="18"/>
  <c r="T234" i="18"/>
  <c r="T235" i="18"/>
  <c r="S256" i="18"/>
  <c r="S254" i="18"/>
  <c r="S255" i="18"/>
  <c r="V276" i="18"/>
  <c r="V274" i="18"/>
  <c r="V275" i="18"/>
  <c r="U234" i="18"/>
  <c r="U236" i="18"/>
  <c r="U235" i="18"/>
  <c r="T255" i="18"/>
  <c r="T256" i="18"/>
  <c r="T254" i="18"/>
  <c r="S276" i="18"/>
  <c r="S275" i="18"/>
  <c r="S274" i="18"/>
  <c r="V234" i="18"/>
  <c r="V235" i="18"/>
  <c r="V236" i="18"/>
  <c r="U256" i="18"/>
  <c r="U255" i="18"/>
  <c r="U254" i="18"/>
  <c r="T276" i="18"/>
  <c r="T275" i="18"/>
  <c r="T274" i="18"/>
  <c r="V255" i="18"/>
  <c r="V254" i="18"/>
  <c r="V256" i="18"/>
  <c r="U275" i="18"/>
  <c r="U276" i="18"/>
  <c r="U274" i="18"/>
  <c r="S216" i="18"/>
  <c r="S214" i="18"/>
  <c r="S215" i="18"/>
  <c r="U216" i="18"/>
  <c r="U214" i="18"/>
  <c r="U215" i="18"/>
  <c r="V214" i="18"/>
  <c r="V216" i="18"/>
  <c r="V215" i="18"/>
  <c r="T216" i="18"/>
  <c r="T215" i="18"/>
  <c r="T214" i="18"/>
  <c r="K145" i="18" l="1"/>
  <c r="K144" i="18"/>
  <c r="K143" i="18"/>
  <c r="K142" i="18"/>
  <c r="K141" i="18"/>
  <c r="K139" i="18"/>
  <c r="K138" i="18"/>
  <c r="K137" i="18"/>
  <c r="K136" i="18"/>
  <c r="K135" i="18"/>
  <c r="K134" i="18"/>
  <c r="K132" i="18"/>
  <c r="K131" i="18"/>
  <c r="K130" i="18"/>
  <c r="K51" i="18" l="1"/>
  <c r="K50" i="18"/>
  <c r="K49" i="18"/>
  <c r="K48" i="18"/>
  <c r="K47" i="18"/>
  <c r="K46" i="18"/>
  <c r="K45" i="18"/>
  <c r="K44" i="18"/>
  <c r="K42" i="18"/>
  <c r="K41" i="18"/>
  <c r="K40" i="18"/>
  <c r="K39" i="18"/>
  <c r="K38" i="18"/>
  <c r="K37" i="18"/>
  <c r="K35" i="18"/>
  <c r="K34" i="18"/>
  <c r="K33" i="18"/>
  <c r="K613" i="5" l="1"/>
  <c r="K612" i="5"/>
  <c r="K611" i="5"/>
  <c r="K610" i="5"/>
  <c r="K589" i="5"/>
  <c r="K588" i="5"/>
  <c r="K587" i="5"/>
  <c r="K586" i="5"/>
  <c r="K585" i="5"/>
  <c r="K583" i="5"/>
  <c r="K582" i="5"/>
  <c r="K581" i="5"/>
  <c r="K580" i="5"/>
  <c r="K579" i="5"/>
  <c r="K578" i="5"/>
  <c r="K576" i="5"/>
  <c r="K575" i="5"/>
  <c r="K574" i="5"/>
  <c r="K571" i="5"/>
  <c r="K570" i="5"/>
  <c r="K569" i="5"/>
  <c r="K568" i="5"/>
  <c r="K565" i="5"/>
  <c r="K564" i="5"/>
  <c r="K563" i="5"/>
  <c r="K562" i="5"/>
  <c r="K561" i="5"/>
  <c r="K559" i="5"/>
  <c r="K558" i="5"/>
  <c r="K557" i="5"/>
  <c r="K556" i="5"/>
  <c r="K555" i="5"/>
  <c r="K554" i="5"/>
  <c r="K552" i="5"/>
  <c r="K551" i="5"/>
  <c r="K550" i="5"/>
  <c r="K520" i="5"/>
  <c r="K519" i="5"/>
  <c r="K518" i="5"/>
  <c r="K517" i="5"/>
  <c r="K515" i="5"/>
  <c r="K514" i="5"/>
  <c r="K513" i="5"/>
  <c r="K512" i="5"/>
  <c r="K511" i="5"/>
  <c r="K510" i="5"/>
  <c r="K508" i="5"/>
  <c r="K507" i="5"/>
  <c r="K506" i="5"/>
  <c r="K502" i="5"/>
  <c r="K501" i="5"/>
  <c r="K500" i="5"/>
  <c r="K499" i="5"/>
  <c r="K497" i="5"/>
  <c r="K496" i="5"/>
  <c r="K495" i="5"/>
  <c r="K494" i="5"/>
  <c r="K493" i="5"/>
  <c r="K492" i="5"/>
  <c r="K490" i="5"/>
  <c r="K489" i="5"/>
  <c r="K488" i="5"/>
  <c r="K348" i="5"/>
  <c r="K347" i="5"/>
  <c r="K346" i="5"/>
  <c r="K345" i="5"/>
  <c r="K343" i="5"/>
  <c r="K342" i="5"/>
  <c r="K341" i="5"/>
  <c r="K340" i="5"/>
  <c r="K339" i="5"/>
  <c r="K338" i="5"/>
  <c r="K336" i="5"/>
  <c r="K335" i="5"/>
  <c r="K334" i="5"/>
  <c r="K327" i="5"/>
  <c r="K324" i="5"/>
  <c r="K325" i="5"/>
  <c r="K326" i="5"/>
  <c r="K321" i="5"/>
  <c r="K319" i="5"/>
  <c r="K320" i="5"/>
  <c r="K316" i="5"/>
  <c r="K308" i="5"/>
  <c r="K305" i="5"/>
  <c r="K306" i="5"/>
  <c r="K307" i="5"/>
  <c r="K302" i="5"/>
  <c r="K299" i="5"/>
  <c r="K300" i="5"/>
  <c r="K301" i="5"/>
  <c r="K73" i="5"/>
  <c r="K71" i="5"/>
  <c r="K125" i="17"/>
  <c r="K124" i="17"/>
  <c r="K123" i="17"/>
  <c r="K122" i="17"/>
  <c r="K121" i="17"/>
  <c r="K120" i="17"/>
  <c r="K119" i="17"/>
  <c r="K118" i="17"/>
  <c r="K116" i="17"/>
  <c r="K115" i="17"/>
  <c r="K114" i="17"/>
  <c r="K113" i="17"/>
  <c r="K112" i="17"/>
  <c r="K111" i="17"/>
  <c r="K109" i="17"/>
  <c r="K108" i="17"/>
  <c r="K107" i="17"/>
  <c r="N547" i="5" l="1"/>
  <c r="N546" i="5"/>
  <c r="N545" i="5"/>
  <c r="V101" i="17"/>
  <c r="U101" i="17"/>
  <c r="T101" i="17"/>
  <c r="S101" i="17"/>
  <c r="V102" i="17"/>
  <c r="U102" i="17"/>
  <c r="T102" i="17"/>
  <c r="S102" i="17"/>
  <c r="V100" i="17"/>
  <c r="U100" i="17"/>
  <c r="T100" i="17"/>
  <c r="S100" i="17"/>
  <c r="V99" i="17"/>
  <c r="U99" i="17"/>
  <c r="T99" i="17"/>
  <c r="S99" i="17"/>
  <c r="S131" i="17" l="1"/>
  <c r="V131" i="17"/>
  <c r="T131" i="17"/>
  <c r="U131" i="17"/>
  <c r="U191" i="5"/>
  <c r="T103" i="17"/>
  <c r="S103" i="17"/>
  <c r="W100" i="17"/>
  <c r="U103" i="17"/>
  <c r="R103" i="17"/>
  <c r="V103" i="17"/>
  <c r="W102" i="17"/>
  <c r="W101" i="17"/>
  <c r="W99" i="17"/>
  <c r="T191" i="5" l="1"/>
  <c r="S191" i="5"/>
  <c r="V191" i="5"/>
  <c r="W101" i="5"/>
  <c r="R196" i="5"/>
  <c r="W108" i="5"/>
  <c r="W99" i="5"/>
  <c r="W103" i="5"/>
  <c r="S196" i="5"/>
  <c r="V189" i="5"/>
  <c r="U183" i="5"/>
  <c r="T192" i="5"/>
  <c r="T187" i="5"/>
  <c r="W104" i="5"/>
  <c r="W105" i="5"/>
  <c r="W95" i="5"/>
  <c r="S189" i="5"/>
  <c r="S186" i="5"/>
  <c r="S193" i="5"/>
  <c r="V190" i="5"/>
  <c r="V182" i="5"/>
  <c r="V183" i="5"/>
  <c r="U181" i="5"/>
  <c r="U192" i="5"/>
  <c r="U188" i="5"/>
  <c r="U189" i="5"/>
  <c r="T193" i="5"/>
  <c r="T190" i="5"/>
  <c r="W102" i="5"/>
  <c r="S185" i="5"/>
  <c r="S192" i="5"/>
  <c r="V185" i="5"/>
  <c r="U187" i="5"/>
  <c r="U185" i="5"/>
  <c r="T182" i="5"/>
  <c r="T195" i="5"/>
  <c r="T183" i="5"/>
  <c r="T185" i="5"/>
  <c r="T181" i="5"/>
  <c r="T196" i="5"/>
  <c r="W91" i="5"/>
  <c r="W92" i="5"/>
  <c r="W93" i="5"/>
  <c r="S194" i="5"/>
  <c r="S190" i="5"/>
  <c r="S182" i="5"/>
  <c r="V194" i="5"/>
  <c r="V195" i="5"/>
  <c r="V187" i="5"/>
  <c r="V188" i="5"/>
  <c r="U186" i="5"/>
  <c r="U190" i="5"/>
  <c r="U193" i="5"/>
  <c r="U194" i="5"/>
  <c r="T194" i="5"/>
  <c r="W100" i="5"/>
  <c r="S181" i="5"/>
  <c r="V186" i="5"/>
  <c r="T188" i="5"/>
  <c r="T189" i="5"/>
  <c r="T186" i="5"/>
  <c r="W96" i="5"/>
  <c r="W97" i="5"/>
  <c r="W98" i="5"/>
  <c r="S183" i="5"/>
  <c r="S188" i="5"/>
  <c r="S195" i="5"/>
  <c r="S187" i="5"/>
  <c r="V181" i="5"/>
  <c r="V196" i="5"/>
  <c r="V192" i="5"/>
  <c r="V193" i="5"/>
  <c r="U182" i="5"/>
  <c r="U195" i="5"/>
  <c r="U196" i="5"/>
  <c r="W103" i="17"/>
  <c r="V242" i="5" l="1"/>
  <c r="U242" i="5"/>
  <c r="S242" i="5"/>
  <c r="T242" i="5"/>
  <c r="R242" i="5"/>
  <c r="V237" i="5"/>
  <c r="U237" i="5"/>
  <c r="T237" i="5"/>
  <c r="S237" i="5"/>
  <c r="R237" i="5"/>
  <c r="T245" i="5"/>
  <c r="V245" i="5"/>
  <c r="U245" i="5"/>
  <c r="S245" i="5"/>
  <c r="R245" i="5"/>
  <c r="R240" i="5"/>
  <c r="U240" i="5"/>
  <c r="V240" i="5"/>
  <c r="T240" i="5"/>
  <c r="S240" i="5"/>
  <c r="R239" i="5"/>
  <c r="V239" i="5"/>
  <c r="U239" i="5"/>
  <c r="T239" i="5"/>
  <c r="S239" i="5"/>
  <c r="V247" i="5"/>
  <c r="U247" i="5"/>
  <c r="R247" i="5"/>
  <c r="T247" i="5"/>
  <c r="S247" i="5"/>
  <c r="U241" i="5"/>
  <c r="T241" i="5"/>
  <c r="S241" i="5"/>
  <c r="R241" i="5"/>
  <c r="V241" i="5"/>
  <c r="T238" i="5"/>
  <c r="S238" i="5"/>
  <c r="R238" i="5"/>
  <c r="V238" i="5"/>
  <c r="U238" i="5"/>
  <c r="V244" i="5"/>
  <c r="U244" i="5"/>
  <c r="T244" i="5"/>
  <c r="S244" i="5"/>
  <c r="R244" i="5"/>
  <c r="S243" i="5"/>
  <c r="R243" i="5"/>
  <c r="V243" i="5"/>
  <c r="U243" i="5"/>
  <c r="T243" i="5"/>
  <c r="T246" i="5"/>
  <c r="S246" i="5"/>
  <c r="R246" i="5"/>
  <c r="V246" i="5"/>
  <c r="U246" i="5"/>
  <c r="V235" i="5"/>
  <c r="U235" i="5"/>
  <c r="T235" i="5"/>
  <c r="S235" i="5"/>
  <c r="R235" i="5"/>
  <c r="S234" i="5"/>
  <c r="R234" i="5"/>
  <c r="V234" i="5"/>
  <c r="U234" i="5"/>
  <c r="T234" i="5"/>
  <c r="V233" i="5"/>
  <c r="U233" i="5"/>
  <c r="S233" i="5"/>
  <c r="T233" i="5"/>
  <c r="R233" i="5"/>
  <c r="W122" i="5"/>
  <c r="W173" i="5"/>
  <c r="R191" i="5"/>
  <c r="W139" i="5"/>
  <c r="W196" i="5"/>
  <c r="W138" i="5"/>
  <c r="W136" i="5"/>
  <c r="W117" i="5"/>
  <c r="R183" i="5"/>
  <c r="W165" i="5"/>
  <c r="W175" i="5"/>
  <c r="R193" i="5"/>
  <c r="W171" i="5"/>
  <c r="R189" i="5"/>
  <c r="W189" i="5" s="1"/>
  <c r="W169" i="5"/>
  <c r="R187" i="5"/>
  <c r="W134" i="5"/>
  <c r="W121" i="5"/>
  <c r="W131" i="5"/>
  <c r="R182" i="5"/>
  <c r="W164" i="5"/>
  <c r="W140" i="5"/>
  <c r="W178" i="5"/>
  <c r="W133" i="5"/>
  <c r="R195" i="5"/>
  <c r="W177" i="5"/>
  <c r="W141" i="5"/>
  <c r="W120" i="5"/>
  <c r="W112" i="5"/>
  <c r="W119" i="5"/>
  <c r="R186" i="5"/>
  <c r="W168" i="5"/>
  <c r="W114" i="5"/>
  <c r="W113" i="5"/>
  <c r="W129" i="5"/>
  <c r="R192" i="5"/>
  <c r="W174" i="5"/>
  <c r="W167" i="5"/>
  <c r="R185" i="5"/>
  <c r="W185" i="5" s="1"/>
  <c r="W126" i="5"/>
  <c r="W125" i="5"/>
  <c r="W118" i="5"/>
  <c r="R190" i="5"/>
  <c r="W172" i="5"/>
  <c r="W116" i="5"/>
  <c r="W142" i="5"/>
  <c r="R188" i="5"/>
  <c r="W170" i="5"/>
  <c r="W135" i="5"/>
  <c r="W130" i="5"/>
  <c r="R181" i="5"/>
  <c r="W163" i="5"/>
  <c r="W123" i="5"/>
  <c r="W143" i="5"/>
  <c r="W176" i="5"/>
  <c r="R194" i="5"/>
  <c r="W124" i="5"/>
  <c r="W137" i="5"/>
  <c r="R10" i="4"/>
  <c r="R10" i="40" s="1"/>
  <c r="N10" i="21"/>
  <c r="K10" i="21"/>
  <c r="B10" i="21"/>
  <c r="B14" i="21" s="1"/>
  <c r="L8" i="21"/>
  <c r="B2" i="21"/>
  <c r="N10" i="20"/>
  <c r="M10" i="20"/>
  <c r="I5" i="20" s="1"/>
  <c r="K78" i="1" s="1"/>
  <c r="L10" i="20"/>
  <c r="K10" i="20"/>
  <c r="B10" i="20"/>
  <c r="B12" i="20" s="1"/>
  <c r="L8" i="20"/>
  <c r="B2" i="20"/>
  <c r="N10" i="19"/>
  <c r="L10" i="19"/>
  <c r="K10" i="19"/>
  <c r="B10" i="19"/>
  <c r="L8" i="19"/>
  <c r="B2" i="19"/>
  <c r="E77" i="1" s="1"/>
  <c r="B12" i="30" s="1"/>
  <c r="N10" i="18"/>
  <c r="L10" i="18"/>
  <c r="K10" i="18"/>
  <c r="B10" i="18"/>
  <c r="L8" i="18"/>
  <c r="B2" i="18"/>
  <c r="C16" i="30" s="1"/>
  <c r="N10" i="17"/>
  <c r="L10" i="17"/>
  <c r="K10" i="17"/>
  <c r="B10" i="17"/>
  <c r="B12" i="17" s="1"/>
  <c r="L8" i="17"/>
  <c r="B2" i="17"/>
  <c r="C17" i="30" s="1"/>
  <c r="B10" i="16"/>
  <c r="R10" i="38" l="1"/>
  <c r="R10" i="39"/>
  <c r="R10" i="19"/>
  <c r="R10" i="21"/>
  <c r="R10" i="20"/>
  <c r="R10" i="33"/>
  <c r="R10" i="30"/>
  <c r="R10" i="29"/>
  <c r="R10" i="18"/>
  <c r="R10" i="17"/>
  <c r="R10" i="5"/>
  <c r="R10" i="11"/>
  <c r="R10" i="16"/>
  <c r="R10" i="36"/>
  <c r="T271" i="5"/>
  <c r="V271" i="5"/>
  <c r="U271" i="5"/>
  <c r="S271" i="5"/>
  <c r="R271" i="5"/>
  <c r="U206" i="5"/>
  <c r="R206" i="5"/>
  <c r="V206" i="5"/>
  <c r="T206" i="5"/>
  <c r="S206" i="5"/>
  <c r="V230" i="5"/>
  <c r="U230" i="5"/>
  <c r="T230" i="5"/>
  <c r="R230" i="5"/>
  <c r="S230" i="5"/>
  <c r="T203" i="5"/>
  <c r="V203" i="5"/>
  <c r="U203" i="5"/>
  <c r="S203" i="5"/>
  <c r="R203" i="5"/>
  <c r="V221" i="5"/>
  <c r="U221" i="5"/>
  <c r="T221" i="5"/>
  <c r="R221" i="5"/>
  <c r="S221" i="5"/>
  <c r="V213" i="5"/>
  <c r="R213" i="5"/>
  <c r="U213" i="5"/>
  <c r="T213" i="5"/>
  <c r="S213" i="5"/>
  <c r="S212" i="5"/>
  <c r="R212" i="5"/>
  <c r="T212" i="5"/>
  <c r="V212" i="5"/>
  <c r="U212" i="5"/>
  <c r="T223" i="5"/>
  <c r="S223" i="5"/>
  <c r="R223" i="5"/>
  <c r="U223" i="5"/>
  <c r="V223" i="5"/>
  <c r="U210" i="5"/>
  <c r="V210" i="5"/>
  <c r="T210" i="5"/>
  <c r="S210" i="5"/>
  <c r="R210" i="5"/>
  <c r="T275" i="5"/>
  <c r="S275" i="5"/>
  <c r="R275" i="5"/>
  <c r="V275" i="5"/>
  <c r="U275" i="5"/>
  <c r="S208" i="5"/>
  <c r="V208" i="5"/>
  <c r="U208" i="5"/>
  <c r="T208" i="5"/>
  <c r="R208" i="5"/>
  <c r="V227" i="5"/>
  <c r="T227" i="5"/>
  <c r="U227" i="5"/>
  <c r="S227" i="5"/>
  <c r="R227" i="5"/>
  <c r="R220" i="5"/>
  <c r="U220" i="5"/>
  <c r="V220" i="5"/>
  <c r="S220" i="5"/>
  <c r="T220" i="5"/>
  <c r="V216" i="5"/>
  <c r="U216" i="5"/>
  <c r="T216" i="5"/>
  <c r="R216" i="5"/>
  <c r="S216" i="5"/>
  <c r="U282" i="5"/>
  <c r="V282" i="5"/>
  <c r="T282" i="5"/>
  <c r="S282" i="5"/>
  <c r="R282" i="5"/>
  <c r="S224" i="5"/>
  <c r="V224" i="5"/>
  <c r="U224" i="5"/>
  <c r="T224" i="5"/>
  <c r="R224" i="5"/>
  <c r="R209" i="5"/>
  <c r="V209" i="5"/>
  <c r="S209" i="5"/>
  <c r="U209" i="5"/>
  <c r="T209" i="5"/>
  <c r="V199" i="5"/>
  <c r="U199" i="5"/>
  <c r="S199" i="5"/>
  <c r="T199" i="5"/>
  <c r="R199" i="5"/>
  <c r="V211" i="5"/>
  <c r="T211" i="5"/>
  <c r="U211" i="5"/>
  <c r="S211" i="5"/>
  <c r="R211" i="5"/>
  <c r="U201" i="5"/>
  <c r="T201" i="5"/>
  <c r="V201" i="5"/>
  <c r="S201" i="5"/>
  <c r="R201" i="5"/>
  <c r="T207" i="5"/>
  <c r="S207" i="5"/>
  <c r="R207" i="5"/>
  <c r="V207" i="5"/>
  <c r="U207" i="5"/>
  <c r="R200" i="5"/>
  <c r="V200" i="5"/>
  <c r="S200" i="5"/>
  <c r="U200" i="5"/>
  <c r="T200" i="5"/>
  <c r="U222" i="5"/>
  <c r="R222" i="5"/>
  <c r="V222" i="5"/>
  <c r="T222" i="5"/>
  <c r="S222" i="5"/>
  <c r="T217" i="5"/>
  <c r="S217" i="5"/>
  <c r="R217" i="5"/>
  <c r="V217" i="5"/>
  <c r="U217" i="5"/>
  <c r="R225" i="5"/>
  <c r="S225" i="5"/>
  <c r="V225" i="5"/>
  <c r="U225" i="5"/>
  <c r="T225" i="5"/>
  <c r="S228" i="5"/>
  <c r="R228" i="5"/>
  <c r="V228" i="5"/>
  <c r="U228" i="5"/>
  <c r="T228" i="5"/>
  <c r="V205" i="5"/>
  <c r="U205" i="5"/>
  <c r="T205" i="5"/>
  <c r="S205" i="5"/>
  <c r="R205" i="5"/>
  <c r="V229" i="5"/>
  <c r="R229" i="5"/>
  <c r="U229" i="5"/>
  <c r="T229" i="5"/>
  <c r="S229" i="5"/>
  <c r="V218" i="5"/>
  <c r="S218" i="5"/>
  <c r="U218" i="5"/>
  <c r="T218" i="5"/>
  <c r="R218" i="5"/>
  <c r="S204" i="5"/>
  <c r="R204" i="5"/>
  <c r="V204" i="5"/>
  <c r="T204" i="5"/>
  <c r="U204" i="5"/>
  <c r="U226" i="5"/>
  <c r="T226" i="5"/>
  <c r="V226" i="5"/>
  <c r="S226" i="5"/>
  <c r="R226" i="5"/>
  <c r="W244" i="5"/>
  <c r="W243" i="5"/>
  <c r="I4" i="20"/>
  <c r="J78" i="1" s="1"/>
  <c r="L243" i="5"/>
  <c r="W191" i="5"/>
  <c r="L247" i="5"/>
  <c r="L242" i="5"/>
  <c r="L241" i="5"/>
  <c r="L244" i="5"/>
  <c r="L239" i="5"/>
  <c r="L246" i="5"/>
  <c r="L245" i="5"/>
  <c r="L233" i="5"/>
  <c r="L240" i="5"/>
  <c r="L237" i="5"/>
  <c r="L238" i="5"/>
  <c r="L235" i="5"/>
  <c r="L234" i="5"/>
  <c r="W241" i="5"/>
  <c r="W245" i="5"/>
  <c r="W239" i="5"/>
  <c r="W247" i="5"/>
  <c r="W246" i="5"/>
  <c r="B12" i="19"/>
  <c r="C14" i="30" s="1"/>
  <c r="W234" i="5"/>
  <c r="W195" i="5"/>
  <c r="W193" i="5"/>
  <c r="W235" i="5"/>
  <c r="W242" i="5"/>
  <c r="W190" i="5"/>
  <c r="W192" i="5"/>
  <c r="W182" i="5"/>
  <c r="W187" i="5"/>
  <c r="W194" i="5"/>
  <c r="W237" i="5"/>
  <c r="W181" i="5"/>
  <c r="W238" i="5"/>
  <c r="W188" i="5"/>
  <c r="W186" i="5"/>
  <c r="W233" i="5"/>
  <c r="W240" i="5"/>
  <c r="W183" i="5"/>
  <c r="I4" i="21"/>
  <c r="J79" i="1" s="1"/>
  <c r="C15" i="30"/>
  <c r="E91" i="1"/>
  <c r="B12" i="16"/>
  <c r="B96" i="17"/>
  <c r="M10" i="17"/>
  <c r="I5" i="17" s="1"/>
  <c r="K90" i="1" s="1"/>
  <c r="E90" i="1"/>
  <c r="E79" i="1"/>
  <c r="E78" i="1"/>
  <c r="B12" i="18"/>
  <c r="M10" i="19"/>
  <c r="I5" i="19" s="1"/>
  <c r="M10" i="18"/>
  <c r="I5" i="18" s="1"/>
  <c r="M10" i="21"/>
  <c r="V267" i="5" l="1"/>
  <c r="U267" i="5"/>
  <c r="S267" i="5"/>
  <c r="T267" i="5"/>
  <c r="R267" i="5"/>
  <c r="U269" i="5"/>
  <c r="T269" i="5"/>
  <c r="S269" i="5"/>
  <c r="R269" i="5"/>
  <c r="V269" i="5"/>
  <c r="S280" i="5"/>
  <c r="R280" i="5"/>
  <c r="V280" i="5"/>
  <c r="T280" i="5"/>
  <c r="U280" i="5"/>
  <c r="V281" i="5"/>
  <c r="U281" i="5"/>
  <c r="R281" i="5"/>
  <c r="T281" i="5"/>
  <c r="S281" i="5"/>
  <c r="R277" i="5"/>
  <c r="V277" i="5"/>
  <c r="U277" i="5"/>
  <c r="S277" i="5"/>
  <c r="T277" i="5"/>
  <c r="V279" i="5"/>
  <c r="T279" i="5"/>
  <c r="U279" i="5"/>
  <c r="S279" i="5"/>
  <c r="R279" i="5"/>
  <c r="V273" i="5"/>
  <c r="R273" i="5"/>
  <c r="U273" i="5"/>
  <c r="T273" i="5"/>
  <c r="S273" i="5"/>
  <c r="R268" i="5"/>
  <c r="V268" i="5"/>
  <c r="U268" i="5"/>
  <c r="T268" i="5"/>
  <c r="S268" i="5"/>
  <c r="S272" i="5"/>
  <c r="R272" i="5"/>
  <c r="V272" i="5"/>
  <c r="U272" i="5"/>
  <c r="T272" i="5"/>
  <c r="U278" i="5"/>
  <c r="T278" i="5"/>
  <c r="S278" i="5"/>
  <c r="R278" i="5"/>
  <c r="V278" i="5"/>
  <c r="U274" i="5"/>
  <c r="V274" i="5"/>
  <c r="T274" i="5"/>
  <c r="R274" i="5"/>
  <c r="S274" i="5"/>
  <c r="V276" i="5"/>
  <c r="U276" i="5"/>
  <c r="T276" i="5"/>
  <c r="S276" i="5"/>
  <c r="R276" i="5"/>
  <c r="L209" i="5"/>
  <c r="W209" i="5"/>
  <c r="L226" i="5"/>
  <c r="W226" i="5"/>
  <c r="L225" i="5"/>
  <c r="L228" i="5"/>
  <c r="L200" i="5"/>
  <c r="L223" i="5"/>
  <c r="L275" i="5"/>
  <c r="L125" i="30"/>
  <c r="L271" i="5"/>
  <c r="L210" i="5"/>
  <c r="L212" i="5"/>
  <c r="L221" i="5"/>
  <c r="L201" i="5"/>
  <c r="L211" i="5"/>
  <c r="L230" i="5"/>
  <c r="L217" i="5"/>
  <c r="L216" i="5"/>
  <c r="L208" i="5"/>
  <c r="L207" i="5"/>
  <c r="L203" i="5"/>
  <c r="L204" i="5"/>
  <c r="L229" i="5"/>
  <c r="L206" i="5"/>
  <c r="L213" i="5"/>
  <c r="L220" i="5"/>
  <c r="L224" i="5"/>
  <c r="L218" i="5"/>
  <c r="L222" i="5"/>
  <c r="L205" i="5"/>
  <c r="L227" i="5"/>
  <c r="L199" i="5"/>
  <c r="R285" i="5"/>
  <c r="W225" i="5"/>
  <c r="W227" i="5"/>
  <c r="W223" i="5"/>
  <c r="W213" i="5"/>
  <c r="W275" i="5"/>
  <c r="W207" i="5"/>
  <c r="W204" i="5"/>
  <c r="W208" i="5"/>
  <c r="W211" i="5"/>
  <c r="B64" i="19"/>
  <c r="C22" i="30" s="1"/>
  <c r="B149" i="17"/>
  <c r="C153" i="30" s="1"/>
  <c r="C150" i="30"/>
  <c r="W216" i="5"/>
  <c r="W218" i="5"/>
  <c r="W228" i="5"/>
  <c r="W210" i="5"/>
  <c r="W220" i="5"/>
  <c r="W221" i="5"/>
  <c r="W222" i="5"/>
  <c r="W206" i="5"/>
  <c r="W229" i="5"/>
  <c r="W224" i="5"/>
  <c r="W271" i="5"/>
  <c r="W212" i="5"/>
  <c r="W205" i="5"/>
  <c r="W199" i="5"/>
  <c r="W201" i="5"/>
  <c r="W217" i="5"/>
  <c r="W230" i="5"/>
  <c r="W200" i="5"/>
  <c r="W203" i="5"/>
  <c r="I5" i="21"/>
  <c r="K79" i="1" s="1"/>
  <c r="B19" i="16"/>
  <c r="C30" i="30"/>
  <c r="B170" i="18"/>
  <c r="C167" i="30" s="1"/>
  <c r="C160" i="30"/>
  <c r="N542" i="5"/>
  <c r="N541" i="5"/>
  <c r="N540" i="5"/>
  <c r="N539" i="5"/>
  <c r="N537" i="5"/>
  <c r="N536" i="5"/>
  <c r="N535" i="5"/>
  <c r="N534" i="5"/>
  <c r="N533" i="5"/>
  <c r="N532" i="5"/>
  <c r="N530" i="5"/>
  <c r="N529" i="5"/>
  <c r="N528" i="5"/>
  <c r="B52" i="16" l="1"/>
  <c r="C33" i="30"/>
  <c r="R545" i="39"/>
  <c r="R599" i="39" s="1"/>
  <c r="W277" i="5"/>
  <c r="L277" i="5"/>
  <c r="L280" i="5"/>
  <c r="L282" i="5"/>
  <c r="L281" i="5"/>
  <c r="L273" i="5"/>
  <c r="L272" i="5"/>
  <c r="L276" i="5"/>
  <c r="L268" i="5"/>
  <c r="L274" i="5"/>
  <c r="L269" i="5"/>
  <c r="L279" i="5"/>
  <c r="L123" i="30"/>
  <c r="L124" i="30"/>
  <c r="L278" i="5"/>
  <c r="L267" i="5"/>
  <c r="U285" i="5"/>
  <c r="V285" i="5"/>
  <c r="S285" i="5"/>
  <c r="T285" i="5"/>
  <c r="W281" i="5"/>
  <c r="W273" i="5"/>
  <c r="W282" i="5"/>
  <c r="W272" i="5"/>
  <c r="W276" i="5"/>
  <c r="W268" i="5"/>
  <c r="W269" i="5"/>
  <c r="W274" i="5"/>
  <c r="W267" i="5"/>
  <c r="W280" i="5"/>
  <c r="W279" i="5"/>
  <c r="W278" i="5"/>
  <c r="B512" i="18"/>
  <c r="B771" i="18" s="1"/>
  <c r="B802" i="18" s="1"/>
  <c r="B91" i="19"/>
  <c r="B116" i="19" s="1"/>
  <c r="V575" i="5"/>
  <c r="V16" i="18" s="1"/>
  <c r="R575" i="5"/>
  <c r="R16" i="18" s="1"/>
  <c r="T575" i="5"/>
  <c r="T16" i="18" s="1"/>
  <c r="S575" i="5"/>
  <c r="S16" i="18" s="1"/>
  <c r="U575" i="5"/>
  <c r="U16" i="18" s="1"/>
  <c r="V585" i="5"/>
  <c r="V26" i="18" s="1"/>
  <c r="R585" i="5"/>
  <c r="R26" i="18" s="1"/>
  <c r="T585" i="5"/>
  <c r="T26" i="18" s="1"/>
  <c r="S585" i="5"/>
  <c r="S26" i="18" s="1"/>
  <c r="U585" i="5"/>
  <c r="U26" i="18" s="1"/>
  <c r="T587" i="5"/>
  <c r="T28" i="18" s="1"/>
  <c r="R587" i="5"/>
  <c r="R28" i="18" s="1"/>
  <c r="U587" i="5"/>
  <c r="U28" i="18" s="1"/>
  <c r="S587" i="5"/>
  <c r="S28" i="18" s="1"/>
  <c r="V587" i="5"/>
  <c r="V28" i="18" s="1"/>
  <c r="V580" i="5"/>
  <c r="V21" i="18" s="1"/>
  <c r="R580" i="5"/>
  <c r="R21" i="18" s="1"/>
  <c r="S580" i="5"/>
  <c r="S21" i="18" s="1"/>
  <c r="U580" i="5"/>
  <c r="U21" i="18" s="1"/>
  <c r="T580" i="5"/>
  <c r="T21" i="18" s="1"/>
  <c r="U576" i="5"/>
  <c r="U17" i="18" s="1"/>
  <c r="V576" i="5"/>
  <c r="V17" i="18" s="1"/>
  <c r="R576" i="5"/>
  <c r="T576" i="5"/>
  <c r="T17" i="18" s="1"/>
  <c r="S576" i="5"/>
  <c r="S17" i="18" s="1"/>
  <c r="U581" i="5"/>
  <c r="U22" i="18" s="1"/>
  <c r="S581" i="5"/>
  <c r="S22" i="18" s="1"/>
  <c r="V581" i="5"/>
  <c r="V22" i="18" s="1"/>
  <c r="R581" i="5"/>
  <c r="R22" i="18" s="1"/>
  <c r="T581" i="5"/>
  <c r="T22" i="18" s="1"/>
  <c r="U586" i="5"/>
  <c r="U27" i="18" s="1"/>
  <c r="V586" i="5"/>
  <c r="V27" i="18" s="1"/>
  <c r="R586" i="5"/>
  <c r="R27" i="18" s="1"/>
  <c r="T586" i="5"/>
  <c r="T27" i="18" s="1"/>
  <c r="S586" i="5"/>
  <c r="S27" i="18" s="1"/>
  <c r="T578" i="5"/>
  <c r="T19" i="18" s="1"/>
  <c r="R578" i="5"/>
  <c r="R19" i="18" s="1"/>
  <c r="S578" i="5"/>
  <c r="S19" i="18" s="1"/>
  <c r="V578" i="5"/>
  <c r="V19" i="18" s="1"/>
  <c r="U578" i="5"/>
  <c r="U19" i="18" s="1"/>
  <c r="T582" i="5"/>
  <c r="T23" i="18" s="1"/>
  <c r="V582" i="5"/>
  <c r="V23" i="18" s="1"/>
  <c r="R582" i="5"/>
  <c r="R23" i="18" s="1"/>
  <c r="T574" i="5"/>
  <c r="T15" i="18" s="1"/>
  <c r="V574" i="5"/>
  <c r="V15" i="18" s="1"/>
  <c r="S579" i="5"/>
  <c r="S20" i="18" s="1"/>
  <c r="U579" i="5"/>
  <c r="U20" i="18" s="1"/>
  <c r="T579" i="5"/>
  <c r="T20" i="18" s="1"/>
  <c r="V579" i="5"/>
  <c r="V20" i="18" s="1"/>
  <c r="R579" i="5"/>
  <c r="R20" i="18" s="1"/>
  <c r="S588" i="5"/>
  <c r="S29" i="18" s="1"/>
  <c r="T588" i="5"/>
  <c r="T29" i="18" s="1"/>
  <c r="V588" i="5"/>
  <c r="V29" i="18" s="1"/>
  <c r="R588" i="5"/>
  <c r="R29" i="18" s="1"/>
  <c r="U588" i="5"/>
  <c r="U29" i="18" s="1"/>
  <c r="N352" i="5"/>
  <c r="R617" i="39" l="1"/>
  <c r="R221" i="19" s="1"/>
  <c r="R17" i="18"/>
  <c r="W17" i="18" s="1"/>
  <c r="W576" i="5"/>
  <c r="U454" i="5"/>
  <c r="V420" i="5"/>
  <c r="U403" i="5"/>
  <c r="T386" i="5"/>
  <c r="T454" i="5"/>
  <c r="U420" i="5"/>
  <c r="T403" i="5"/>
  <c r="S386" i="5"/>
  <c r="S454" i="5"/>
  <c r="S403" i="5"/>
  <c r="V386" i="5"/>
  <c r="U386" i="5"/>
  <c r="S420" i="5"/>
  <c r="V454" i="5"/>
  <c r="T420" i="5"/>
  <c r="V403" i="5"/>
  <c r="R386" i="5"/>
  <c r="R420" i="5"/>
  <c r="R403" i="5"/>
  <c r="L126" i="30"/>
  <c r="W285" i="5"/>
  <c r="L285" i="5" s="1"/>
  <c r="R454" i="5"/>
  <c r="C176" i="30"/>
  <c r="B846" i="18"/>
  <c r="C172" i="30"/>
  <c r="B162" i="19"/>
  <c r="B208" i="19" s="1"/>
  <c r="W29" i="18"/>
  <c r="W28" i="18"/>
  <c r="W19" i="18"/>
  <c r="W27" i="18"/>
  <c r="W22" i="18"/>
  <c r="W16" i="18"/>
  <c r="W20" i="18"/>
  <c r="W26" i="18"/>
  <c r="W21" i="18"/>
  <c r="L8" i="5"/>
  <c r="N366" i="5"/>
  <c r="N365" i="5"/>
  <c r="N364" i="5"/>
  <c r="N363" i="5"/>
  <c r="N361" i="5"/>
  <c r="N360" i="5"/>
  <c r="N359" i="5"/>
  <c r="N358" i="5"/>
  <c r="N357" i="5"/>
  <c r="N356" i="5"/>
  <c r="N354" i="5"/>
  <c r="N353" i="5"/>
  <c r="R334" i="5"/>
  <c r="R574" i="5" s="1"/>
  <c r="R734" i="39" l="1"/>
  <c r="W221" i="19"/>
  <c r="R653" i="39"/>
  <c r="W617" i="39"/>
  <c r="U459" i="5"/>
  <c r="V442" i="5"/>
  <c r="R442" i="5"/>
  <c r="V425" i="5"/>
  <c r="R425" i="5"/>
  <c r="U391" i="5"/>
  <c r="T459" i="5"/>
  <c r="U442" i="5"/>
  <c r="U425" i="5"/>
  <c r="T391" i="5"/>
  <c r="S459" i="5"/>
  <c r="T442" i="5"/>
  <c r="T425" i="5"/>
  <c r="V459" i="5"/>
  <c r="S442" i="5"/>
  <c r="S425" i="5"/>
  <c r="V391" i="5"/>
  <c r="R391" i="5"/>
  <c r="R459" i="5"/>
  <c r="S391" i="5"/>
  <c r="U408" i="5"/>
  <c r="V408" i="5"/>
  <c r="T408" i="5"/>
  <c r="R408" i="5"/>
  <c r="S408" i="5"/>
  <c r="U451" i="5"/>
  <c r="T434" i="5"/>
  <c r="V417" i="5"/>
  <c r="R417" i="5"/>
  <c r="U400" i="5"/>
  <c r="T451" i="5"/>
  <c r="S434" i="5"/>
  <c r="U417" i="5"/>
  <c r="T400" i="5"/>
  <c r="S451" i="5"/>
  <c r="R451" i="5"/>
  <c r="V434" i="5"/>
  <c r="T417" i="5"/>
  <c r="U434" i="5"/>
  <c r="S417" i="5"/>
  <c r="V400" i="5"/>
  <c r="R400" i="5"/>
  <c r="R434" i="5"/>
  <c r="S400" i="5"/>
  <c r="V451" i="5"/>
  <c r="R468" i="5"/>
  <c r="V468" i="5"/>
  <c r="U468" i="5"/>
  <c r="T468" i="5"/>
  <c r="S468" i="5"/>
  <c r="T455" i="5"/>
  <c r="U421" i="5"/>
  <c r="T404" i="5"/>
  <c r="S387" i="5"/>
  <c r="S455" i="5"/>
  <c r="T421" i="5"/>
  <c r="S404" i="5"/>
  <c r="V387" i="5"/>
  <c r="R387" i="5"/>
  <c r="V455" i="5"/>
  <c r="R455" i="5"/>
  <c r="S421" i="5"/>
  <c r="V404" i="5"/>
  <c r="U455" i="5"/>
  <c r="R421" i="5"/>
  <c r="U404" i="5"/>
  <c r="T387" i="5"/>
  <c r="R404" i="5"/>
  <c r="U387" i="5"/>
  <c r="V421" i="5"/>
  <c r="T460" i="5"/>
  <c r="U443" i="5"/>
  <c r="U409" i="5"/>
  <c r="T392" i="5"/>
  <c r="S460" i="5"/>
  <c r="T443" i="5"/>
  <c r="T409" i="5"/>
  <c r="S392" i="5"/>
  <c r="V460" i="5"/>
  <c r="R460" i="5"/>
  <c r="R392" i="5"/>
  <c r="V443" i="5"/>
  <c r="V409" i="5"/>
  <c r="S443" i="5"/>
  <c r="S409" i="5"/>
  <c r="V392" i="5"/>
  <c r="U460" i="5"/>
  <c r="R443" i="5"/>
  <c r="R409" i="5"/>
  <c r="U392" i="5"/>
  <c r="U426" i="5"/>
  <c r="T426" i="5"/>
  <c r="R426" i="5"/>
  <c r="V426" i="5"/>
  <c r="S426" i="5"/>
  <c r="S456" i="5"/>
  <c r="T422" i="5"/>
  <c r="S405" i="5"/>
  <c r="V388" i="5"/>
  <c r="R388" i="5"/>
  <c r="V456" i="5"/>
  <c r="R456" i="5"/>
  <c r="S422" i="5"/>
  <c r="V405" i="5"/>
  <c r="R405" i="5"/>
  <c r="U388" i="5"/>
  <c r="U456" i="5"/>
  <c r="T456" i="5"/>
  <c r="V422" i="5"/>
  <c r="T388" i="5"/>
  <c r="U422" i="5"/>
  <c r="S388" i="5"/>
  <c r="T405" i="5"/>
  <c r="R422" i="5"/>
  <c r="U405" i="5"/>
  <c r="S461" i="5"/>
  <c r="T444" i="5"/>
  <c r="T410" i="5"/>
  <c r="S393" i="5"/>
  <c r="V461" i="5"/>
  <c r="R461" i="5"/>
  <c r="S444" i="5"/>
  <c r="S410" i="5"/>
  <c r="V393" i="5"/>
  <c r="R393" i="5"/>
  <c r="U461" i="5"/>
  <c r="V444" i="5"/>
  <c r="R444" i="5"/>
  <c r="R410" i="5"/>
  <c r="U393" i="5"/>
  <c r="T393" i="5"/>
  <c r="U444" i="5"/>
  <c r="U410" i="5"/>
  <c r="T461" i="5"/>
  <c r="V410" i="5"/>
  <c r="T427" i="5"/>
  <c r="R427" i="5"/>
  <c r="U427" i="5"/>
  <c r="S427" i="5"/>
  <c r="V427" i="5"/>
  <c r="S466" i="5"/>
  <c r="S449" i="5"/>
  <c r="V432" i="5"/>
  <c r="R432" i="5"/>
  <c r="T415" i="5"/>
  <c r="S398" i="5"/>
  <c r="V466" i="5"/>
  <c r="R466" i="5"/>
  <c r="V449" i="5"/>
  <c r="R449" i="5"/>
  <c r="U432" i="5"/>
  <c r="S415" i="5"/>
  <c r="V398" i="5"/>
  <c r="R398" i="5"/>
  <c r="U466" i="5"/>
  <c r="U449" i="5"/>
  <c r="V415" i="5"/>
  <c r="U415" i="5"/>
  <c r="S432" i="5"/>
  <c r="T466" i="5"/>
  <c r="T449" i="5"/>
  <c r="T432" i="5"/>
  <c r="R415" i="5"/>
  <c r="U398" i="5"/>
  <c r="T398" i="5"/>
  <c r="U463" i="5"/>
  <c r="T429" i="5"/>
  <c r="V412" i="5"/>
  <c r="R412" i="5"/>
  <c r="U395" i="5"/>
  <c r="T463" i="5"/>
  <c r="S429" i="5"/>
  <c r="U412" i="5"/>
  <c r="T395" i="5"/>
  <c r="S463" i="5"/>
  <c r="R463" i="5"/>
  <c r="R429" i="5"/>
  <c r="S395" i="5"/>
  <c r="R395" i="5"/>
  <c r="V463" i="5"/>
  <c r="V395" i="5"/>
  <c r="V429" i="5"/>
  <c r="T412" i="5"/>
  <c r="U429" i="5"/>
  <c r="S412" i="5"/>
  <c r="V458" i="5"/>
  <c r="R458" i="5"/>
  <c r="S441" i="5"/>
  <c r="S424" i="5"/>
  <c r="V407" i="5"/>
  <c r="R407" i="5"/>
  <c r="U458" i="5"/>
  <c r="V441" i="5"/>
  <c r="R441" i="5"/>
  <c r="V424" i="5"/>
  <c r="R424" i="5"/>
  <c r="U407" i="5"/>
  <c r="T458" i="5"/>
  <c r="T407" i="5"/>
  <c r="S407" i="5"/>
  <c r="S458" i="5"/>
  <c r="T441" i="5"/>
  <c r="U441" i="5"/>
  <c r="U424" i="5"/>
  <c r="T424" i="5"/>
  <c r="S390" i="5"/>
  <c r="U390" i="5"/>
  <c r="T390" i="5"/>
  <c r="R390" i="5"/>
  <c r="V390" i="5"/>
  <c r="V462" i="5"/>
  <c r="R462" i="5"/>
  <c r="U428" i="5"/>
  <c r="S411" i="5"/>
  <c r="V394" i="5"/>
  <c r="R394" i="5"/>
  <c r="U462" i="5"/>
  <c r="T428" i="5"/>
  <c r="V411" i="5"/>
  <c r="R411" i="5"/>
  <c r="U394" i="5"/>
  <c r="T462" i="5"/>
  <c r="U411" i="5"/>
  <c r="S462" i="5"/>
  <c r="V428" i="5"/>
  <c r="T411" i="5"/>
  <c r="R428" i="5"/>
  <c r="S428" i="5"/>
  <c r="T394" i="5"/>
  <c r="S394" i="5"/>
  <c r="V467" i="5"/>
  <c r="R467" i="5"/>
  <c r="V450" i="5"/>
  <c r="R450" i="5"/>
  <c r="U433" i="5"/>
  <c r="S416" i="5"/>
  <c r="V399" i="5"/>
  <c r="R399" i="5"/>
  <c r="U467" i="5"/>
  <c r="U450" i="5"/>
  <c r="T433" i="5"/>
  <c r="V416" i="5"/>
  <c r="R416" i="5"/>
  <c r="U399" i="5"/>
  <c r="T467" i="5"/>
  <c r="T450" i="5"/>
  <c r="S467" i="5"/>
  <c r="S433" i="5"/>
  <c r="T399" i="5"/>
  <c r="S450" i="5"/>
  <c r="R433" i="5"/>
  <c r="S399" i="5"/>
  <c r="U416" i="5"/>
  <c r="V433" i="5"/>
  <c r="T416" i="5"/>
  <c r="S465" i="5"/>
  <c r="T448" i="5"/>
  <c r="V431" i="5"/>
  <c r="R431" i="5"/>
  <c r="S414" i="5"/>
  <c r="T397" i="5"/>
  <c r="R448" i="5"/>
  <c r="U414" i="5"/>
  <c r="R397" i="5"/>
  <c r="V465" i="5"/>
  <c r="R465" i="5"/>
  <c r="S448" i="5"/>
  <c r="U431" i="5"/>
  <c r="V414" i="5"/>
  <c r="R414" i="5"/>
  <c r="S397" i="5"/>
  <c r="U465" i="5"/>
  <c r="V448" i="5"/>
  <c r="T431" i="5"/>
  <c r="V397" i="5"/>
  <c r="T465" i="5"/>
  <c r="U397" i="5"/>
  <c r="S431" i="5"/>
  <c r="T414" i="5"/>
  <c r="U448" i="5"/>
  <c r="B975" i="18"/>
  <c r="C182" i="30" s="1"/>
  <c r="C179" i="30"/>
  <c r="L454" i="5"/>
  <c r="L420" i="5"/>
  <c r="L386" i="5"/>
  <c r="L403" i="5"/>
  <c r="W403" i="5"/>
  <c r="W386" i="5"/>
  <c r="T382" i="5"/>
  <c r="S382" i="5"/>
  <c r="V382" i="5"/>
  <c r="R382" i="5"/>
  <c r="U382" i="5"/>
  <c r="U381" i="5"/>
  <c r="T381" i="5"/>
  <c r="S381" i="5"/>
  <c r="V381" i="5"/>
  <c r="R381" i="5"/>
  <c r="W454" i="5"/>
  <c r="W420" i="5"/>
  <c r="R15" i="18"/>
  <c r="V316" i="5"/>
  <c r="U316" i="5"/>
  <c r="T316" i="5"/>
  <c r="S316" i="5"/>
  <c r="K26" i="5"/>
  <c r="K25" i="5"/>
  <c r="K24" i="5"/>
  <c r="K21" i="5"/>
  <c r="K18" i="5"/>
  <c r="K17" i="5"/>
  <c r="K16" i="5"/>
  <c r="K15" i="5"/>
  <c r="N15" i="5"/>
  <c r="V40" i="5"/>
  <c r="V72" i="5" s="1"/>
  <c r="U40" i="5"/>
  <c r="U72" i="5" s="1"/>
  <c r="T40" i="5"/>
  <c r="T72" i="5" s="1"/>
  <c r="S40" i="5"/>
  <c r="S72" i="5" s="1"/>
  <c r="R40" i="5"/>
  <c r="R72" i="5" s="1"/>
  <c r="V42" i="5"/>
  <c r="V73" i="5" s="1"/>
  <c r="U42" i="5"/>
  <c r="U73" i="5" s="1"/>
  <c r="T42" i="5"/>
  <c r="T73" i="5" s="1"/>
  <c r="S42" i="5"/>
  <c r="S73" i="5" s="1"/>
  <c r="R42" i="5"/>
  <c r="R73" i="5" s="1"/>
  <c r="V45" i="5"/>
  <c r="V74" i="5" s="1"/>
  <c r="U45" i="5"/>
  <c r="U74" i="5" s="1"/>
  <c r="T45" i="5"/>
  <c r="T74" i="5" s="1"/>
  <c r="S45" i="5"/>
  <c r="S74" i="5" s="1"/>
  <c r="R45" i="5"/>
  <c r="K40" i="5"/>
  <c r="K42" i="5"/>
  <c r="K45" i="5"/>
  <c r="V327" i="11"/>
  <c r="U327" i="11"/>
  <c r="T327" i="11"/>
  <c r="S327" i="11"/>
  <c r="S140" i="11" s="1"/>
  <c r="R38" i="5"/>
  <c r="R785" i="39" l="1"/>
  <c r="U140" i="11"/>
  <c r="U38" i="5" s="1"/>
  <c r="V140" i="11"/>
  <c r="T140" i="11"/>
  <c r="R67" i="5"/>
  <c r="R60" i="5"/>
  <c r="R64" i="5" s="1"/>
  <c r="R59" i="5"/>
  <c r="R71" i="5" s="1"/>
  <c r="R61" i="5"/>
  <c r="R65" i="5" s="1"/>
  <c r="W408" i="5"/>
  <c r="N42" i="11"/>
  <c r="L42" i="11" s="1"/>
  <c r="L75" i="30" s="1"/>
  <c r="R483" i="5"/>
  <c r="R500" i="5" s="1"/>
  <c r="R518" i="5" s="1"/>
  <c r="S484" i="5"/>
  <c r="T483" i="5"/>
  <c r="V483" i="5"/>
  <c r="U483" i="5"/>
  <c r="R484" i="5"/>
  <c r="R501" i="5" s="1"/>
  <c r="R519" i="5" s="1"/>
  <c r="T484" i="5"/>
  <c r="U484" i="5"/>
  <c r="S483" i="5"/>
  <c r="S500" i="5" s="1"/>
  <c r="S518" i="5" s="1"/>
  <c r="V484" i="5"/>
  <c r="L448" i="5"/>
  <c r="W448" i="5"/>
  <c r="W443" i="5"/>
  <c r="L443" i="5"/>
  <c r="L444" i="5"/>
  <c r="W444" i="5"/>
  <c r="L451" i="5"/>
  <c r="W451" i="5"/>
  <c r="W449" i="5"/>
  <c r="W442" i="5"/>
  <c r="L442" i="5"/>
  <c r="W450" i="5"/>
  <c r="L459" i="5"/>
  <c r="L426" i="5"/>
  <c r="L422" i="5"/>
  <c r="L428" i="5"/>
  <c r="L468" i="5"/>
  <c r="L390" i="5"/>
  <c r="L411" i="5"/>
  <c r="L405" i="5"/>
  <c r="L404" i="5"/>
  <c r="L407" i="5"/>
  <c r="L417" i="5"/>
  <c r="L434" i="5"/>
  <c r="L424" i="5"/>
  <c r="L388" i="5"/>
  <c r="L397" i="5"/>
  <c r="L412" i="5"/>
  <c r="L429" i="5"/>
  <c r="L425" i="5"/>
  <c r="L460" i="5"/>
  <c r="L455" i="5"/>
  <c r="L461" i="5"/>
  <c r="L393" i="5"/>
  <c r="L392" i="5"/>
  <c r="L395" i="5"/>
  <c r="L414" i="5"/>
  <c r="L408" i="5"/>
  <c r="L421" i="5"/>
  <c r="L465" i="5"/>
  <c r="L463" i="5"/>
  <c r="L462" i="5"/>
  <c r="L400" i="5"/>
  <c r="L410" i="5"/>
  <c r="L431" i="5"/>
  <c r="L427" i="5"/>
  <c r="L458" i="5"/>
  <c r="L456" i="5"/>
  <c r="L387" i="5"/>
  <c r="L391" i="5"/>
  <c r="L394" i="5"/>
  <c r="L409" i="5"/>
  <c r="R74" i="5"/>
  <c r="R286" i="5" s="1"/>
  <c r="W45" i="5"/>
  <c r="W416" i="5"/>
  <c r="W410" i="5"/>
  <c r="W412" i="5"/>
  <c r="W414" i="5"/>
  <c r="W411" i="5"/>
  <c r="W405" i="5"/>
  <c r="W409" i="5"/>
  <c r="W404" i="5"/>
  <c r="W407" i="5"/>
  <c r="W415" i="5"/>
  <c r="W417" i="5"/>
  <c r="W398" i="5"/>
  <c r="W387" i="5"/>
  <c r="W395" i="5"/>
  <c r="W390" i="5"/>
  <c r="W399" i="5"/>
  <c r="W391" i="5"/>
  <c r="W394" i="5"/>
  <c r="W388" i="5"/>
  <c r="W397" i="5"/>
  <c r="W393" i="5"/>
  <c r="W392" i="5"/>
  <c r="W400" i="5"/>
  <c r="W463" i="5"/>
  <c r="W460" i="5"/>
  <c r="W455" i="5"/>
  <c r="W456" i="5"/>
  <c r="W462" i="5"/>
  <c r="W466" i="5"/>
  <c r="W465" i="5"/>
  <c r="W467" i="5"/>
  <c r="W458" i="5"/>
  <c r="W461" i="5"/>
  <c r="W468" i="5"/>
  <c r="W459" i="5"/>
  <c r="W424" i="5"/>
  <c r="W429" i="5"/>
  <c r="W425" i="5"/>
  <c r="W427" i="5"/>
  <c r="W431" i="5"/>
  <c r="W426" i="5"/>
  <c r="W432" i="5"/>
  <c r="W422" i="5"/>
  <c r="W421" i="5"/>
  <c r="W434" i="5"/>
  <c r="W433" i="5"/>
  <c r="W428" i="5"/>
  <c r="S38" i="5"/>
  <c r="W316" i="5"/>
  <c r="W381" i="5"/>
  <c r="W382" i="5"/>
  <c r="W42" i="5"/>
  <c r="W40" i="5"/>
  <c r="V38" i="5" l="1"/>
  <c r="V60" i="5" s="1"/>
  <c r="V64" i="5" s="1"/>
  <c r="W187" i="11"/>
  <c r="L140" i="11"/>
  <c r="T38" i="5"/>
  <c r="T67" i="5" s="1"/>
  <c r="U59" i="5"/>
  <c r="U71" i="5" s="1"/>
  <c r="U61" i="5"/>
  <c r="U65" i="5" s="1"/>
  <c r="U60" i="5"/>
  <c r="U64" i="5" s="1"/>
  <c r="U67" i="5"/>
  <c r="M140" i="11"/>
  <c r="W140" i="11"/>
  <c r="S60" i="5"/>
  <c r="S64" i="5" s="1"/>
  <c r="S59" i="5"/>
  <c r="S71" i="5" s="1"/>
  <c r="S61" i="5"/>
  <c r="S65" i="5" s="1"/>
  <c r="M42" i="11"/>
  <c r="M75" i="30" s="1"/>
  <c r="V500" i="5"/>
  <c r="V518" i="5" s="1"/>
  <c r="V562" i="5" s="1"/>
  <c r="V119" i="17" s="1"/>
  <c r="V501" i="5"/>
  <c r="V519" i="5" s="1"/>
  <c r="V563" i="5" s="1"/>
  <c r="V120" i="17" s="1"/>
  <c r="T501" i="5"/>
  <c r="T519" i="5" s="1"/>
  <c r="T563" i="5" s="1"/>
  <c r="T120" i="17" s="1"/>
  <c r="T500" i="5"/>
  <c r="T518" i="5" s="1"/>
  <c r="T562" i="5" s="1"/>
  <c r="T119" i="17" s="1"/>
  <c r="U501" i="5"/>
  <c r="U519" i="5" s="1"/>
  <c r="U563" i="5" s="1"/>
  <c r="U120" i="17" s="1"/>
  <c r="S501" i="5"/>
  <c r="S519" i="5" s="1"/>
  <c r="S563" i="5" s="1"/>
  <c r="S120" i="17" s="1"/>
  <c r="U500" i="5"/>
  <c r="U518" i="5" s="1"/>
  <c r="U562" i="5" s="1"/>
  <c r="U119" i="17" s="1"/>
  <c r="W483" i="5"/>
  <c r="W484" i="5"/>
  <c r="S67" i="5"/>
  <c r="N25" i="5"/>
  <c r="R604" i="5"/>
  <c r="R605" i="5"/>
  <c r="V849" i="18"/>
  <c r="V957" i="18" s="1"/>
  <c r="U849" i="18"/>
  <c r="T849" i="18"/>
  <c r="T957" i="18" s="1"/>
  <c r="S849" i="18"/>
  <c r="V67" i="5" l="1"/>
  <c r="V61" i="5"/>
  <c r="V65" i="5" s="1"/>
  <c r="V59" i="5"/>
  <c r="V71" i="5" s="1"/>
  <c r="W38" i="5"/>
  <c r="T59" i="5"/>
  <c r="T71" i="5" s="1"/>
  <c r="T61" i="5"/>
  <c r="T65" i="5" s="1"/>
  <c r="T60" i="5"/>
  <c r="T64" i="5" s="1"/>
  <c r="W64" i="5" s="1"/>
  <c r="R77" i="5" s="1"/>
  <c r="U917" i="18"/>
  <c r="U957" i="18"/>
  <c r="S877" i="18"/>
  <c r="S957" i="18"/>
  <c r="V917" i="18"/>
  <c r="V937" i="18"/>
  <c r="U877" i="18"/>
  <c r="U897" i="18"/>
  <c r="V877" i="18"/>
  <c r="V897" i="18"/>
  <c r="T877" i="18"/>
  <c r="T897" i="18"/>
  <c r="T857" i="18"/>
  <c r="V857" i="18"/>
  <c r="U857" i="18"/>
  <c r="S857" i="18"/>
  <c r="T141" i="17"/>
  <c r="V141" i="17"/>
  <c r="V140" i="17"/>
  <c r="U604" i="5"/>
  <c r="U642" i="5" s="1"/>
  <c r="T605" i="5"/>
  <c r="T643" i="5" s="1"/>
  <c r="V604" i="5"/>
  <c r="V642" i="5" s="1"/>
  <c r="W501" i="5"/>
  <c r="S605" i="5"/>
  <c r="S643" i="5" s="1"/>
  <c r="U141" i="17"/>
  <c r="U107" i="19"/>
  <c r="U140" i="17"/>
  <c r="U106" i="19"/>
  <c r="T107" i="19"/>
  <c r="U605" i="5"/>
  <c r="U643" i="5" s="1"/>
  <c r="T140" i="17"/>
  <c r="T106" i="19"/>
  <c r="S141" i="17"/>
  <c r="S107" i="19"/>
  <c r="V605" i="5"/>
  <c r="V643" i="5" s="1"/>
  <c r="W500" i="5"/>
  <c r="T604" i="5"/>
  <c r="T642" i="5" s="1"/>
  <c r="U286" i="5"/>
  <c r="S286" i="5"/>
  <c r="V286" i="5"/>
  <c r="T286" i="5"/>
  <c r="V106" i="19"/>
  <c r="V107" i="19"/>
  <c r="S562" i="5"/>
  <c r="S119" i="17" s="1"/>
  <c r="S604" i="5"/>
  <c r="S642" i="5" s="1"/>
  <c r="S311" i="5"/>
  <c r="S312" i="5"/>
  <c r="S320" i="5" s="1"/>
  <c r="V311" i="5"/>
  <c r="V312" i="5"/>
  <c r="V320" i="5" s="1"/>
  <c r="R312" i="5"/>
  <c r="R320" i="5" s="1"/>
  <c r="R311" i="5"/>
  <c r="U312" i="5"/>
  <c r="U320" i="5" s="1"/>
  <c r="U311" i="5"/>
  <c r="T312" i="5"/>
  <c r="T320" i="5" s="1"/>
  <c r="T311" i="5"/>
  <c r="V851" i="18"/>
  <c r="T851" i="18"/>
  <c r="U851" i="18"/>
  <c r="S851" i="18"/>
  <c r="R849" i="18"/>
  <c r="R957" i="18" s="1"/>
  <c r="R108" i="18"/>
  <c r="R110" i="18" s="1"/>
  <c r="R643" i="5"/>
  <c r="R642" i="5"/>
  <c r="W67" i="5"/>
  <c r="R79" i="5" s="1"/>
  <c r="W73" i="5"/>
  <c r="R83" i="5" s="1"/>
  <c r="W519" i="5"/>
  <c r="R563" i="5"/>
  <c r="W563" i="5" s="1"/>
  <c r="R562" i="5"/>
  <c r="W74" i="5"/>
  <c r="R84" i="5" s="1"/>
  <c r="V48" i="5"/>
  <c r="M10" i="16"/>
  <c r="I5" i="16" s="1"/>
  <c r="L10" i="16"/>
  <c r="K10" i="16"/>
  <c r="L8" i="16"/>
  <c r="B2" i="16"/>
  <c r="W71" i="5" l="1"/>
  <c r="R81" i="5" s="1"/>
  <c r="W65" i="5"/>
  <c r="R78" i="5" s="1"/>
  <c r="W60" i="5"/>
  <c r="W59" i="5"/>
  <c r="W61" i="5"/>
  <c r="R857" i="18"/>
  <c r="L957" i="18" s="1" a="1"/>
  <c r="L957" i="18" s="1"/>
  <c r="V156" i="5"/>
  <c r="V149" i="5"/>
  <c r="V91" i="18" s="1"/>
  <c r="W562" i="5"/>
  <c r="W605" i="5"/>
  <c r="V159" i="5"/>
  <c r="V101" i="18" s="1"/>
  <c r="V152" i="5"/>
  <c r="V94" i="18" s="1"/>
  <c r="V158" i="5"/>
  <c r="V100" i="18" s="1"/>
  <c r="V148" i="5"/>
  <c r="V90" i="18" s="1"/>
  <c r="V147" i="5"/>
  <c r="V89" i="18" s="1"/>
  <c r="V49" i="5"/>
  <c r="V69" i="5" s="1"/>
  <c r="V160" i="5"/>
  <c r="V102" i="18" s="1"/>
  <c r="V157" i="5"/>
  <c r="V150" i="5"/>
  <c r="V92" i="18" s="1"/>
  <c r="V155" i="5"/>
  <c r="V97" i="18" s="1"/>
  <c r="V151" i="5"/>
  <c r="V93" i="18" s="1"/>
  <c r="V146" i="5"/>
  <c r="V88" i="18" s="1"/>
  <c r="V154" i="5"/>
  <c r="V96" i="18" s="1"/>
  <c r="V153" i="5"/>
  <c r="V95" i="18" s="1"/>
  <c r="W110" i="18"/>
  <c r="R103" i="18"/>
  <c r="R105" i="18"/>
  <c r="R104" i="18"/>
  <c r="S77" i="5"/>
  <c r="L286" i="5"/>
  <c r="L127" i="30" s="1"/>
  <c r="I4" i="16"/>
  <c r="J85" i="1" s="1"/>
  <c r="W518" i="5"/>
  <c r="R375" i="5"/>
  <c r="R477" i="5" s="1"/>
  <c r="R380" i="5"/>
  <c r="R482" i="5" s="1"/>
  <c r="R376" i="5"/>
  <c r="R478" i="5" s="1"/>
  <c r="W604" i="5"/>
  <c r="S140" i="17"/>
  <c r="S106" i="19"/>
  <c r="U313" i="5"/>
  <c r="R313" i="5"/>
  <c r="T313" i="5"/>
  <c r="V313" i="5"/>
  <c r="S313" i="5"/>
  <c r="U319" i="5"/>
  <c r="V319" i="5"/>
  <c r="T319" i="5"/>
  <c r="R319" i="5"/>
  <c r="S319" i="5"/>
  <c r="W849" i="18"/>
  <c r="W851" i="18" s="1"/>
  <c r="R851" i="18"/>
  <c r="T84" i="5"/>
  <c r="S84" i="5"/>
  <c r="V84" i="5"/>
  <c r="U84" i="5"/>
  <c r="U79" i="5"/>
  <c r="T79" i="5"/>
  <c r="S79" i="5"/>
  <c r="V79" i="5"/>
  <c r="U78" i="5"/>
  <c r="S78" i="5"/>
  <c r="V78" i="5"/>
  <c r="V81" i="5"/>
  <c r="V383" i="5" s="1"/>
  <c r="V485" i="5" s="1"/>
  <c r="V502" i="5" s="1"/>
  <c r="V520" i="5" s="1"/>
  <c r="T81" i="5"/>
  <c r="U81" i="5"/>
  <c r="U383" i="5" s="1"/>
  <c r="U485" i="5" s="1"/>
  <c r="U502" i="5" s="1"/>
  <c r="U520" i="5" s="1"/>
  <c r="S81" i="5"/>
  <c r="S383" i="5" s="1"/>
  <c r="S485" i="5" s="1"/>
  <c r="S502" i="5" s="1"/>
  <c r="S520" i="5" s="1"/>
  <c r="V77" i="5"/>
  <c r="T77" i="5"/>
  <c r="U77" i="5"/>
  <c r="S83" i="5"/>
  <c r="T83" i="5"/>
  <c r="V83" i="5"/>
  <c r="U83" i="5"/>
  <c r="W108" i="18"/>
  <c r="L84" i="30"/>
  <c r="M84" i="30"/>
  <c r="W72" i="5"/>
  <c r="R82" i="5" s="1"/>
  <c r="W286" i="5"/>
  <c r="W587" i="5"/>
  <c r="E85" i="1"/>
  <c r="B28" i="30" s="1"/>
  <c r="R48" i="5"/>
  <c r="R149" i="5" s="1"/>
  <c r="R91" i="18" s="1"/>
  <c r="U48" i="5"/>
  <c r="S48" i="5"/>
  <c r="T48" i="5"/>
  <c r="W586" i="5"/>
  <c r="R120" i="17"/>
  <c r="R107" i="19" s="1"/>
  <c r="R119" i="17"/>
  <c r="R106" i="19" s="1"/>
  <c r="K85" i="1"/>
  <c r="V10" i="4"/>
  <c r="V10" i="40" s="1"/>
  <c r="U10" i="4"/>
  <c r="U10" i="40" s="1"/>
  <c r="T10" i="4"/>
  <c r="T10" i="40" s="1"/>
  <c r="S10" i="4"/>
  <c r="S10" i="40" s="1"/>
  <c r="N10" i="16"/>
  <c r="K92" i="11"/>
  <c r="K91" i="11"/>
  <c r="K90" i="11"/>
  <c r="K89" i="11"/>
  <c r="K88" i="11"/>
  <c r="K86" i="11"/>
  <c r="K85" i="11"/>
  <c r="K84" i="11"/>
  <c r="K83" i="11"/>
  <c r="K82" i="11"/>
  <c r="K81" i="11"/>
  <c r="K79" i="11"/>
  <c r="K78" i="11"/>
  <c r="K77" i="11"/>
  <c r="N45" i="11"/>
  <c r="K45" i="11"/>
  <c r="K44" i="11"/>
  <c r="K43" i="11"/>
  <c r="K42" i="11"/>
  <c r="K41" i="11"/>
  <c r="N16" i="5"/>
  <c r="K38" i="11"/>
  <c r="K37" i="11"/>
  <c r="K36" i="11"/>
  <c r="K35" i="11"/>
  <c r="K34" i="11"/>
  <c r="K31" i="11"/>
  <c r="T78" i="5" l="1"/>
  <c r="T10" i="38"/>
  <c r="T10" i="39"/>
  <c r="S10" i="38"/>
  <c r="S10" i="39"/>
  <c r="U10" i="38"/>
  <c r="U10" i="39"/>
  <c r="V10" i="38"/>
  <c r="V10" i="39"/>
  <c r="V222" i="18"/>
  <c r="V262" i="18"/>
  <c r="V202" i="18"/>
  <c r="V242" i="18"/>
  <c r="R262" i="18"/>
  <c r="R202" i="18"/>
  <c r="R222" i="18"/>
  <c r="R242" i="18"/>
  <c r="T156" i="5"/>
  <c r="T149" i="5"/>
  <c r="T91" i="18" s="1"/>
  <c r="S156" i="5"/>
  <c r="S149" i="5"/>
  <c r="S91" i="18" s="1"/>
  <c r="U156" i="5"/>
  <c r="U149" i="5"/>
  <c r="U91" i="18" s="1"/>
  <c r="U116" i="18" s="1"/>
  <c r="S10" i="21"/>
  <c r="AB10" i="21" s="1"/>
  <c r="S10" i="20"/>
  <c r="S10" i="19"/>
  <c r="S10" i="33"/>
  <c r="S10" i="30"/>
  <c r="S10" i="29"/>
  <c r="S10" i="18"/>
  <c r="S10" i="17"/>
  <c r="S10" i="5"/>
  <c r="S10" i="11"/>
  <c r="S10" i="16"/>
  <c r="S10" i="36"/>
  <c r="T10" i="21"/>
  <c r="T10" i="20"/>
  <c r="T10" i="19"/>
  <c r="T10" i="33"/>
  <c r="T10" i="30"/>
  <c r="T10" i="29"/>
  <c r="T10" i="18"/>
  <c r="T10" i="17"/>
  <c r="T10" i="5"/>
  <c r="T10" i="11"/>
  <c r="T10" i="16"/>
  <c r="T10" i="36"/>
  <c r="U10" i="21"/>
  <c r="U10" i="33"/>
  <c r="U10" i="30"/>
  <c r="U10" i="29"/>
  <c r="U10" i="18"/>
  <c r="U10" i="17"/>
  <c r="U10" i="5"/>
  <c r="U10" i="11"/>
  <c r="U10" i="16"/>
  <c r="U10" i="36"/>
  <c r="U10" i="19"/>
  <c r="U10" i="20"/>
  <c r="V10" i="33"/>
  <c r="V10" i="30"/>
  <c r="V10" i="29"/>
  <c r="V10" i="18"/>
  <c r="V10" i="17"/>
  <c r="V10" i="5"/>
  <c r="V10" i="11"/>
  <c r="V10" i="16"/>
  <c r="V10" i="36"/>
  <c r="V10" i="19"/>
  <c r="V10" i="21"/>
  <c r="V10" i="20"/>
  <c r="R495" i="5"/>
  <c r="R513" i="5" s="1"/>
  <c r="R499" i="5"/>
  <c r="R517" i="5" s="1"/>
  <c r="R494" i="5"/>
  <c r="R512" i="5" s="1"/>
  <c r="N295" i="5"/>
  <c r="N294" i="5"/>
  <c r="N293" i="5"/>
  <c r="R156" i="5"/>
  <c r="R146" i="5"/>
  <c r="R88" i="18" s="1"/>
  <c r="R199" i="18" s="1"/>
  <c r="R141" i="17"/>
  <c r="R140" i="17"/>
  <c r="V99" i="18"/>
  <c r="V250" i="18" s="1"/>
  <c r="V98" i="18"/>
  <c r="S374" i="5"/>
  <c r="S476" i="5" s="1"/>
  <c r="S493" i="5" s="1"/>
  <c r="S511" i="5" s="1"/>
  <c r="V219" i="18"/>
  <c r="V239" i="18"/>
  <c r="V199" i="18"/>
  <c r="V259" i="18"/>
  <c r="V241" i="18"/>
  <c r="V261" i="18"/>
  <c r="V201" i="18"/>
  <c r="V221" i="18"/>
  <c r="N17" i="5"/>
  <c r="N18" i="5" s="1"/>
  <c r="N50" i="11"/>
  <c r="N51" i="11" s="1"/>
  <c r="V204" i="18"/>
  <c r="V244" i="18"/>
  <c r="V264" i="18"/>
  <c r="V224" i="18"/>
  <c r="V253" i="18"/>
  <c r="V213" i="18"/>
  <c r="V273" i="18"/>
  <c r="V233" i="18"/>
  <c r="V271" i="18"/>
  <c r="V231" i="18"/>
  <c r="V211" i="18"/>
  <c r="V251" i="18"/>
  <c r="V266" i="18"/>
  <c r="V246" i="18"/>
  <c r="V206" i="18"/>
  <c r="V226" i="18"/>
  <c r="V228" i="18"/>
  <c r="V248" i="18"/>
  <c r="V268" i="18"/>
  <c r="V208" i="18"/>
  <c r="V225" i="18"/>
  <c r="V205" i="18"/>
  <c r="V265" i="18"/>
  <c r="V245" i="18"/>
  <c r="V247" i="18"/>
  <c r="V207" i="18"/>
  <c r="V267" i="18"/>
  <c r="V227" i="18"/>
  <c r="V263" i="18"/>
  <c r="V223" i="18"/>
  <c r="V243" i="18"/>
  <c r="V203" i="18"/>
  <c r="V260" i="18"/>
  <c r="V200" i="18"/>
  <c r="V240" i="18"/>
  <c r="V220" i="18"/>
  <c r="V232" i="18"/>
  <c r="V212" i="18"/>
  <c r="V272" i="18"/>
  <c r="V252" i="18"/>
  <c r="T373" i="5"/>
  <c r="T475" i="5" s="1"/>
  <c r="T492" i="5" s="1"/>
  <c r="T510" i="5" s="1"/>
  <c r="R215" i="18"/>
  <c r="R275" i="18"/>
  <c r="R235" i="18"/>
  <c r="R255" i="18"/>
  <c r="R216" i="18"/>
  <c r="R276" i="18"/>
  <c r="R256" i="18"/>
  <c r="R236" i="18"/>
  <c r="R214" i="18"/>
  <c r="R234" i="18"/>
  <c r="R274" i="18"/>
  <c r="R254" i="18"/>
  <c r="S373" i="5"/>
  <c r="S475" i="5" s="1"/>
  <c r="S492" i="5" s="1"/>
  <c r="S510" i="5" s="1"/>
  <c r="V374" i="5"/>
  <c r="V476" i="5" s="1"/>
  <c r="V493" i="5" s="1"/>
  <c r="V511" i="5" s="1"/>
  <c r="S49" i="5"/>
  <c r="S69" i="5" s="1"/>
  <c r="S158" i="5"/>
  <c r="S100" i="18" s="1"/>
  <c r="S153" i="5"/>
  <c r="S95" i="18" s="1"/>
  <c r="S148" i="5"/>
  <c r="S90" i="18" s="1"/>
  <c r="S159" i="5"/>
  <c r="S101" i="18" s="1"/>
  <c r="S154" i="5"/>
  <c r="S96" i="18" s="1"/>
  <c r="S157" i="5"/>
  <c r="S152" i="5"/>
  <c r="S94" i="18" s="1"/>
  <c r="S147" i="5"/>
  <c r="S160" i="5"/>
  <c r="S102" i="18" s="1"/>
  <c r="S127" i="18" s="1"/>
  <c r="S155" i="5"/>
  <c r="S97" i="18" s="1"/>
  <c r="S151" i="5"/>
  <c r="S93" i="18" s="1"/>
  <c r="S146" i="5"/>
  <c r="S88" i="18" s="1"/>
  <c r="S150" i="5"/>
  <c r="S92" i="18" s="1"/>
  <c r="U49" i="5"/>
  <c r="U69" i="5" s="1"/>
  <c r="U160" i="5"/>
  <c r="U102" i="18" s="1"/>
  <c r="U155" i="5"/>
  <c r="U97" i="18" s="1"/>
  <c r="U151" i="5"/>
  <c r="U93" i="18" s="1"/>
  <c r="U118" i="18" s="1"/>
  <c r="U146" i="5"/>
  <c r="U88" i="18" s="1"/>
  <c r="U157" i="5"/>
  <c r="U152" i="5"/>
  <c r="U94" i="18" s="1"/>
  <c r="U159" i="5"/>
  <c r="U101" i="18" s="1"/>
  <c r="U154" i="5"/>
  <c r="U96" i="18" s="1"/>
  <c r="U150" i="5"/>
  <c r="U92" i="18" s="1"/>
  <c r="U117" i="18" s="1"/>
  <c r="U147" i="5"/>
  <c r="U89" i="18" s="1"/>
  <c r="U158" i="5"/>
  <c r="U100" i="18" s="1"/>
  <c r="U125" i="18" s="1"/>
  <c r="U153" i="5"/>
  <c r="U95" i="18" s="1"/>
  <c r="U148" i="5"/>
  <c r="U90" i="18" s="1"/>
  <c r="R49" i="5"/>
  <c r="R159" i="5"/>
  <c r="R101" i="18" s="1"/>
  <c r="R154" i="5"/>
  <c r="R96" i="18" s="1"/>
  <c r="R150" i="5"/>
  <c r="R92" i="18" s="1"/>
  <c r="R155" i="5"/>
  <c r="R97" i="18" s="1"/>
  <c r="R151" i="5"/>
  <c r="R93" i="18" s="1"/>
  <c r="R158" i="5"/>
  <c r="R100" i="18" s="1"/>
  <c r="R153" i="5"/>
  <c r="R95" i="18" s="1"/>
  <c r="R148" i="5"/>
  <c r="R90" i="18" s="1"/>
  <c r="R160" i="5"/>
  <c r="R102" i="18" s="1"/>
  <c r="R157" i="5"/>
  <c r="R152" i="5"/>
  <c r="R94" i="18" s="1"/>
  <c r="R147" i="5"/>
  <c r="R89" i="18" s="1"/>
  <c r="T49" i="5"/>
  <c r="T69" i="5" s="1"/>
  <c r="T157" i="5"/>
  <c r="T152" i="5"/>
  <c r="T94" i="18" s="1"/>
  <c r="T147" i="5"/>
  <c r="T89" i="18" s="1"/>
  <c r="T148" i="5"/>
  <c r="T90" i="18" s="1"/>
  <c r="T160" i="5"/>
  <c r="T102" i="18" s="1"/>
  <c r="T155" i="5"/>
  <c r="T97" i="18" s="1"/>
  <c r="T151" i="5"/>
  <c r="T93" i="18" s="1"/>
  <c r="T146" i="5"/>
  <c r="T88" i="18" s="1"/>
  <c r="T158" i="5"/>
  <c r="T100" i="18" s="1"/>
  <c r="T159" i="5"/>
  <c r="T101" i="18" s="1"/>
  <c r="T154" i="5"/>
  <c r="T96" i="18" s="1"/>
  <c r="T150" i="5"/>
  <c r="T92" i="18" s="1"/>
  <c r="T153" i="5"/>
  <c r="T95" i="18" s="1"/>
  <c r="U373" i="5"/>
  <c r="U475" i="5" s="1"/>
  <c r="U492" i="5" s="1"/>
  <c r="U510" i="5" s="1"/>
  <c r="V373" i="5"/>
  <c r="V475" i="5" s="1"/>
  <c r="V492" i="5" s="1"/>
  <c r="V510" i="5" s="1"/>
  <c r="L119" i="30"/>
  <c r="T374" i="5"/>
  <c r="T476" i="5" s="1"/>
  <c r="T493" i="5" s="1"/>
  <c r="T511" i="5" s="1"/>
  <c r="U374" i="5"/>
  <c r="U476" i="5" s="1"/>
  <c r="U493" i="5" s="1"/>
  <c r="U511" i="5" s="1"/>
  <c r="L133" i="30"/>
  <c r="R374" i="5"/>
  <c r="R476" i="5" s="1"/>
  <c r="R373" i="5"/>
  <c r="R475" i="5" s="1"/>
  <c r="U375" i="5"/>
  <c r="U477" i="5" s="1"/>
  <c r="U494" i="5" s="1"/>
  <c r="U512" i="5" s="1"/>
  <c r="U376" i="5"/>
  <c r="U478" i="5" s="1"/>
  <c r="U495" i="5" s="1"/>
  <c r="U513" i="5" s="1"/>
  <c r="U380" i="5"/>
  <c r="U482" i="5" s="1"/>
  <c r="U499" i="5" s="1"/>
  <c r="U517" i="5" s="1"/>
  <c r="U561" i="5" s="1"/>
  <c r="U118" i="17" s="1"/>
  <c r="T383" i="5"/>
  <c r="T485" i="5" s="1"/>
  <c r="T502" i="5" s="1"/>
  <c r="T520" i="5" s="1"/>
  <c r="V380" i="5"/>
  <c r="V482" i="5" s="1"/>
  <c r="V499" i="5" s="1"/>
  <c r="V517" i="5" s="1"/>
  <c r="V561" i="5" s="1"/>
  <c r="V118" i="17" s="1"/>
  <c r="V376" i="5"/>
  <c r="V478" i="5" s="1"/>
  <c r="V495" i="5" s="1"/>
  <c r="V513" i="5" s="1"/>
  <c r="V375" i="5"/>
  <c r="V477" i="5" s="1"/>
  <c r="V494" i="5" s="1"/>
  <c r="V512" i="5" s="1"/>
  <c r="R383" i="5"/>
  <c r="R485" i="5" s="1"/>
  <c r="S380" i="5"/>
  <c r="S482" i="5" s="1"/>
  <c r="S499" i="5" s="1"/>
  <c r="S517" i="5" s="1"/>
  <c r="S375" i="5"/>
  <c r="S477" i="5" s="1"/>
  <c r="S494" i="5" s="1"/>
  <c r="S512" i="5" s="1"/>
  <c r="S556" i="5" s="1"/>
  <c r="S113" i="17" s="1"/>
  <c r="S376" i="5"/>
  <c r="S478" i="5" s="1"/>
  <c r="S495" i="5" s="1"/>
  <c r="S513" i="5" s="1"/>
  <c r="T375" i="5"/>
  <c r="T477" i="5" s="1"/>
  <c r="T494" i="5" s="1"/>
  <c r="T512" i="5" s="1"/>
  <c r="T376" i="5"/>
  <c r="T478" i="5" s="1"/>
  <c r="T495" i="5" s="1"/>
  <c r="T513" i="5" s="1"/>
  <c r="T380" i="5"/>
  <c r="T482" i="5" s="1"/>
  <c r="T499" i="5" s="1"/>
  <c r="T517" i="5" s="1"/>
  <c r="T561" i="5" s="1"/>
  <c r="T118" i="17" s="1"/>
  <c r="S82" i="5"/>
  <c r="V82" i="5"/>
  <c r="U82" i="5"/>
  <c r="T82" i="5"/>
  <c r="W77" i="5"/>
  <c r="L77" i="5" s="1"/>
  <c r="W81" i="5"/>
  <c r="L81" i="5" s="1"/>
  <c r="W78" i="5"/>
  <c r="L78" i="5" s="1"/>
  <c r="W79" i="5"/>
  <c r="L79" i="5" s="1"/>
  <c r="W84" i="5"/>
  <c r="L84" i="5" s="1"/>
  <c r="W48" i="5"/>
  <c r="AA10" i="21"/>
  <c r="W119" i="17"/>
  <c r="W120" i="17"/>
  <c r="W83" i="5"/>
  <c r="L83" i="5" s="1"/>
  <c r="V111" i="38" l="1"/>
  <c r="V113" i="38"/>
  <c r="V112" i="38"/>
  <c r="V114" i="38"/>
  <c r="R117" i="18"/>
  <c r="R116" i="18"/>
  <c r="R121" i="18"/>
  <c r="R124" i="18"/>
  <c r="R123" i="18"/>
  <c r="R127" i="18"/>
  <c r="R125" i="18"/>
  <c r="R115" i="18"/>
  <c r="R122" i="18"/>
  <c r="R114" i="18"/>
  <c r="R119" i="18"/>
  <c r="R118" i="18"/>
  <c r="R126" i="18"/>
  <c r="R113" i="18"/>
  <c r="R120" i="18"/>
  <c r="U113" i="38"/>
  <c r="U112" i="38"/>
  <c r="U111" i="38"/>
  <c r="U114" i="38"/>
  <c r="S213" i="39"/>
  <c r="S216" i="39"/>
  <c r="S224" i="39"/>
  <c r="S214" i="39"/>
  <c r="S221" i="39"/>
  <c r="S218" i="39"/>
  <c r="S222" i="39"/>
  <c r="S228" i="39"/>
  <c r="S217" i="39"/>
  <c r="S227" i="39"/>
  <c r="S220" i="39"/>
  <c r="S215" i="39"/>
  <c r="S226" i="39"/>
  <c r="S225" i="39"/>
  <c r="S219" i="39"/>
  <c r="S223" i="39"/>
  <c r="O220" i="39"/>
  <c r="O224" i="39"/>
  <c r="P225" i="39"/>
  <c r="P221" i="39"/>
  <c r="O228" i="39"/>
  <c r="O225" i="39"/>
  <c r="P220" i="39"/>
  <c r="P214" i="39"/>
  <c r="O215" i="39"/>
  <c r="O226" i="39"/>
  <c r="P228" i="39"/>
  <c r="P222" i="39"/>
  <c r="P223" i="39"/>
  <c r="O223" i="39"/>
  <c r="O219" i="39"/>
  <c r="P218" i="39"/>
  <c r="P215" i="39"/>
  <c r="P226" i="39"/>
  <c r="P219" i="39"/>
  <c r="O217" i="39"/>
  <c r="O221" i="39"/>
  <c r="O227" i="39"/>
  <c r="P216" i="39"/>
  <c r="P227" i="39"/>
  <c r="O216" i="39"/>
  <c r="P217" i="39"/>
  <c r="O222" i="39"/>
  <c r="O214" i="39"/>
  <c r="P224" i="39"/>
  <c r="O218" i="39"/>
  <c r="R214" i="39"/>
  <c r="R228" i="39"/>
  <c r="R224" i="39"/>
  <c r="R223" i="39"/>
  <c r="R222" i="39"/>
  <c r="R218" i="39"/>
  <c r="R217" i="39"/>
  <c r="R226" i="39"/>
  <c r="R220" i="39"/>
  <c r="R225" i="39"/>
  <c r="R216" i="39"/>
  <c r="R215" i="39"/>
  <c r="R219" i="39"/>
  <c r="R221" i="39"/>
  <c r="R227" i="39"/>
  <c r="O114" i="38"/>
  <c r="O111" i="38"/>
  <c r="O112" i="38"/>
  <c r="P112" i="38"/>
  <c r="P114" i="38"/>
  <c r="P111" i="38"/>
  <c r="P113" i="38"/>
  <c r="O113" i="38"/>
  <c r="S112" i="38"/>
  <c r="S113" i="38"/>
  <c r="S111" i="38"/>
  <c r="S114" i="38"/>
  <c r="R112" i="38"/>
  <c r="R114" i="38"/>
  <c r="R111" i="38"/>
  <c r="R113" i="38"/>
  <c r="V123" i="18"/>
  <c r="V115" i="18"/>
  <c r="V122" i="18"/>
  <c r="V114" i="18"/>
  <c r="V121" i="18"/>
  <c r="V120" i="18"/>
  <c r="V117" i="18"/>
  <c r="V116" i="18"/>
  <c r="V127" i="18"/>
  <c r="V119" i="18"/>
  <c r="V125" i="18"/>
  <c r="V124" i="18"/>
  <c r="V113" i="18"/>
  <c r="V126" i="18"/>
  <c r="V118" i="18"/>
  <c r="T214" i="39"/>
  <c r="T215" i="39"/>
  <c r="T223" i="39"/>
  <c r="T224" i="39"/>
  <c r="T225" i="39"/>
  <c r="T216" i="39"/>
  <c r="T217" i="39"/>
  <c r="T218" i="39"/>
  <c r="T226" i="39"/>
  <c r="T222" i="39"/>
  <c r="T219" i="39"/>
  <c r="T227" i="39"/>
  <c r="T220" i="39"/>
  <c r="T228" i="39"/>
  <c r="T221" i="39"/>
  <c r="T116" i="18"/>
  <c r="T120" i="18"/>
  <c r="T124" i="18"/>
  <c r="T125" i="18"/>
  <c r="T123" i="18"/>
  <c r="T113" i="18"/>
  <c r="T117" i="18"/>
  <c r="T114" i="18"/>
  <c r="T118" i="18"/>
  <c r="T122" i="18"/>
  <c r="T126" i="18"/>
  <c r="T119" i="18"/>
  <c r="T127" i="18"/>
  <c r="T115" i="18"/>
  <c r="T121" i="18"/>
  <c r="T111" i="38"/>
  <c r="T113" i="38"/>
  <c r="T112" i="38"/>
  <c r="T114" i="38"/>
  <c r="U120" i="18"/>
  <c r="U113" i="18"/>
  <c r="S122" i="18"/>
  <c r="S120" i="18"/>
  <c r="S125" i="18"/>
  <c r="U122" i="18"/>
  <c r="U127" i="18"/>
  <c r="S119" i="18"/>
  <c r="S116" i="18"/>
  <c r="U121" i="18"/>
  <c r="U126" i="18"/>
  <c r="S117" i="18"/>
  <c r="S121" i="18"/>
  <c r="U119" i="18"/>
  <c r="S113" i="18"/>
  <c r="S126" i="18"/>
  <c r="U115" i="18"/>
  <c r="S118" i="18"/>
  <c r="S115" i="18"/>
  <c r="T33" i="21"/>
  <c r="T17" i="21"/>
  <c r="T19" i="21"/>
  <c r="T23" i="21"/>
  <c r="T22" i="21"/>
  <c r="L515" i="5"/>
  <c r="L507" i="5"/>
  <c r="L497" i="5"/>
  <c r="L489" i="5"/>
  <c r="L517" i="5"/>
  <c r="L514" i="5"/>
  <c r="L506" i="5"/>
  <c r="L496" i="5"/>
  <c r="L488" i="5"/>
  <c r="L509" i="5"/>
  <c r="L491" i="5"/>
  <c r="L521" i="5"/>
  <c r="L513" i="5"/>
  <c r="L498" i="5"/>
  <c r="L495" i="5"/>
  <c r="L510" i="5"/>
  <c r="L520" i="5"/>
  <c r="L512" i="5"/>
  <c r="L503" i="5"/>
  <c r="L494" i="5"/>
  <c r="L501" i="5"/>
  <c r="L519" i="5"/>
  <c r="L511" i="5"/>
  <c r="L502" i="5"/>
  <c r="L493" i="5"/>
  <c r="L518" i="5"/>
  <c r="L500" i="5"/>
  <c r="L516" i="5"/>
  <c r="L508" i="5"/>
  <c r="L499" i="5"/>
  <c r="L490" i="5"/>
  <c r="L492" i="5"/>
  <c r="L133" i="11"/>
  <c r="L81" i="30" s="1"/>
  <c r="V545" i="39"/>
  <c r="U545" i="39"/>
  <c r="U599" i="39" s="1"/>
  <c r="T545" i="39"/>
  <c r="T599" i="39" s="1"/>
  <c r="S120" i="38"/>
  <c r="S127" i="38" s="1"/>
  <c r="S171" i="38" s="1"/>
  <c r="S201" i="38" s="1"/>
  <c r="S127" i="11" s="1"/>
  <c r="S79" i="39" s="1"/>
  <c r="S114" i="39" s="1"/>
  <c r="R119" i="38"/>
  <c r="V119" i="38"/>
  <c r="V126" i="38" s="1"/>
  <c r="V177" i="38" s="1"/>
  <c r="S119" i="38"/>
  <c r="V120" i="38"/>
  <c r="V127" i="38" s="1"/>
  <c r="V178" i="38" s="1"/>
  <c r="U119" i="38"/>
  <c r="U126" i="38" s="1"/>
  <c r="U177" i="38" s="1"/>
  <c r="U193" i="38" s="1"/>
  <c r="U85" i="11" s="1"/>
  <c r="T119" i="38"/>
  <c r="T126" i="38" s="1"/>
  <c r="O120" i="38"/>
  <c r="U120" i="38"/>
  <c r="U127" i="38" s="1"/>
  <c r="U178" i="38" s="1"/>
  <c r="T120" i="38"/>
  <c r="T127" i="38" s="1"/>
  <c r="R120" i="38"/>
  <c r="R127" i="38" s="1"/>
  <c r="S89" i="18"/>
  <c r="S114" i="18" s="1"/>
  <c r="U262" i="18"/>
  <c r="U242" i="18"/>
  <c r="U222" i="18"/>
  <c r="U202" i="18"/>
  <c r="T222" i="18"/>
  <c r="T262" i="18"/>
  <c r="T242" i="18"/>
  <c r="T202" i="18"/>
  <c r="S202" i="18"/>
  <c r="S262" i="18"/>
  <c r="S242" i="18"/>
  <c r="S222" i="18"/>
  <c r="W91" i="18"/>
  <c r="W149" i="5"/>
  <c r="S253" i="5" s="1"/>
  <c r="S440" i="5" s="1"/>
  <c r="W156" i="5"/>
  <c r="V260" i="5" s="1"/>
  <c r="V447" i="5" s="1"/>
  <c r="R599" i="5"/>
  <c r="R637" i="5" s="1"/>
  <c r="R598" i="5"/>
  <c r="R636" i="5" s="1"/>
  <c r="U603" i="5"/>
  <c r="U641" i="5" s="1"/>
  <c r="S598" i="5"/>
  <c r="S636" i="5" s="1"/>
  <c r="R603" i="5"/>
  <c r="R641" i="5" s="1"/>
  <c r="L477" i="5"/>
  <c r="V603" i="5"/>
  <c r="V641" i="5" s="1"/>
  <c r="R502" i="5"/>
  <c r="R520" i="5" s="1"/>
  <c r="L485" i="5"/>
  <c r="T603" i="5"/>
  <c r="T641" i="5" s="1"/>
  <c r="L482" i="5"/>
  <c r="R492" i="5"/>
  <c r="R510" i="5" s="1"/>
  <c r="L475" i="5"/>
  <c r="W482" i="5"/>
  <c r="R493" i="5"/>
  <c r="R511" i="5" s="1"/>
  <c r="L476" i="5"/>
  <c r="L478" i="5"/>
  <c r="W478" i="5"/>
  <c r="W477" i="5"/>
  <c r="W106" i="19"/>
  <c r="W107" i="19"/>
  <c r="V210" i="18"/>
  <c r="V230" i="18"/>
  <c r="V270" i="18"/>
  <c r="T139" i="17"/>
  <c r="V139" i="17"/>
  <c r="S134" i="17"/>
  <c r="U139" i="17"/>
  <c r="R99" i="18"/>
  <c r="R210" i="18" s="1"/>
  <c r="R98" i="18"/>
  <c r="S99" i="18"/>
  <c r="S98" i="18"/>
  <c r="U99" i="18"/>
  <c r="U98" i="18"/>
  <c r="V249" i="18"/>
  <c r="V269" i="18"/>
  <c r="V209" i="18"/>
  <c r="V229" i="18"/>
  <c r="T99" i="18"/>
  <c r="T98" i="18"/>
  <c r="T224" i="18"/>
  <c r="T244" i="18"/>
  <c r="T264" i="18"/>
  <c r="T204" i="18"/>
  <c r="R263" i="18"/>
  <c r="R243" i="18"/>
  <c r="R223" i="18"/>
  <c r="R203" i="18"/>
  <c r="U243" i="18"/>
  <c r="U223" i="18"/>
  <c r="U203" i="18"/>
  <c r="U263" i="18"/>
  <c r="S259" i="18"/>
  <c r="S219" i="18"/>
  <c r="S239" i="18"/>
  <c r="S199" i="18"/>
  <c r="S227" i="18"/>
  <c r="S247" i="18"/>
  <c r="S267" i="18"/>
  <c r="S207" i="18"/>
  <c r="T272" i="18"/>
  <c r="T232" i="18"/>
  <c r="T212" i="18"/>
  <c r="T252" i="18"/>
  <c r="T225" i="18"/>
  <c r="T245" i="18"/>
  <c r="T265" i="18"/>
  <c r="T205" i="18"/>
  <c r="R267" i="18"/>
  <c r="R227" i="18"/>
  <c r="R247" i="18"/>
  <c r="R207" i="18"/>
  <c r="U227" i="18"/>
  <c r="U247" i="18"/>
  <c r="U267" i="18"/>
  <c r="U207" i="18"/>
  <c r="S225" i="18"/>
  <c r="S265" i="18"/>
  <c r="S245" i="18"/>
  <c r="S205" i="18"/>
  <c r="T226" i="18"/>
  <c r="T246" i="18"/>
  <c r="T206" i="18"/>
  <c r="T266" i="18"/>
  <c r="T231" i="18"/>
  <c r="T211" i="18"/>
  <c r="T251" i="18"/>
  <c r="T271" i="18"/>
  <c r="T253" i="18"/>
  <c r="T273" i="18"/>
  <c r="T233" i="18"/>
  <c r="T213" i="18"/>
  <c r="R240" i="18"/>
  <c r="R220" i="18"/>
  <c r="R200" i="18"/>
  <c r="R260" i="18"/>
  <c r="R273" i="18"/>
  <c r="R233" i="18"/>
  <c r="R213" i="18"/>
  <c r="R253" i="18"/>
  <c r="R264" i="18"/>
  <c r="R244" i="18"/>
  <c r="R204" i="18"/>
  <c r="R224" i="18"/>
  <c r="R232" i="18"/>
  <c r="R272" i="18"/>
  <c r="R252" i="18"/>
  <c r="R212" i="18"/>
  <c r="U251" i="18"/>
  <c r="U271" i="18"/>
  <c r="U211" i="18"/>
  <c r="U231" i="18"/>
  <c r="U232" i="18"/>
  <c r="U252" i="18"/>
  <c r="U272" i="18"/>
  <c r="U212" i="18"/>
  <c r="U239" i="18"/>
  <c r="U199" i="18"/>
  <c r="U219" i="18"/>
  <c r="U259" i="18"/>
  <c r="S228" i="18"/>
  <c r="S248" i="18"/>
  <c r="S268" i="18"/>
  <c r="S208" i="18"/>
  <c r="S221" i="18"/>
  <c r="S241" i="18"/>
  <c r="S201" i="18"/>
  <c r="S261" i="18"/>
  <c r="T227" i="18"/>
  <c r="T267" i="18"/>
  <c r="T247" i="18"/>
  <c r="T207" i="18"/>
  <c r="T220" i="18"/>
  <c r="T240" i="18"/>
  <c r="T260" i="18"/>
  <c r="T200" i="18"/>
  <c r="R226" i="18"/>
  <c r="R246" i="18"/>
  <c r="R266" i="18"/>
  <c r="R206" i="18"/>
  <c r="U221" i="18"/>
  <c r="U241" i="18"/>
  <c r="U201" i="18"/>
  <c r="U261" i="18"/>
  <c r="U228" i="18"/>
  <c r="U248" i="18"/>
  <c r="U268" i="18"/>
  <c r="U208" i="18"/>
  <c r="S231" i="18"/>
  <c r="S251" i="18"/>
  <c r="S271" i="18"/>
  <c r="S211" i="18"/>
  <c r="T228" i="18"/>
  <c r="T248" i="18"/>
  <c r="T268" i="18"/>
  <c r="T208" i="18"/>
  <c r="R219" i="18"/>
  <c r="R259" i="18"/>
  <c r="R239" i="18"/>
  <c r="R251" i="18"/>
  <c r="R231" i="18"/>
  <c r="R271" i="18"/>
  <c r="R211" i="18"/>
  <c r="U226" i="18"/>
  <c r="U206" i="18"/>
  <c r="U246" i="18"/>
  <c r="U266" i="18"/>
  <c r="U233" i="18"/>
  <c r="U253" i="18"/>
  <c r="U213" i="18"/>
  <c r="U273" i="18"/>
  <c r="S264" i="18"/>
  <c r="S204" i="18"/>
  <c r="S224" i="18"/>
  <c r="S244" i="18"/>
  <c r="S252" i="18"/>
  <c r="S232" i="18"/>
  <c r="S212" i="18"/>
  <c r="S272" i="18"/>
  <c r="T223" i="18"/>
  <c r="T263" i="18"/>
  <c r="T243" i="18"/>
  <c r="T203" i="18"/>
  <c r="T239" i="18"/>
  <c r="T219" i="18"/>
  <c r="T259" i="18"/>
  <c r="T199" i="18"/>
  <c r="T221" i="18"/>
  <c r="T261" i="18"/>
  <c r="T241" i="18"/>
  <c r="T201" i="18"/>
  <c r="R225" i="18"/>
  <c r="R245" i="18"/>
  <c r="R265" i="18"/>
  <c r="R205" i="18"/>
  <c r="R241" i="18"/>
  <c r="R261" i="18"/>
  <c r="R221" i="18"/>
  <c r="R201" i="18"/>
  <c r="R268" i="18"/>
  <c r="R228" i="18"/>
  <c r="R208" i="18"/>
  <c r="R248" i="18"/>
  <c r="U240" i="18"/>
  <c r="U220" i="18"/>
  <c r="U260" i="18"/>
  <c r="U200" i="18"/>
  <c r="U245" i="18"/>
  <c r="U265" i="18"/>
  <c r="U205" i="18"/>
  <c r="U225" i="18"/>
  <c r="U224" i="18"/>
  <c r="U204" i="18"/>
  <c r="U264" i="18"/>
  <c r="U244" i="18"/>
  <c r="S263" i="18"/>
  <c r="S203" i="18"/>
  <c r="S223" i="18"/>
  <c r="S243" i="18"/>
  <c r="S233" i="18"/>
  <c r="S253" i="18"/>
  <c r="S273" i="18"/>
  <c r="S213" i="18"/>
  <c r="S226" i="18"/>
  <c r="S246" i="18"/>
  <c r="S266" i="18"/>
  <c r="S206" i="18"/>
  <c r="W274" i="18"/>
  <c r="W256" i="18"/>
  <c r="W235" i="18"/>
  <c r="W254" i="18"/>
  <c r="W236" i="18"/>
  <c r="W255" i="18"/>
  <c r="W234" i="18"/>
  <c r="W276" i="18"/>
  <c r="W275" i="18"/>
  <c r="W214" i="18"/>
  <c r="W216" i="18"/>
  <c r="W215" i="18"/>
  <c r="W160" i="5"/>
  <c r="W49" i="5"/>
  <c r="W159" i="5"/>
  <c r="W157" i="5"/>
  <c r="R69" i="5"/>
  <c r="W69" i="5" s="1"/>
  <c r="W151" i="5"/>
  <c r="W153" i="5"/>
  <c r="W150" i="5"/>
  <c r="W147" i="5"/>
  <c r="S251" i="5" s="1"/>
  <c r="W148" i="5"/>
  <c r="W155" i="5"/>
  <c r="W146" i="5"/>
  <c r="W158" i="5"/>
  <c r="W154" i="5"/>
  <c r="W152" i="5"/>
  <c r="L374" i="5"/>
  <c r="L373" i="5"/>
  <c r="L376" i="5"/>
  <c r="L375" i="5"/>
  <c r="L380" i="5"/>
  <c r="L383" i="5"/>
  <c r="U597" i="5"/>
  <c r="U635" i="5" s="1"/>
  <c r="V555" i="5"/>
  <c r="V112" i="17" s="1"/>
  <c r="V564" i="5"/>
  <c r="V121" i="17" s="1"/>
  <c r="T554" i="5"/>
  <c r="T111" i="17" s="1"/>
  <c r="U554" i="5"/>
  <c r="U111" i="17" s="1"/>
  <c r="S606" i="5"/>
  <c r="S644" i="5" s="1"/>
  <c r="T555" i="5"/>
  <c r="T112" i="17" s="1"/>
  <c r="U564" i="5"/>
  <c r="U121" i="17" s="1"/>
  <c r="V554" i="5"/>
  <c r="V111" i="17" s="1"/>
  <c r="S555" i="5"/>
  <c r="S112" i="17" s="1"/>
  <c r="W373" i="5"/>
  <c r="W374" i="5"/>
  <c r="N21" i="5"/>
  <c r="R321" i="5"/>
  <c r="V105" i="19"/>
  <c r="R557" i="5"/>
  <c r="R561" i="5"/>
  <c r="R556" i="5"/>
  <c r="T564" i="5"/>
  <c r="T121" i="17" s="1"/>
  <c r="T606" i="5"/>
  <c r="S603" i="5"/>
  <c r="S557" i="5"/>
  <c r="S114" i="17" s="1"/>
  <c r="S599" i="5"/>
  <c r="S637" i="5" s="1"/>
  <c r="V556" i="5"/>
  <c r="V113" i="17" s="1"/>
  <c r="V598" i="5"/>
  <c r="V636" i="5" s="1"/>
  <c r="T556" i="5"/>
  <c r="T113" i="17" s="1"/>
  <c r="T598" i="5"/>
  <c r="T636" i="5" s="1"/>
  <c r="T105" i="19"/>
  <c r="U557" i="5"/>
  <c r="U114" i="17" s="1"/>
  <c r="U599" i="5"/>
  <c r="U637" i="5" s="1"/>
  <c r="U556" i="5"/>
  <c r="U113" i="17" s="1"/>
  <c r="U598" i="5"/>
  <c r="U636" i="5" s="1"/>
  <c r="T557" i="5"/>
  <c r="T114" i="17" s="1"/>
  <c r="T599" i="5"/>
  <c r="T637" i="5" s="1"/>
  <c r="V557" i="5"/>
  <c r="V114" i="17" s="1"/>
  <c r="V599" i="5"/>
  <c r="V637" i="5" s="1"/>
  <c r="N296" i="5"/>
  <c r="W499" i="5"/>
  <c r="W380" i="5"/>
  <c r="W383" i="5"/>
  <c r="W375" i="5"/>
  <c r="W494" i="5"/>
  <c r="S100" i="19"/>
  <c r="U105" i="19"/>
  <c r="W376" i="5"/>
  <c r="W495" i="5"/>
  <c r="W82" i="5"/>
  <c r="L82" i="5" s="1"/>
  <c r="AN10" i="21"/>
  <c r="AE10" i="21"/>
  <c r="AK10" i="21"/>
  <c r="AC10" i="21"/>
  <c r="AL10" i="21"/>
  <c r="AD10" i="21"/>
  <c r="AM10" i="21"/>
  <c r="AJ10" i="21"/>
  <c r="W579" i="5"/>
  <c r="W219" i="39" l="1"/>
  <c r="L219" i="39" s="1"/>
  <c r="W216" i="39"/>
  <c r="L216" i="39" s="1"/>
  <c r="W218" i="39"/>
  <c r="L218" i="39" s="1"/>
  <c r="W227" i="39"/>
  <c r="L227" i="39" s="1"/>
  <c r="W225" i="39"/>
  <c r="L225" i="39" s="1"/>
  <c r="W221" i="39"/>
  <c r="L221" i="39" s="1"/>
  <c r="W228" i="39"/>
  <c r="L228" i="39" s="1"/>
  <c r="W220" i="39"/>
  <c r="L220" i="39" s="1"/>
  <c r="W217" i="39"/>
  <c r="L217" i="39" s="1"/>
  <c r="W226" i="39"/>
  <c r="L226" i="39" s="1"/>
  <c r="S200" i="18"/>
  <c r="S123" i="18"/>
  <c r="S124" i="18"/>
  <c r="U114" i="18"/>
  <c r="U123" i="18"/>
  <c r="U230" i="18"/>
  <c r="U124" i="18"/>
  <c r="T230" i="18"/>
  <c r="U342" i="5"/>
  <c r="U582" i="5" s="1"/>
  <c r="U23" i="18" s="1"/>
  <c r="L112" i="38"/>
  <c r="P119" i="38"/>
  <c r="P126" i="38" s="1"/>
  <c r="P170" i="38" s="1"/>
  <c r="L113" i="38"/>
  <c r="P120" i="38"/>
  <c r="P127" i="38" s="1"/>
  <c r="P171" i="38" s="1"/>
  <c r="P185" i="38" s="1"/>
  <c r="L114" i="38"/>
  <c r="V635" i="39"/>
  <c r="V599" i="39"/>
  <c r="S545" i="39"/>
  <c r="S599" i="39" s="1"/>
  <c r="W458" i="39"/>
  <c r="V734" i="39"/>
  <c r="W449" i="39"/>
  <c r="T734" i="39"/>
  <c r="T635" i="39"/>
  <c r="W456" i="39"/>
  <c r="W457" i="39"/>
  <c r="U734" i="39"/>
  <c r="U635" i="39"/>
  <c r="W448" i="39"/>
  <c r="S178" i="38"/>
  <c r="S194" i="38" s="1"/>
  <c r="S86" i="11" s="1"/>
  <c r="V194" i="38"/>
  <c r="V86" i="11" s="1"/>
  <c r="V185" i="38"/>
  <c r="R171" i="38"/>
  <c r="R178" i="38"/>
  <c r="U194" i="38"/>
  <c r="U86" i="11" s="1"/>
  <c r="U185" i="38"/>
  <c r="O127" i="38"/>
  <c r="T171" i="38"/>
  <c r="T178" i="38"/>
  <c r="T194" i="38" s="1"/>
  <c r="T86" i="11" s="1"/>
  <c r="W112" i="38"/>
  <c r="W114" i="38"/>
  <c r="W224" i="39"/>
  <c r="L224" i="39" s="1"/>
  <c r="W215" i="39"/>
  <c r="L215" i="39" s="1"/>
  <c r="O119" i="38"/>
  <c r="W223" i="39"/>
  <c r="L223" i="39" s="1"/>
  <c r="W113" i="38"/>
  <c r="W214" i="39"/>
  <c r="L214" i="39" s="1"/>
  <c r="W222" i="39"/>
  <c r="L222" i="39" s="1"/>
  <c r="S260" i="18"/>
  <c r="W260" i="18" s="1"/>
  <c r="S220" i="18"/>
  <c r="W220" i="18" s="1"/>
  <c r="S240" i="18"/>
  <c r="W240" i="18" s="1"/>
  <c r="P117" i="38"/>
  <c r="P124" i="38" s="1"/>
  <c r="P168" i="38" s="1"/>
  <c r="S117" i="38"/>
  <c r="W105" i="38"/>
  <c r="T117" i="38"/>
  <c r="T121" i="38" s="1"/>
  <c r="V117" i="38"/>
  <c r="V121" i="38" s="1"/>
  <c r="U117" i="38"/>
  <c r="U124" i="38" s="1"/>
  <c r="U175" i="38" s="1"/>
  <c r="R117" i="38"/>
  <c r="R124" i="38" s="1"/>
  <c r="W242" i="18"/>
  <c r="T322" i="18" s="1"/>
  <c r="W262" i="18"/>
  <c r="S342" i="18" s="1"/>
  <c r="T170" i="38"/>
  <c r="T177" i="38"/>
  <c r="W202" i="18"/>
  <c r="R282" i="18" s="1"/>
  <c r="W222" i="18"/>
  <c r="T302" i="18" s="1"/>
  <c r="L116" i="18"/>
  <c r="W116" i="18"/>
  <c r="R126" i="38"/>
  <c r="S126" i="38"/>
  <c r="U253" i="5"/>
  <c r="U440" i="5" s="1"/>
  <c r="V253" i="5"/>
  <c r="V440" i="5" s="1"/>
  <c r="R253" i="5"/>
  <c r="R440" i="5" s="1"/>
  <c r="T253" i="5"/>
  <c r="T440" i="5" s="1"/>
  <c r="R260" i="5"/>
  <c r="R447" i="5" s="1"/>
  <c r="S260" i="5"/>
  <c r="S447" i="5" s="1"/>
  <c r="T260" i="5"/>
  <c r="T447" i="5" s="1"/>
  <c r="U260" i="5"/>
  <c r="U447" i="5" s="1"/>
  <c r="T254" i="5"/>
  <c r="S254" i="5"/>
  <c r="R254" i="5"/>
  <c r="V254" i="5"/>
  <c r="U254" i="5"/>
  <c r="R295" i="18"/>
  <c r="U295" i="18"/>
  <c r="V295" i="18"/>
  <c r="T295" i="18"/>
  <c r="S295" i="18"/>
  <c r="S334" i="18"/>
  <c r="R334" i="18"/>
  <c r="V334" i="18"/>
  <c r="U334" i="18"/>
  <c r="T334" i="18"/>
  <c r="V251" i="5"/>
  <c r="V438" i="5" s="1"/>
  <c r="U251" i="5"/>
  <c r="T251" i="5"/>
  <c r="R251" i="5"/>
  <c r="U296" i="18"/>
  <c r="T296" i="18"/>
  <c r="S296" i="18"/>
  <c r="R296" i="18"/>
  <c r="V296" i="18"/>
  <c r="V258" i="5"/>
  <c r="V445" i="5" s="1"/>
  <c r="U258" i="5"/>
  <c r="T258" i="5"/>
  <c r="S258" i="5"/>
  <c r="R258" i="5"/>
  <c r="R445" i="5" s="1"/>
  <c r="V255" i="5"/>
  <c r="U255" i="5"/>
  <c r="R255" i="5"/>
  <c r="T255" i="5"/>
  <c r="S255" i="5"/>
  <c r="V294" i="18"/>
  <c r="U294" i="18"/>
  <c r="T294" i="18"/>
  <c r="S294" i="18"/>
  <c r="R294" i="18"/>
  <c r="V336" i="18"/>
  <c r="T336" i="18"/>
  <c r="U336" i="18"/>
  <c r="S336" i="18"/>
  <c r="R336" i="18"/>
  <c r="T262" i="5"/>
  <c r="S262" i="5"/>
  <c r="R262" i="5"/>
  <c r="V262" i="5"/>
  <c r="U262" i="5"/>
  <c r="T355" i="18"/>
  <c r="V355" i="18"/>
  <c r="R355" i="18"/>
  <c r="U355" i="18"/>
  <c r="S355" i="18"/>
  <c r="V354" i="18"/>
  <c r="U354" i="18"/>
  <c r="T354" i="18"/>
  <c r="S354" i="18"/>
  <c r="R354" i="18"/>
  <c r="U257" i="5"/>
  <c r="T257" i="5"/>
  <c r="S257" i="5"/>
  <c r="R257" i="5"/>
  <c r="V257" i="5"/>
  <c r="S250" i="5"/>
  <c r="R250" i="5"/>
  <c r="R437" i="5" s="1"/>
  <c r="V250" i="5"/>
  <c r="V437" i="5" s="1"/>
  <c r="U250" i="5"/>
  <c r="T250" i="5"/>
  <c r="V261" i="5"/>
  <c r="T261" i="5"/>
  <c r="U261" i="5"/>
  <c r="S261" i="5"/>
  <c r="R261" i="5"/>
  <c r="T356" i="18"/>
  <c r="S356" i="18"/>
  <c r="R356" i="18"/>
  <c r="U356" i="18"/>
  <c r="V356" i="18"/>
  <c r="V316" i="18"/>
  <c r="U316" i="18"/>
  <c r="T316" i="18"/>
  <c r="S316" i="18"/>
  <c r="R316" i="18"/>
  <c r="R256" i="5"/>
  <c r="U256" i="5"/>
  <c r="V256" i="5"/>
  <c r="T256" i="5"/>
  <c r="S256" i="5"/>
  <c r="S259" i="5"/>
  <c r="S446" i="5" s="1"/>
  <c r="R259" i="5"/>
  <c r="V259" i="5"/>
  <c r="V446" i="5" s="1"/>
  <c r="U259" i="5"/>
  <c r="T259" i="5"/>
  <c r="R263" i="5"/>
  <c r="V263" i="5"/>
  <c r="U263" i="5"/>
  <c r="T263" i="5"/>
  <c r="S263" i="5"/>
  <c r="V314" i="18"/>
  <c r="U314" i="18"/>
  <c r="T314" i="18"/>
  <c r="S314" i="18"/>
  <c r="R314" i="18"/>
  <c r="R264" i="5"/>
  <c r="V264" i="5"/>
  <c r="U264" i="5"/>
  <c r="T264" i="5"/>
  <c r="S264" i="5"/>
  <c r="S315" i="18"/>
  <c r="R315" i="18"/>
  <c r="V315" i="18"/>
  <c r="U315" i="18"/>
  <c r="T315" i="18"/>
  <c r="V252" i="5"/>
  <c r="V439" i="5" s="1"/>
  <c r="T252" i="5"/>
  <c r="U252" i="5"/>
  <c r="S252" i="5"/>
  <c r="R252" i="5"/>
  <c r="V335" i="18"/>
  <c r="U335" i="18"/>
  <c r="T335" i="18"/>
  <c r="S335" i="18"/>
  <c r="R335" i="18"/>
  <c r="L118" i="18"/>
  <c r="R80" i="5"/>
  <c r="R370" i="5" s="1"/>
  <c r="W113" i="18"/>
  <c r="L113" i="18"/>
  <c r="W121" i="18"/>
  <c r="L117" i="18"/>
  <c r="L115" i="18"/>
  <c r="L119" i="18"/>
  <c r="L125" i="18"/>
  <c r="L127" i="18"/>
  <c r="L120" i="18"/>
  <c r="L126" i="18"/>
  <c r="L121" i="18"/>
  <c r="L122" i="18"/>
  <c r="W125" i="18"/>
  <c r="W127" i="18"/>
  <c r="W120" i="18"/>
  <c r="W115" i="18"/>
  <c r="W126" i="18"/>
  <c r="S270" i="18"/>
  <c r="W117" i="18"/>
  <c r="W122" i="18"/>
  <c r="W119" i="18"/>
  <c r="W118" i="18"/>
  <c r="S230" i="18"/>
  <c r="T210" i="18"/>
  <c r="R230" i="18"/>
  <c r="V135" i="17"/>
  <c r="U134" i="17"/>
  <c r="T133" i="17"/>
  <c r="V142" i="17"/>
  <c r="T134" i="17"/>
  <c r="S133" i="17"/>
  <c r="T135" i="17"/>
  <c r="U135" i="17"/>
  <c r="V132" i="17"/>
  <c r="U132" i="17"/>
  <c r="T142" i="17"/>
  <c r="S135" i="17"/>
  <c r="V134" i="17"/>
  <c r="U142" i="17"/>
  <c r="W556" i="5"/>
  <c r="R118" i="17"/>
  <c r="R105" i="19" s="1"/>
  <c r="W557" i="5"/>
  <c r="T270" i="18"/>
  <c r="S210" i="18"/>
  <c r="S250" i="18"/>
  <c r="T250" i="18"/>
  <c r="U210" i="18"/>
  <c r="R270" i="18"/>
  <c r="U270" i="18"/>
  <c r="U250" i="18"/>
  <c r="R250" i="18"/>
  <c r="T209" i="18"/>
  <c r="T229" i="18"/>
  <c r="T269" i="18"/>
  <c r="T249" i="18"/>
  <c r="S249" i="18"/>
  <c r="S209" i="18"/>
  <c r="S229" i="18"/>
  <c r="S269" i="18"/>
  <c r="U269" i="18"/>
  <c r="U209" i="18"/>
  <c r="U229" i="18"/>
  <c r="U249" i="18"/>
  <c r="W98" i="18"/>
  <c r="R269" i="18"/>
  <c r="R249" i="18"/>
  <c r="R229" i="18"/>
  <c r="R209" i="18"/>
  <c r="W228" i="18"/>
  <c r="V80" i="5"/>
  <c r="S80" i="5"/>
  <c r="S372" i="5" s="1"/>
  <c r="S474" i="5" s="1"/>
  <c r="S491" i="5" s="1"/>
  <c r="W265" i="18"/>
  <c r="W208" i="18"/>
  <c r="W221" i="18"/>
  <c r="W271" i="18"/>
  <c r="W252" i="18"/>
  <c r="W204" i="18"/>
  <c r="W200" i="18"/>
  <c r="W247" i="18"/>
  <c r="W223" i="18"/>
  <c r="T80" i="5"/>
  <c r="T372" i="5" s="1"/>
  <c r="W261" i="18"/>
  <c r="W245" i="18"/>
  <c r="W231" i="18"/>
  <c r="W219" i="18"/>
  <c r="W246" i="18"/>
  <c r="W272" i="18"/>
  <c r="W244" i="18"/>
  <c r="W233" i="18"/>
  <c r="W227" i="18"/>
  <c r="W243" i="18"/>
  <c r="W248" i="18"/>
  <c r="W201" i="18"/>
  <c r="W205" i="18"/>
  <c r="W211" i="18"/>
  <c r="W239" i="18"/>
  <c r="W206" i="18"/>
  <c r="W212" i="18"/>
  <c r="W224" i="18"/>
  <c r="W253" i="18"/>
  <c r="W207" i="18"/>
  <c r="W203" i="18"/>
  <c r="W259" i="18"/>
  <c r="W266" i="18"/>
  <c r="W213" i="18"/>
  <c r="U80" i="5"/>
  <c r="U372" i="5" s="1"/>
  <c r="W268" i="18"/>
  <c r="W241" i="18"/>
  <c r="W225" i="18"/>
  <c r="W251" i="18"/>
  <c r="W199" i="18"/>
  <c r="W226" i="18"/>
  <c r="W232" i="18"/>
  <c r="W264" i="18"/>
  <c r="W273" i="18"/>
  <c r="W267" i="18"/>
  <c r="W263" i="18"/>
  <c r="W99" i="18"/>
  <c r="W100" i="18"/>
  <c r="W95" i="18"/>
  <c r="W105" i="18"/>
  <c r="W97" i="18"/>
  <c r="W104" i="18"/>
  <c r="L296" i="5"/>
  <c r="L130" i="30" s="1"/>
  <c r="U555" i="5"/>
  <c r="U112" i="17" s="1"/>
  <c r="U596" i="5"/>
  <c r="U634" i="5" s="1"/>
  <c r="T597" i="5"/>
  <c r="T635" i="5" s="1"/>
  <c r="V606" i="5"/>
  <c r="V644" i="5" s="1"/>
  <c r="S597" i="5"/>
  <c r="S635" i="5" s="1"/>
  <c r="T596" i="5"/>
  <c r="T634" i="5" s="1"/>
  <c r="V133" i="17"/>
  <c r="V99" i="19"/>
  <c r="V596" i="5"/>
  <c r="V634" i="5" s="1"/>
  <c r="S564" i="5"/>
  <c r="S121" i="17" s="1"/>
  <c r="W475" i="5"/>
  <c r="W492" i="5"/>
  <c r="V597" i="5"/>
  <c r="V635" i="5" s="1"/>
  <c r="W502" i="5"/>
  <c r="V108" i="19"/>
  <c r="W485" i="5"/>
  <c r="V98" i="19"/>
  <c r="U606" i="5"/>
  <c r="U644" i="5" s="1"/>
  <c r="W476" i="5"/>
  <c r="S99" i="19"/>
  <c r="T99" i="19"/>
  <c r="U108" i="19"/>
  <c r="U98" i="19"/>
  <c r="T132" i="17"/>
  <c r="T98" i="19"/>
  <c r="B96" i="16"/>
  <c r="B180" i="16" s="1"/>
  <c r="B224" i="16" s="1"/>
  <c r="C36" i="30"/>
  <c r="R596" i="5"/>
  <c r="R597" i="5"/>
  <c r="W493" i="5"/>
  <c r="R606" i="5"/>
  <c r="R644" i="5" s="1"/>
  <c r="R564" i="5"/>
  <c r="T100" i="19"/>
  <c r="T644" i="5"/>
  <c r="W603" i="5"/>
  <c r="S641" i="5"/>
  <c r="W513" i="5"/>
  <c r="T101" i="19"/>
  <c r="W598" i="5"/>
  <c r="V100" i="19"/>
  <c r="W599" i="5"/>
  <c r="W512" i="5"/>
  <c r="S561" i="5"/>
  <c r="S118" i="17" s="1"/>
  <c r="W517" i="5"/>
  <c r="V101" i="19"/>
  <c r="T108" i="19"/>
  <c r="U101" i="19"/>
  <c r="U100" i="19"/>
  <c r="S101" i="19"/>
  <c r="U321" i="5"/>
  <c r="W588" i="5"/>
  <c r="W581" i="5"/>
  <c r="W585" i="5"/>
  <c r="W580" i="5"/>
  <c r="W578" i="5"/>
  <c r="R114" i="17"/>
  <c r="R101" i="19" s="1"/>
  <c r="R113" i="17"/>
  <c r="R100" i="19" s="1"/>
  <c r="W319" i="5"/>
  <c r="U343" i="5" l="1"/>
  <c r="U583" i="5" s="1"/>
  <c r="U24" i="18" s="1"/>
  <c r="S343" i="5"/>
  <c r="S583" i="5" s="1"/>
  <c r="S24" i="18" s="1"/>
  <c r="T343" i="5"/>
  <c r="T92" i="11"/>
  <c r="V92" i="11"/>
  <c r="V343" i="5"/>
  <c r="L119" i="38"/>
  <c r="W120" i="38"/>
  <c r="L111" i="38"/>
  <c r="C39" i="30"/>
  <c r="S185" i="38"/>
  <c r="S734" i="39"/>
  <c r="S635" i="39"/>
  <c r="W599" i="39"/>
  <c r="W545" i="39"/>
  <c r="T242" i="19"/>
  <c r="T653" i="39"/>
  <c r="T785" i="39" s="1"/>
  <c r="U242" i="19"/>
  <c r="U653" i="39"/>
  <c r="U785" i="39" s="1"/>
  <c r="V242" i="19"/>
  <c r="V653" i="39"/>
  <c r="V785" i="39" s="1"/>
  <c r="L211" i="30"/>
  <c r="O117" i="38"/>
  <c r="O121" i="38" s="1"/>
  <c r="R194" i="38"/>
  <c r="R86" i="11" s="1"/>
  <c r="W178" i="38"/>
  <c r="N194" i="38" s="1"/>
  <c r="N86" i="11" s="1"/>
  <c r="T201" i="38"/>
  <c r="T127" i="11" s="1"/>
  <c r="T185" i="38"/>
  <c r="R201" i="38"/>
  <c r="R127" i="11" s="1"/>
  <c r="R185" i="38"/>
  <c r="O171" i="38"/>
  <c r="W127" i="38"/>
  <c r="W114" i="18"/>
  <c r="L114" i="18"/>
  <c r="U322" i="18"/>
  <c r="R342" i="18"/>
  <c r="U191" i="38"/>
  <c r="U77" i="11" s="1"/>
  <c r="P202" i="38"/>
  <c r="R322" i="18"/>
  <c r="S595" i="5"/>
  <c r="S633" i="5" s="1"/>
  <c r="S36" i="18" s="1"/>
  <c r="S133" i="18" s="1"/>
  <c r="S151" i="18" s="1"/>
  <c r="T383" i="18" s="1"/>
  <c r="T579" i="18" s="1"/>
  <c r="S509" i="5"/>
  <c r="S553" i="5" s="1"/>
  <c r="S110" i="17" s="1"/>
  <c r="S97" i="19" s="1"/>
  <c r="T474" i="5"/>
  <c r="T491" i="5" s="1"/>
  <c r="T595" i="5" s="1"/>
  <c r="T633" i="5" s="1"/>
  <c r="T36" i="18" s="1"/>
  <c r="T133" i="18" s="1"/>
  <c r="T151" i="18" s="1"/>
  <c r="V369" i="5"/>
  <c r="V471" i="5" s="1"/>
  <c r="V372" i="5"/>
  <c r="V474" i="5" s="1"/>
  <c r="V491" i="5" s="1"/>
  <c r="U474" i="5"/>
  <c r="U491" i="5" s="1"/>
  <c r="U595" i="5" s="1"/>
  <c r="U633" i="5" s="1"/>
  <c r="U36" i="18" s="1"/>
  <c r="U133" i="18" s="1"/>
  <c r="U151" i="18" s="1"/>
  <c r="R369" i="5"/>
  <c r="R471" i="5" s="1"/>
  <c r="R372" i="5"/>
  <c r="R474" i="5" s="1"/>
  <c r="V322" i="18"/>
  <c r="T342" i="18"/>
  <c r="W440" i="5"/>
  <c r="L440" i="5"/>
  <c r="U121" i="38"/>
  <c r="S322" i="18"/>
  <c r="R168" i="38"/>
  <c r="R175" i="38"/>
  <c r="V124" i="38"/>
  <c r="V175" i="38" s="1"/>
  <c r="V195" i="38" s="1"/>
  <c r="W111" i="38"/>
  <c r="T124" i="38"/>
  <c r="T168" i="38" s="1"/>
  <c r="S302" i="18"/>
  <c r="U282" i="18"/>
  <c r="T282" i="18"/>
  <c r="U342" i="18"/>
  <c r="R302" i="18"/>
  <c r="S282" i="18"/>
  <c r="V282" i="18"/>
  <c r="U302" i="18"/>
  <c r="V342" i="18"/>
  <c r="V302" i="18"/>
  <c r="R170" i="38"/>
  <c r="R177" i="38"/>
  <c r="S170" i="38"/>
  <c r="S200" i="38" s="1"/>
  <c r="S126" i="11" s="1"/>
  <c r="S78" i="39" s="1"/>
  <c r="S113" i="39" s="1"/>
  <c r="S177" i="38"/>
  <c r="S193" i="38" s="1"/>
  <c r="S85" i="11" s="1"/>
  <c r="U184" i="38"/>
  <c r="V184" i="38"/>
  <c r="T184" i="38"/>
  <c r="U128" i="38"/>
  <c r="P128" i="38"/>
  <c r="S121" i="38"/>
  <c r="S124" i="38"/>
  <c r="S175" i="38" s="1"/>
  <c r="O126" i="38"/>
  <c r="L126" i="38" s="1"/>
  <c r="R121" i="38"/>
  <c r="W119" i="38"/>
  <c r="P121" i="38"/>
  <c r="L253" i="5"/>
  <c r="W253" i="5"/>
  <c r="L260" i="5"/>
  <c r="W260" i="5"/>
  <c r="R378" i="5"/>
  <c r="V286" i="18"/>
  <c r="U286" i="18"/>
  <c r="T286" i="18"/>
  <c r="S286" i="18"/>
  <c r="R286" i="18"/>
  <c r="U279" i="18"/>
  <c r="T279" i="18"/>
  <c r="S279" i="18"/>
  <c r="R279" i="18"/>
  <c r="V279" i="18"/>
  <c r="U324" i="18"/>
  <c r="T324" i="18"/>
  <c r="S324" i="18"/>
  <c r="R324" i="18"/>
  <c r="V324" i="18"/>
  <c r="R312" i="18"/>
  <c r="U312" i="18"/>
  <c r="V312" i="18"/>
  <c r="T312" i="18"/>
  <c r="S312" i="18"/>
  <c r="T293" i="18"/>
  <c r="S293" i="18"/>
  <c r="R293" i="18"/>
  <c r="V293" i="18"/>
  <c r="U293" i="18"/>
  <c r="V300" i="18"/>
  <c r="T300" i="18"/>
  <c r="U300" i="18"/>
  <c r="S300" i="18"/>
  <c r="R300" i="18"/>
  <c r="R341" i="18"/>
  <c r="U341" i="18"/>
  <c r="V341" i="18"/>
  <c r="T341" i="18"/>
  <c r="S341" i="18"/>
  <c r="T301" i="18"/>
  <c r="S301" i="18"/>
  <c r="R301" i="18"/>
  <c r="V301" i="18"/>
  <c r="U301" i="18"/>
  <c r="V306" i="18"/>
  <c r="U306" i="18"/>
  <c r="T306" i="18"/>
  <c r="S306" i="18"/>
  <c r="R306" i="18"/>
  <c r="V346" i="18"/>
  <c r="U346" i="18"/>
  <c r="T346" i="18"/>
  <c r="S346" i="18"/>
  <c r="R346" i="18"/>
  <c r="T319" i="18"/>
  <c r="V319" i="18"/>
  <c r="U319" i="18"/>
  <c r="S319" i="18"/>
  <c r="R319" i="18"/>
  <c r="U313" i="18"/>
  <c r="T313" i="18"/>
  <c r="S313" i="18"/>
  <c r="R313" i="18"/>
  <c r="V313" i="18"/>
  <c r="U288" i="18"/>
  <c r="T288" i="18"/>
  <c r="S288" i="18"/>
  <c r="R288" i="18"/>
  <c r="V288" i="18"/>
  <c r="R379" i="5"/>
  <c r="R481" i="5" s="1"/>
  <c r="R498" i="5" s="1"/>
  <c r="V291" i="18"/>
  <c r="U291" i="18"/>
  <c r="T291" i="18"/>
  <c r="S291" i="18"/>
  <c r="R291" i="18"/>
  <c r="R303" i="18"/>
  <c r="V303" i="18"/>
  <c r="U303" i="18"/>
  <c r="T303" i="18"/>
  <c r="S303" i="18"/>
  <c r="V283" i="18"/>
  <c r="U283" i="18"/>
  <c r="T283" i="18"/>
  <c r="S283" i="18"/>
  <c r="R283" i="18"/>
  <c r="S352" i="18"/>
  <c r="V352" i="18"/>
  <c r="U352" i="18"/>
  <c r="T352" i="18"/>
  <c r="R352" i="18"/>
  <c r="S345" i="18"/>
  <c r="R345" i="18"/>
  <c r="V345" i="18"/>
  <c r="U345" i="18"/>
  <c r="T345" i="18"/>
  <c r="R377" i="5"/>
  <c r="R479" i="5" s="1"/>
  <c r="T347" i="18"/>
  <c r="R347" i="18"/>
  <c r="V347" i="18"/>
  <c r="U347" i="18"/>
  <c r="S347" i="18"/>
  <c r="U305" i="18"/>
  <c r="T305" i="18"/>
  <c r="S305" i="18"/>
  <c r="R305" i="18"/>
  <c r="V305" i="18"/>
  <c r="R287" i="18"/>
  <c r="U287" i="18"/>
  <c r="V287" i="18"/>
  <c r="T287" i="18"/>
  <c r="S287" i="18"/>
  <c r="S281" i="18"/>
  <c r="R281" i="18"/>
  <c r="V281" i="18"/>
  <c r="U281" i="18"/>
  <c r="T281" i="18"/>
  <c r="S326" i="18"/>
  <c r="R326" i="18"/>
  <c r="V326" i="18"/>
  <c r="U326" i="18"/>
  <c r="T326" i="18"/>
  <c r="V280" i="18"/>
  <c r="S280" i="18"/>
  <c r="U280" i="18"/>
  <c r="T280" i="18"/>
  <c r="R280" i="18"/>
  <c r="V340" i="18"/>
  <c r="U340" i="18"/>
  <c r="R340" i="18"/>
  <c r="T340" i="18"/>
  <c r="S340" i="18"/>
  <c r="R331" i="18"/>
  <c r="U331" i="18"/>
  <c r="V331" i="18"/>
  <c r="T331" i="18"/>
  <c r="S331" i="18"/>
  <c r="T285" i="18"/>
  <c r="S285" i="18"/>
  <c r="R285" i="18"/>
  <c r="V285" i="18"/>
  <c r="U285" i="18"/>
  <c r="V327" i="18"/>
  <c r="U327" i="18"/>
  <c r="T327" i="18"/>
  <c r="S327" i="18"/>
  <c r="R327" i="18"/>
  <c r="R371" i="5"/>
  <c r="T320" i="18"/>
  <c r="S320" i="18"/>
  <c r="R320" i="18"/>
  <c r="V320" i="18"/>
  <c r="U320" i="18"/>
  <c r="R321" i="18"/>
  <c r="V321" i="18"/>
  <c r="U321" i="18"/>
  <c r="T321" i="18"/>
  <c r="S321" i="18"/>
  <c r="V333" i="18"/>
  <c r="U333" i="18"/>
  <c r="T333" i="18"/>
  <c r="S333" i="18"/>
  <c r="R333" i="18"/>
  <c r="T328" i="18"/>
  <c r="V328" i="18"/>
  <c r="U328" i="18"/>
  <c r="S328" i="18"/>
  <c r="R328" i="18"/>
  <c r="V299" i="18"/>
  <c r="U299" i="18"/>
  <c r="T299" i="18"/>
  <c r="S299" i="18"/>
  <c r="R299" i="18"/>
  <c r="T284" i="18"/>
  <c r="V284" i="18"/>
  <c r="U284" i="18"/>
  <c r="S284" i="18"/>
  <c r="R284" i="18"/>
  <c r="T339" i="18"/>
  <c r="S339" i="18"/>
  <c r="R339" i="18"/>
  <c r="V339" i="18"/>
  <c r="U339" i="18"/>
  <c r="U343" i="18"/>
  <c r="T343" i="18"/>
  <c r="S343" i="18"/>
  <c r="R343" i="18"/>
  <c r="V343" i="18"/>
  <c r="S353" i="18"/>
  <c r="R353" i="18"/>
  <c r="V353" i="18"/>
  <c r="U353" i="18"/>
  <c r="T353" i="18"/>
  <c r="T348" i="18"/>
  <c r="S348" i="18"/>
  <c r="R348" i="18"/>
  <c r="U348" i="18"/>
  <c r="V348" i="18"/>
  <c r="R304" i="18"/>
  <c r="U304" i="18"/>
  <c r="V304" i="18"/>
  <c r="T304" i="18"/>
  <c r="S304" i="18"/>
  <c r="R323" i="18"/>
  <c r="U323" i="18"/>
  <c r="V323" i="18"/>
  <c r="T323" i="18"/>
  <c r="S323" i="18"/>
  <c r="R311" i="18"/>
  <c r="V311" i="18"/>
  <c r="U311" i="18"/>
  <c r="T311" i="18"/>
  <c r="S311" i="18"/>
  <c r="U332" i="18"/>
  <c r="T332" i="18"/>
  <c r="S332" i="18"/>
  <c r="R332" i="18"/>
  <c r="V332" i="18"/>
  <c r="V308" i="18"/>
  <c r="U308" i="18"/>
  <c r="T308" i="18"/>
  <c r="S308" i="18"/>
  <c r="R308" i="18"/>
  <c r="V344" i="18"/>
  <c r="U344" i="18"/>
  <c r="T344" i="18"/>
  <c r="S344" i="18"/>
  <c r="R344" i="18"/>
  <c r="T292" i="18"/>
  <c r="V292" i="18"/>
  <c r="U292" i="18"/>
  <c r="S292" i="18"/>
  <c r="R292" i="18"/>
  <c r="S307" i="18"/>
  <c r="R307" i="18"/>
  <c r="V307" i="18"/>
  <c r="U307" i="18"/>
  <c r="T307" i="18"/>
  <c r="V325" i="18"/>
  <c r="U325" i="18"/>
  <c r="T325" i="18"/>
  <c r="S325" i="18"/>
  <c r="R325" i="18"/>
  <c r="U351" i="18"/>
  <c r="T351" i="18"/>
  <c r="S351" i="18"/>
  <c r="R351" i="18"/>
  <c r="V351" i="18"/>
  <c r="L124" i="18"/>
  <c r="L123" i="18"/>
  <c r="W230" i="18"/>
  <c r="W123" i="18"/>
  <c r="W124" i="18"/>
  <c r="W270" i="18"/>
  <c r="W210" i="18"/>
  <c r="S142" i="17"/>
  <c r="U133" i="17"/>
  <c r="R134" i="17"/>
  <c r="S139" i="17"/>
  <c r="R139" i="17"/>
  <c r="R135" i="17"/>
  <c r="R121" i="17"/>
  <c r="W564" i="5"/>
  <c r="W561" i="5"/>
  <c r="W250" i="18"/>
  <c r="T437" i="5"/>
  <c r="S445" i="5"/>
  <c r="S439" i="5"/>
  <c r="U446" i="5"/>
  <c r="S437" i="5"/>
  <c r="R439" i="5"/>
  <c r="T445" i="5"/>
  <c r="U438" i="5"/>
  <c r="S438" i="5"/>
  <c r="T439" i="5"/>
  <c r="U437" i="5"/>
  <c r="T438" i="5"/>
  <c r="U445" i="5"/>
  <c r="T446" i="5"/>
  <c r="R438" i="5"/>
  <c r="R446" i="5"/>
  <c r="U439" i="5"/>
  <c r="W249" i="18"/>
  <c r="W229" i="18"/>
  <c r="W209" i="18"/>
  <c r="W269" i="18"/>
  <c r="L447" i="5"/>
  <c r="W447" i="5"/>
  <c r="V371" i="5"/>
  <c r="V473" i="5" s="1"/>
  <c r="V490" i="5" s="1"/>
  <c r="V378" i="5"/>
  <c r="V480" i="5" s="1"/>
  <c r="U369" i="5"/>
  <c r="U379" i="5"/>
  <c r="U481" i="5" s="1"/>
  <c r="U498" i="5" s="1"/>
  <c r="U516" i="5" s="1"/>
  <c r="U560" i="5" s="1"/>
  <c r="U117" i="17" s="1"/>
  <c r="V370" i="5"/>
  <c r="V472" i="5" s="1"/>
  <c r="V379" i="5"/>
  <c r="V481" i="5" s="1"/>
  <c r="V498" i="5" s="1"/>
  <c r="T370" i="5"/>
  <c r="T379" i="5"/>
  <c r="T481" i="5" s="1"/>
  <c r="T498" i="5" s="1"/>
  <c r="T516" i="5" s="1"/>
  <c r="T560" i="5" s="1"/>
  <c r="T117" i="17" s="1"/>
  <c r="S369" i="5"/>
  <c r="S379" i="5"/>
  <c r="S481" i="5" s="1"/>
  <c r="S498" i="5" s="1"/>
  <c r="S516" i="5" s="1"/>
  <c r="S560" i="5" s="1"/>
  <c r="S117" i="17" s="1"/>
  <c r="V377" i="5"/>
  <c r="V479" i="5" s="1"/>
  <c r="C49" i="30"/>
  <c r="S370" i="5"/>
  <c r="S371" i="5"/>
  <c r="S378" i="5"/>
  <c r="S377" i="5"/>
  <c r="U371" i="5"/>
  <c r="T378" i="5"/>
  <c r="U377" i="5"/>
  <c r="U370" i="5"/>
  <c r="T377" i="5"/>
  <c r="U378" i="5"/>
  <c r="W80" i="5"/>
  <c r="L80" i="5" s="1"/>
  <c r="L120" i="30" s="1"/>
  <c r="T371" i="5"/>
  <c r="T369" i="5"/>
  <c r="W264" i="5"/>
  <c r="W336" i="18"/>
  <c r="L336" i="18" s="1"/>
  <c r="W334" i="18"/>
  <c r="L334" i="18" s="1"/>
  <c r="W294" i="18"/>
  <c r="L294" i="18" s="1"/>
  <c r="W315" i="18"/>
  <c r="L315" i="18" s="1"/>
  <c r="W295" i="18"/>
  <c r="L295" i="18" s="1"/>
  <c r="W314" i="18"/>
  <c r="L314" i="18" s="1"/>
  <c r="W296" i="18"/>
  <c r="L296" i="18" s="1"/>
  <c r="W356" i="18"/>
  <c r="L356" i="18" s="1"/>
  <c r="W354" i="18"/>
  <c r="L354" i="18" s="1"/>
  <c r="W316" i="18"/>
  <c r="L316" i="18" s="1"/>
  <c r="W355" i="18"/>
  <c r="L355" i="18" s="1"/>
  <c r="W335" i="18"/>
  <c r="L335" i="18" s="1"/>
  <c r="W96" i="18"/>
  <c r="W90" i="18"/>
  <c r="W103" i="18"/>
  <c r="W89" i="18"/>
  <c r="W93" i="18"/>
  <c r="W94" i="18"/>
  <c r="W88" i="18"/>
  <c r="W92" i="18"/>
  <c r="W101" i="18"/>
  <c r="W102" i="18"/>
  <c r="L264" i="5"/>
  <c r="W263" i="5"/>
  <c r="W259" i="5"/>
  <c r="L258" i="5"/>
  <c r="L441" i="5"/>
  <c r="W441" i="5"/>
  <c r="W258" i="5"/>
  <c r="L250" i="5"/>
  <c r="W250" i="5"/>
  <c r="L263" i="5"/>
  <c r="W257" i="5"/>
  <c r="L257" i="5"/>
  <c r="L254" i="5"/>
  <c r="W254" i="5"/>
  <c r="W255" i="5"/>
  <c r="L261" i="5"/>
  <c r="W261" i="5"/>
  <c r="W262" i="5"/>
  <c r="L262" i="5"/>
  <c r="W251" i="5"/>
  <c r="L251" i="5"/>
  <c r="L259" i="5"/>
  <c r="W256" i="5"/>
  <c r="L256" i="5"/>
  <c r="W252" i="5"/>
  <c r="L252" i="5"/>
  <c r="L255" i="5"/>
  <c r="U99" i="19"/>
  <c r="S596" i="5"/>
  <c r="S634" i="5" s="1"/>
  <c r="S554" i="5"/>
  <c r="S111" i="17" s="1"/>
  <c r="S108" i="19"/>
  <c r="R554" i="5"/>
  <c r="W520" i="5"/>
  <c r="R555" i="5"/>
  <c r="W511" i="5"/>
  <c r="R634" i="5"/>
  <c r="W606" i="5"/>
  <c r="R635" i="5"/>
  <c r="W597" i="5"/>
  <c r="S105" i="19"/>
  <c r="W118" i="17"/>
  <c r="S321" i="5"/>
  <c r="V321" i="5"/>
  <c r="T321" i="5"/>
  <c r="W320" i="5"/>
  <c r="W113" i="17"/>
  <c r="W114" i="17"/>
  <c r="B2" i="4"/>
  <c r="W113" i="39" l="1"/>
  <c r="R79" i="39"/>
  <c r="R133" i="11"/>
  <c r="T79" i="39"/>
  <c r="T133" i="11"/>
  <c r="S342" i="5"/>
  <c r="S582" i="5" s="1"/>
  <c r="S23" i="18" s="1"/>
  <c r="W23" i="18" s="1"/>
  <c r="W86" i="11"/>
  <c r="N343" i="5"/>
  <c r="R343" i="5"/>
  <c r="R92" i="11"/>
  <c r="V349" i="5"/>
  <c r="V583" i="5"/>
  <c r="U195" i="38"/>
  <c r="T349" i="5"/>
  <c r="T583" i="5"/>
  <c r="T24" i="18" s="1"/>
  <c r="T30" i="18" s="1"/>
  <c r="W117" i="38"/>
  <c r="W121" i="38" s="1"/>
  <c r="S242" i="19"/>
  <c r="W242" i="19" s="1"/>
  <c r="S653" i="39"/>
  <c r="W635" i="39"/>
  <c r="T202" i="38"/>
  <c r="W121" i="17"/>
  <c r="R108" i="19"/>
  <c r="R425" i="18"/>
  <c r="R621" i="18" s="1"/>
  <c r="O124" i="38"/>
  <c r="W124" i="38" s="1"/>
  <c r="L117" i="38"/>
  <c r="O185" i="38"/>
  <c r="W185" i="38" s="1"/>
  <c r="L185" i="38" s="1"/>
  <c r="W171" i="38"/>
  <c r="N201" i="38" s="1"/>
  <c r="N127" i="11" s="1"/>
  <c r="W194" i="38"/>
  <c r="L194" i="38" s="1"/>
  <c r="T509" i="5"/>
  <c r="T553" i="5" s="1"/>
  <c r="T110" i="17" s="1"/>
  <c r="T97" i="19" s="1"/>
  <c r="R195" i="38"/>
  <c r="R202" i="38"/>
  <c r="V383" i="18"/>
  <c r="V579" i="18" s="1"/>
  <c r="S383" i="18"/>
  <c r="S467" i="18" s="1"/>
  <c r="S663" i="18" s="1"/>
  <c r="S122" i="19" s="1"/>
  <c r="U383" i="18"/>
  <c r="U579" i="18" s="1"/>
  <c r="R383" i="18"/>
  <c r="U404" i="18"/>
  <c r="U600" i="18" s="1"/>
  <c r="V404" i="18"/>
  <c r="V600" i="18" s="1"/>
  <c r="W322" i="18"/>
  <c r="L322" i="18" s="1"/>
  <c r="V595" i="5"/>
  <c r="V633" i="5" s="1"/>
  <c r="V36" i="18" s="1"/>
  <c r="V133" i="18" s="1"/>
  <c r="V151" i="18" s="1"/>
  <c r="V467" i="18" s="1"/>
  <c r="V705" i="18" s="1"/>
  <c r="V168" i="19" s="1"/>
  <c r="V509" i="5"/>
  <c r="V553" i="5" s="1"/>
  <c r="V110" i="17" s="1"/>
  <c r="V97" i="19" s="1"/>
  <c r="U509" i="5"/>
  <c r="U553" i="5" s="1"/>
  <c r="U110" i="17" s="1"/>
  <c r="U97" i="19" s="1"/>
  <c r="L372" i="5"/>
  <c r="W372" i="5"/>
  <c r="C45" i="30"/>
  <c r="B245" i="16"/>
  <c r="B266" i="16" s="1"/>
  <c r="V425" i="18"/>
  <c r="V621" i="18" s="1"/>
  <c r="T404" i="18"/>
  <c r="T467" i="18" s="1"/>
  <c r="T425" i="18"/>
  <c r="T621" i="18" s="1"/>
  <c r="S425" i="18"/>
  <c r="S621" i="18" s="1"/>
  <c r="V128" i="38"/>
  <c r="U425" i="18"/>
  <c r="U467" i="18" s="1"/>
  <c r="U663" i="18" s="1"/>
  <c r="U122" i="19" s="1"/>
  <c r="S404" i="18"/>
  <c r="R404" i="18"/>
  <c r="R491" i="5"/>
  <c r="W474" i="5"/>
  <c r="L474" i="5"/>
  <c r="T128" i="38"/>
  <c r="T175" i="38"/>
  <c r="W302" i="18"/>
  <c r="L302" i="18" s="1"/>
  <c r="W282" i="18"/>
  <c r="L282" i="18" s="1"/>
  <c r="W342" i="18"/>
  <c r="L342" i="18" s="1"/>
  <c r="O170" i="38"/>
  <c r="O202" i="38" s="1"/>
  <c r="S168" i="38"/>
  <c r="S198" i="38" s="1"/>
  <c r="S118" i="11" s="1"/>
  <c r="S191" i="38"/>
  <c r="S77" i="11" s="1"/>
  <c r="V182" i="38"/>
  <c r="V186" i="38" s="1"/>
  <c r="P184" i="38"/>
  <c r="S184" i="38"/>
  <c r="W177" i="38"/>
  <c r="N193" i="38" s="1"/>
  <c r="N85" i="11" s="1"/>
  <c r="R184" i="38"/>
  <c r="U182" i="38"/>
  <c r="U186" i="38" s="1"/>
  <c r="P182" i="38"/>
  <c r="P172" i="38"/>
  <c r="R128" i="38"/>
  <c r="U179" i="38"/>
  <c r="T172" i="38"/>
  <c r="S128" i="38"/>
  <c r="V179" i="38"/>
  <c r="W126" i="38"/>
  <c r="R480" i="5"/>
  <c r="R472" i="5"/>
  <c r="R473" i="5"/>
  <c r="R490" i="5" s="1"/>
  <c r="R508" i="5" s="1"/>
  <c r="R330" i="18"/>
  <c r="V330" i="18"/>
  <c r="U330" i="18"/>
  <c r="T330" i="18"/>
  <c r="S330" i="18"/>
  <c r="T310" i="18"/>
  <c r="S310" i="18"/>
  <c r="R310" i="18"/>
  <c r="V310" i="18"/>
  <c r="U310" i="18"/>
  <c r="V349" i="18"/>
  <c r="U349" i="18"/>
  <c r="T349" i="18"/>
  <c r="R349" i="18"/>
  <c r="S349" i="18"/>
  <c r="S290" i="18"/>
  <c r="V290" i="18"/>
  <c r="R290" i="18"/>
  <c r="U290" i="18"/>
  <c r="T290" i="18"/>
  <c r="V289" i="18"/>
  <c r="U289" i="18"/>
  <c r="S289" i="18"/>
  <c r="T289" i="18"/>
  <c r="R289" i="18"/>
  <c r="R350" i="18"/>
  <c r="S350" i="18"/>
  <c r="V350" i="18"/>
  <c r="U350" i="18"/>
  <c r="T350" i="18"/>
  <c r="V309" i="18"/>
  <c r="U309" i="18"/>
  <c r="S309" i="18"/>
  <c r="T309" i="18"/>
  <c r="R309" i="18"/>
  <c r="T329" i="18"/>
  <c r="S329" i="18"/>
  <c r="R329" i="18"/>
  <c r="V329" i="18"/>
  <c r="U329" i="18"/>
  <c r="U479" i="5"/>
  <c r="V508" i="5"/>
  <c r="V552" i="5" s="1"/>
  <c r="V109" i="17" s="1"/>
  <c r="V594" i="5"/>
  <c r="V632" i="5" s="1"/>
  <c r="T472" i="5"/>
  <c r="U471" i="5"/>
  <c r="S471" i="5"/>
  <c r="V516" i="5"/>
  <c r="V560" i="5" s="1"/>
  <c r="V117" i="17" s="1"/>
  <c r="V602" i="5"/>
  <c r="V640" i="5" s="1"/>
  <c r="V43" i="18" s="1"/>
  <c r="V140" i="18" s="1"/>
  <c r="V158" i="18" s="1"/>
  <c r="V474" i="18" s="1"/>
  <c r="V712" i="18" s="1"/>
  <c r="V175" i="19" s="1"/>
  <c r="T473" i="5"/>
  <c r="T490" i="5" s="1"/>
  <c r="T508" i="5" s="1"/>
  <c r="T552" i="5" s="1"/>
  <c r="T109" i="17" s="1"/>
  <c r="U480" i="5"/>
  <c r="U602" i="5"/>
  <c r="U640" i="5" s="1"/>
  <c r="U43" i="18" s="1"/>
  <c r="U140" i="18" s="1"/>
  <c r="U158" i="18" s="1"/>
  <c r="U473" i="5"/>
  <c r="U490" i="5" s="1"/>
  <c r="U594" i="5" s="1"/>
  <c r="U632" i="5" s="1"/>
  <c r="S472" i="5"/>
  <c r="S473" i="5"/>
  <c r="S490" i="5" s="1"/>
  <c r="S508" i="5" s="1"/>
  <c r="U472" i="5"/>
  <c r="S479" i="5"/>
  <c r="S602" i="5"/>
  <c r="S640" i="5" s="1"/>
  <c r="S43" i="18" s="1"/>
  <c r="S140" i="18" s="1"/>
  <c r="S158" i="18" s="1"/>
  <c r="T479" i="5"/>
  <c r="T471" i="5"/>
  <c r="T480" i="5"/>
  <c r="L162" i="30"/>
  <c r="W100" i="19"/>
  <c r="W105" i="19"/>
  <c r="W101" i="19"/>
  <c r="U136" i="17"/>
  <c r="V129" i="17"/>
  <c r="U129" i="17"/>
  <c r="R142" i="17"/>
  <c r="R112" i="17"/>
  <c r="W555" i="5"/>
  <c r="R111" i="17"/>
  <c r="W554" i="5"/>
  <c r="L481" i="5"/>
  <c r="W481" i="5"/>
  <c r="T602" i="5"/>
  <c r="T640" i="5" s="1"/>
  <c r="T43" i="18" s="1"/>
  <c r="W437" i="5"/>
  <c r="L439" i="5"/>
  <c r="L437" i="5"/>
  <c r="W439" i="5"/>
  <c r="L438" i="5"/>
  <c r="W438" i="5"/>
  <c r="U138" i="17"/>
  <c r="U104" i="19"/>
  <c r="T138" i="17"/>
  <c r="T104" i="19"/>
  <c r="S138" i="17"/>
  <c r="S104" i="19"/>
  <c r="W308" i="18"/>
  <c r="L308" i="18" s="1"/>
  <c r="R516" i="5"/>
  <c r="R602" i="5"/>
  <c r="W498" i="5"/>
  <c r="W369" i="5"/>
  <c r="L379" i="5"/>
  <c r="W379" i="5"/>
  <c r="L370" i="5"/>
  <c r="W371" i="5"/>
  <c r="L369" i="5"/>
  <c r="W293" i="18"/>
  <c r="L293" i="18" s="1"/>
  <c r="W378" i="5"/>
  <c r="W313" i="18"/>
  <c r="L313" i="18" s="1"/>
  <c r="W326" i="18"/>
  <c r="L326" i="18" s="1"/>
  <c r="W305" i="18"/>
  <c r="L305" i="18" s="1"/>
  <c r="W306" i="18"/>
  <c r="L306" i="18" s="1"/>
  <c r="L371" i="5"/>
  <c r="W301" i="18"/>
  <c r="L301" i="18" s="1"/>
  <c r="W332" i="18"/>
  <c r="L332" i="18" s="1"/>
  <c r="W345" i="18"/>
  <c r="L345" i="18" s="1"/>
  <c r="W370" i="5"/>
  <c r="L377" i="5"/>
  <c r="W280" i="18"/>
  <c r="L280" i="18" s="1"/>
  <c r="W291" i="18"/>
  <c r="L291" i="18" s="1"/>
  <c r="W343" i="18"/>
  <c r="L343" i="18" s="1"/>
  <c r="W377" i="5"/>
  <c r="L378" i="5"/>
  <c r="W320" i="18"/>
  <c r="L320" i="18" s="1"/>
  <c r="W348" i="18"/>
  <c r="L348" i="18" s="1"/>
  <c r="W327" i="18"/>
  <c r="L327" i="18" s="1"/>
  <c r="W323" i="18"/>
  <c r="L323" i="18" s="1"/>
  <c r="W341" i="18"/>
  <c r="L341" i="18" s="1"/>
  <c r="W351" i="18"/>
  <c r="L351" i="18" s="1"/>
  <c r="W300" i="18"/>
  <c r="L300" i="18" s="1"/>
  <c r="W286" i="18"/>
  <c r="L286" i="18" s="1"/>
  <c r="W307" i="18"/>
  <c r="L307" i="18" s="1"/>
  <c r="W288" i="18"/>
  <c r="L288" i="18" s="1"/>
  <c r="W281" i="18"/>
  <c r="L281" i="18" s="1"/>
  <c r="W331" i="18"/>
  <c r="L331" i="18" s="1"/>
  <c r="W353" i="18"/>
  <c r="L353" i="18" s="1"/>
  <c r="W299" i="18"/>
  <c r="L299" i="18" s="1"/>
  <c r="W284" i="18"/>
  <c r="L284" i="18" s="1"/>
  <c r="W352" i="18"/>
  <c r="L352" i="18" s="1"/>
  <c r="W340" i="18"/>
  <c r="L340" i="18" s="1"/>
  <c r="W328" i="18"/>
  <c r="L328" i="18" s="1"/>
  <c r="W304" i="18"/>
  <c r="L304" i="18" s="1"/>
  <c r="W319" i="18"/>
  <c r="L319" i="18" s="1"/>
  <c r="W292" i="18"/>
  <c r="L292" i="18" s="1"/>
  <c r="W344" i="18"/>
  <c r="L344" i="18" s="1"/>
  <c r="W347" i="18"/>
  <c r="L347" i="18" s="1"/>
  <c r="W279" i="18"/>
  <c r="L279" i="18" s="1"/>
  <c r="W285" i="18"/>
  <c r="L285" i="18" s="1"/>
  <c r="W339" i="18"/>
  <c r="L339" i="18" s="1"/>
  <c r="W333" i="18"/>
  <c r="L333" i="18" s="1"/>
  <c r="W311" i="18"/>
  <c r="L311" i="18" s="1"/>
  <c r="W324" i="18"/>
  <c r="L324" i="18" s="1"/>
  <c r="W346" i="18"/>
  <c r="L346" i="18" s="1"/>
  <c r="W321" i="18"/>
  <c r="L321" i="18" s="1"/>
  <c r="L446" i="5"/>
  <c r="S480" i="5"/>
  <c r="W325" i="18"/>
  <c r="L325" i="18" s="1"/>
  <c r="W283" i="18"/>
  <c r="L283" i="18" s="1"/>
  <c r="W312" i="18"/>
  <c r="L312" i="18" s="1"/>
  <c r="W303" i="18"/>
  <c r="L303" i="18" s="1"/>
  <c r="W287" i="18"/>
  <c r="L287" i="18" s="1"/>
  <c r="W446" i="5"/>
  <c r="W445" i="5"/>
  <c r="L445" i="5"/>
  <c r="W596" i="5"/>
  <c r="W510" i="5"/>
  <c r="V136" i="17"/>
  <c r="S132" i="17"/>
  <c r="S98" i="19"/>
  <c r="W321" i="5"/>
  <c r="E84" i="1"/>
  <c r="N10" i="11"/>
  <c r="M10" i="11"/>
  <c r="L10" i="11"/>
  <c r="K10" i="11"/>
  <c r="B10" i="11"/>
  <c r="B12" i="11" s="1"/>
  <c r="B2" i="11"/>
  <c r="B2" i="2"/>
  <c r="N10" i="5"/>
  <c r="M10" i="5"/>
  <c r="L10" i="5"/>
  <c r="K10" i="5"/>
  <c r="B10" i="5"/>
  <c r="B2" i="5"/>
  <c r="B3" i="4"/>
  <c r="E12" i="2"/>
  <c r="B2" i="1"/>
  <c r="B3" i="39" l="1"/>
  <c r="B3" i="40"/>
  <c r="T589" i="5"/>
  <c r="T618" i="5" s="1"/>
  <c r="N79" i="39"/>
  <c r="W127" i="11"/>
  <c r="W79" i="39" s="1"/>
  <c r="T114" i="39"/>
  <c r="T120" i="39" s="1"/>
  <c r="T85" i="39"/>
  <c r="R114" i="39"/>
  <c r="R85" i="39"/>
  <c r="S70" i="39"/>
  <c r="S133" i="11"/>
  <c r="T432" i="18"/>
  <c r="T628" i="18" s="1"/>
  <c r="V24" i="18"/>
  <c r="V30" i="18" s="1"/>
  <c r="V589" i="5"/>
  <c r="V618" i="5" s="1"/>
  <c r="W85" i="11"/>
  <c r="N342" i="5"/>
  <c r="S334" i="5"/>
  <c r="S92" i="11"/>
  <c r="U334" i="5"/>
  <c r="U92" i="11"/>
  <c r="R583" i="5"/>
  <c r="R24" i="18" s="1"/>
  <c r="R349" i="5"/>
  <c r="N80" i="18"/>
  <c r="W343" i="5"/>
  <c r="V497" i="5" s="1"/>
  <c r="O128" i="38"/>
  <c r="S785" i="39"/>
  <c r="W653" i="39"/>
  <c r="U128" i="17"/>
  <c r="V104" i="19"/>
  <c r="V138" i="17"/>
  <c r="T136" i="17"/>
  <c r="T137" i="17"/>
  <c r="W111" i="17"/>
  <c r="R98" i="19"/>
  <c r="W112" i="17"/>
  <c r="R99" i="19"/>
  <c r="O168" i="38"/>
  <c r="O182" i="38" s="1"/>
  <c r="L124" i="38"/>
  <c r="R594" i="5"/>
  <c r="R632" i="5" s="1"/>
  <c r="W201" i="38"/>
  <c r="L201" i="38" s="1"/>
  <c r="S705" i="18"/>
  <c r="S168" i="19" s="1"/>
  <c r="W97" i="19"/>
  <c r="T182" i="38"/>
  <c r="T186" i="38" s="1"/>
  <c r="T195" i="38"/>
  <c r="W579" i="18"/>
  <c r="W600" i="18"/>
  <c r="W383" i="18"/>
  <c r="L383" i="18" s="1"/>
  <c r="V663" i="18"/>
  <c r="V122" i="19" s="1"/>
  <c r="T179" i="38"/>
  <c r="W621" i="18"/>
  <c r="W425" i="18"/>
  <c r="L425" i="18" s="1"/>
  <c r="U705" i="18"/>
  <c r="U168" i="19" s="1"/>
  <c r="T705" i="18"/>
  <c r="T168" i="19" s="1"/>
  <c r="T663" i="18"/>
  <c r="T122" i="19" s="1"/>
  <c r="R509" i="5"/>
  <c r="R595" i="5"/>
  <c r="W491" i="5"/>
  <c r="W404" i="18"/>
  <c r="L404" i="18" s="1"/>
  <c r="W175" i="38"/>
  <c r="N191" i="38" s="1"/>
  <c r="N77" i="11" s="1"/>
  <c r="S195" i="38"/>
  <c r="S182" i="38"/>
  <c r="S186" i="38" s="1"/>
  <c r="R182" i="38"/>
  <c r="R186" i="38" s="1"/>
  <c r="P186" i="38"/>
  <c r="O184" i="38"/>
  <c r="W184" i="38" s="1"/>
  <c r="L184" i="38" s="1"/>
  <c r="W170" i="38"/>
  <c r="N200" i="38" s="1"/>
  <c r="N126" i="11" s="1"/>
  <c r="W128" i="38"/>
  <c r="L128" i="38" s="1"/>
  <c r="R172" i="38"/>
  <c r="R179" i="38"/>
  <c r="S172" i="38"/>
  <c r="S179" i="38"/>
  <c r="W169" i="38"/>
  <c r="T594" i="5"/>
  <c r="T632" i="5" s="1"/>
  <c r="V670" i="18"/>
  <c r="V129" i="19" s="1"/>
  <c r="L479" i="5"/>
  <c r="W479" i="5"/>
  <c r="W310" i="18"/>
  <c r="L310" i="18" s="1"/>
  <c r="U390" i="18"/>
  <c r="U586" i="18" s="1"/>
  <c r="U884" i="18" s="1"/>
  <c r="B3" i="35"/>
  <c r="B3" i="38"/>
  <c r="B3" i="37"/>
  <c r="B3" i="36"/>
  <c r="U508" i="5"/>
  <c r="U552" i="5" s="1"/>
  <c r="U109" i="17" s="1"/>
  <c r="U96" i="19" s="1"/>
  <c r="W472" i="5"/>
  <c r="L472" i="5"/>
  <c r="W473" i="5"/>
  <c r="W471" i="5"/>
  <c r="L473" i="5"/>
  <c r="L471" i="5"/>
  <c r="W516" i="5"/>
  <c r="W108" i="19"/>
  <c r="S390" i="18"/>
  <c r="S474" i="18" s="1"/>
  <c r="S670" i="18" s="1"/>
  <c r="V390" i="18"/>
  <c r="V586" i="18" s="1"/>
  <c r="V884" i="18" s="1"/>
  <c r="T390" i="18"/>
  <c r="T586" i="18" s="1"/>
  <c r="V432" i="18"/>
  <c r="V628" i="18" s="1"/>
  <c r="V924" i="18" s="1"/>
  <c r="T140" i="18"/>
  <c r="T158" i="18" s="1"/>
  <c r="U432" i="18"/>
  <c r="U474" i="18" s="1"/>
  <c r="U670" i="18" s="1"/>
  <c r="S432" i="18"/>
  <c r="S628" i="18" s="1"/>
  <c r="W350" i="18"/>
  <c r="L350" i="18" s="1"/>
  <c r="W330" i="18"/>
  <c r="L330" i="18" s="1"/>
  <c r="W290" i="18"/>
  <c r="L290" i="18" s="1"/>
  <c r="R133" i="17"/>
  <c r="T130" i="17"/>
  <c r="V128" i="17"/>
  <c r="V130" i="17"/>
  <c r="V137" i="17"/>
  <c r="T128" i="17"/>
  <c r="S129" i="17"/>
  <c r="U137" i="17"/>
  <c r="R132" i="17"/>
  <c r="E72" i="1"/>
  <c r="B3" i="30"/>
  <c r="B3" i="33"/>
  <c r="W329" i="18"/>
  <c r="L329" i="18" s="1"/>
  <c r="R390" i="18"/>
  <c r="W309" i="18"/>
  <c r="L309" i="18" s="1"/>
  <c r="R560" i="5"/>
  <c r="W289" i="18"/>
  <c r="L289" i="18" s="1"/>
  <c r="R432" i="18"/>
  <c r="W349" i="18"/>
  <c r="L349" i="18" s="1"/>
  <c r="W602" i="5"/>
  <c r="R640" i="5"/>
  <c r="R43" i="18" s="1"/>
  <c r="R140" i="18" s="1"/>
  <c r="L480" i="5"/>
  <c r="L139" i="30"/>
  <c r="W480" i="5"/>
  <c r="R552" i="5"/>
  <c r="W490" i="5"/>
  <c r="L321" i="5"/>
  <c r="L134" i="30" s="1"/>
  <c r="V96" i="19"/>
  <c r="S552" i="5"/>
  <c r="S109" i="17" s="1"/>
  <c r="S594" i="5"/>
  <c r="S632" i="5" s="1"/>
  <c r="E71" i="1"/>
  <c r="T96" i="19"/>
  <c r="B3" i="29"/>
  <c r="E89" i="1"/>
  <c r="E86" i="1"/>
  <c r="B69" i="30" s="1"/>
  <c r="W575" i="5"/>
  <c r="W582" i="5"/>
  <c r="B3" i="16"/>
  <c r="B3" i="20"/>
  <c r="B3" i="17"/>
  <c r="B3" i="19"/>
  <c r="B3" i="18"/>
  <c r="B3" i="21"/>
  <c r="B12" i="5"/>
  <c r="B25" i="11"/>
  <c r="C71" i="30" s="1"/>
  <c r="B3" i="2"/>
  <c r="B3" i="1"/>
  <c r="B3" i="11"/>
  <c r="B3" i="5"/>
  <c r="S105" i="39" l="1"/>
  <c r="S85" i="39"/>
  <c r="W114" i="39"/>
  <c r="R120" i="39"/>
  <c r="W126" i="11"/>
  <c r="W78" i="39" s="1"/>
  <c r="N78" i="39"/>
  <c r="N189" i="39"/>
  <c r="R132" i="39"/>
  <c r="R150" i="39" s="1"/>
  <c r="P132" i="39"/>
  <c r="P150" i="39" s="1"/>
  <c r="S132" i="39"/>
  <c r="S150" i="39" s="1"/>
  <c r="T132" i="39"/>
  <c r="T150" i="39" s="1"/>
  <c r="O132" i="39"/>
  <c r="R589" i="5"/>
  <c r="R618" i="5" s="1"/>
  <c r="W583" i="5"/>
  <c r="S497" i="5"/>
  <c r="S515" i="5" s="1"/>
  <c r="S559" i="5" s="1"/>
  <c r="S116" i="17" s="1"/>
  <c r="U497" i="5"/>
  <c r="T497" i="5"/>
  <c r="R497" i="5"/>
  <c r="S349" i="5"/>
  <c r="S574" i="5"/>
  <c r="W342" i="5"/>
  <c r="N79" i="18"/>
  <c r="U349" i="5"/>
  <c r="U574" i="5"/>
  <c r="W77" i="11"/>
  <c r="N334" i="5"/>
  <c r="W24" i="18"/>
  <c r="R30" i="18"/>
  <c r="V601" i="5"/>
  <c r="V639" i="5" s="1"/>
  <c r="V515" i="5"/>
  <c r="V559" i="5" s="1"/>
  <c r="V116" i="17" s="1"/>
  <c r="V103" i="19" s="1"/>
  <c r="O172" i="38"/>
  <c r="U130" i="17"/>
  <c r="W168" i="38"/>
  <c r="W172" i="38" s="1"/>
  <c r="W200" i="38"/>
  <c r="L200" i="38" s="1"/>
  <c r="N199" i="38"/>
  <c r="N119" i="11" s="1"/>
  <c r="S202" i="38"/>
  <c r="R633" i="5"/>
  <c r="W595" i="5"/>
  <c r="R553" i="5"/>
  <c r="W509" i="5"/>
  <c r="W191" i="38"/>
  <c r="L191" i="38" s="1"/>
  <c r="W193" i="38"/>
  <c r="L193" i="38" s="1"/>
  <c r="B55" i="11"/>
  <c r="B96" i="11" s="1"/>
  <c r="C80" i="30" s="1"/>
  <c r="V944" i="18"/>
  <c r="W182" i="38"/>
  <c r="L182" i="38" s="1"/>
  <c r="O186" i="38"/>
  <c r="W186" i="38" s="1"/>
  <c r="L186" i="38" s="1"/>
  <c r="W176" i="38"/>
  <c r="N192" i="38" s="1"/>
  <c r="N78" i="11" s="1"/>
  <c r="S712" i="18"/>
  <c r="S175" i="19" s="1"/>
  <c r="W99" i="19"/>
  <c r="W98" i="19"/>
  <c r="L168" i="30"/>
  <c r="W390" i="18"/>
  <c r="L390" i="18" s="1"/>
  <c r="W586" i="18"/>
  <c r="W43" i="18"/>
  <c r="T884" i="18"/>
  <c r="U712" i="18"/>
  <c r="U175" i="19" s="1"/>
  <c r="U411" i="18"/>
  <c r="U607" i="18" s="1"/>
  <c r="U904" i="18" s="1"/>
  <c r="S411" i="18"/>
  <c r="R411" i="18"/>
  <c r="V411" i="18"/>
  <c r="V607" i="18" s="1"/>
  <c r="V904" i="18" s="1"/>
  <c r="T411" i="18"/>
  <c r="T474" i="18" s="1"/>
  <c r="T670" i="18" s="1"/>
  <c r="T904" i="18" s="1"/>
  <c r="U143" i="17"/>
  <c r="U144" i="17"/>
  <c r="T144" i="17"/>
  <c r="S143" i="17"/>
  <c r="V144" i="17"/>
  <c r="S144" i="17"/>
  <c r="U145" i="17"/>
  <c r="R109" i="17"/>
  <c r="W552" i="5"/>
  <c r="R117" i="17"/>
  <c r="W560" i="5"/>
  <c r="S884" i="18"/>
  <c r="S129" i="19"/>
  <c r="U924" i="18"/>
  <c r="U129" i="19"/>
  <c r="R628" i="18"/>
  <c r="W628" i="18" s="1"/>
  <c r="W432" i="18"/>
  <c r="L432" i="18" s="1"/>
  <c r="W640" i="5"/>
  <c r="W594" i="5"/>
  <c r="W508" i="5"/>
  <c r="S130" i="17"/>
  <c r="S96" i="19"/>
  <c r="S136" i="17"/>
  <c r="B35" i="5"/>
  <c r="C118" i="30" s="1"/>
  <c r="C113" i="30"/>
  <c r="B111" i="30"/>
  <c r="B148" i="30" s="1"/>
  <c r="B158" i="30" s="1"/>
  <c r="B187" i="30" s="1"/>
  <c r="B200" i="30" s="1"/>
  <c r="S601" i="5" l="1"/>
  <c r="S639" i="5" s="1"/>
  <c r="N195" i="38"/>
  <c r="N188" i="39"/>
  <c r="O131" i="39"/>
  <c r="T131" i="39"/>
  <c r="T149" i="39" s="1"/>
  <c r="S131" i="39"/>
  <c r="S149" i="39" s="1"/>
  <c r="P131" i="39"/>
  <c r="P149" i="39" s="1"/>
  <c r="R131" i="39"/>
  <c r="R149" i="39" s="1"/>
  <c r="O150" i="39"/>
  <c r="W150" i="39" s="1"/>
  <c r="L150" i="39" s="1"/>
  <c r="W132" i="39"/>
  <c r="L132" i="39" s="1"/>
  <c r="N71" i="39"/>
  <c r="W119" i="11"/>
  <c r="W71" i="39" s="1"/>
  <c r="S240" i="39"/>
  <c r="S258" i="39" s="1"/>
  <c r="O240" i="39"/>
  <c r="P240" i="39"/>
  <c r="P258" i="39" s="1"/>
  <c r="T240" i="39"/>
  <c r="T258" i="39" s="1"/>
  <c r="R240" i="39"/>
  <c r="R258" i="39" s="1"/>
  <c r="W105" i="39"/>
  <c r="W120" i="39" s="1"/>
  <c r="S120" i="39"/>
  <c r="N92" i="11"/>
  <c r="W497" i="5"/>
  <c r="R515" i="5"/>
  <c r="R601" i="5"/>
  <c r="R639" i="5" s="1"/>
  <c r="T515" i="5"/>
  <c r="T559" i="5" s="1"/>
  <c r="T116" i="17" s="1"/>
  <c r="T103" i="19" s="1"/>
  <c r="T601" i="5"/>
  <c r="T639" i="5" s="1"/>
  <c r="U515" i="5"/>
  <c r="U559" i="5" s="1"/>
  <c r="U116" i="17" s="1"/>
  <c r="U103" i="19" s="1"/>
  <c r="U601" i="5"/>
  <c r="U639" i="5" s="1"/>
  <c r="N71" i="18"/>
  <c r="W334" i="5"/>
  <c r="U15" i="18"/>
  <c r="U30" i="18" s="1"/>
  <c r="U589" i="5"/>
  <c r="U618" i="5" s="1"/>
  <c r="R496" i="5"/>
  <c r="V496" i="5"/>
  <c r="S496" i="5"/>
  <c r="T496" i="5"/>
  <c r="U496" i="5"/>
  <c r="S15" i="18"/>
  <c r="W574" i="5"/>
  <c r="W589" i="5" s="1"/>
  <c r="S589" i="5"/>
  <c r="S618" i="5" s="1"/>
  <c r="N198" i="38"/>
  <c r="N202" i="38" s="1"/>
  <c r="R102" i="19"/>
  <c r="W109" i="17"/>
  <c r="R96" i="19"/>
  <c r="R138" i="17"/>
  <c r="R104" i="19"/>
  <c r="W199" i="38"/>
  <c r="L199" i="38" s="1"/>
  <c r="R110" i="17"/>
  <c r="W110" i="17" s="1"/>
  <c r="W553" i="5"/>
  <c r="R36" i="18"/>
  <c r="W633" i="5"/>
  <c r="W179" i="38"/>
  <c r="W192" i="38"/>
  <c r="L192" i="38" s="1"/>
  <c r="T712" i="18"/>
  <c r="T175" i="19" s="1"/>
  <c r="T129" i="19"/>
  <c r="W411" i="18"/>
  <c r="L411" i="18" s="1"/>
  <c r="W607" i="18"/>
  <c r="S145" i="17"/>
  <c r="T143" i="17"/>
  <c r="V145" i="17"/>
  <c r="R137" i="17"/>
  <c r="R129" i="17"/>
  <c r="V143" i="17"/>
  <c r="R128" i="17"/>
  <c r="R145" i="17"/>
  <c r="T145" i="17"/>
  <c r="S103" i="19"/>
  <c r="R136" i="17"/>
  <c r="R130" i="17"/>
  <c r="W117" i="17"/>
  <c r="S137" i="17"/>
  <c r="B88" i="5"/>
  <c r="T129" i="17"/>
  <c r="U152" i="17" a="1"/>
  <c r="U152" i="17" s="1"/>
  <c r="U155" i="17" a="1"/>
  <c r="U155" i="17" s="1"/>
  <c r="U154" i="17" a="1"/>
  <c r="U154" i="17" s="1"/>
  <c r="U153" i="17" a="1"/>
  <c r="U153" i="17" s="1"/>
  <c r="O258" i="39" l="1"/>
  <c r="W240" i="39"/>
  <c r="U562" i="39"/>
  <c r="U750" i="39" s="1"/>
  <c r="P562" i="39"/>
  <c r="R562" i="39"/>
  <c r="V562" i="39"/>
  <c r="V750" i="39" s="1"/>
  <c r="T562" i="39"/>
  <c r="T750" i="39" s="1"/>
  <c r="O562" i="39"/>
  <c r="S562" i="39"/>
  <c r="S616" i="39" s="1"/>
  <c r="S750" i="39" s="1"/>
  <c r="W198" i="38"/>
  <c r="L198" i="38" s="1"/>
  <c r="N118" i="11"/>
  <c r="N181" i="39"/>
  <c r="P124" i="39"/>
  <c r="P142" i="39" s="1"/>
  <c r="S124" i="39"/>
  <c r="S142" i="39" s="1"/>
  <c r="O124" i="39"/>
  <c r="R124" i="39"/>
  <c r="R142" i="39" s="1"/>
  <c r="T124" i="39"/>
  <c r="T142" i="39" s="1"/>
  <c r="O544" i="39"/>
  <c r="P544" i="39"/>
  <c r="P733" i="39" s="1"/>
  <c r="R544" i="39"/>
  <c r="T544" i="39"/>
  <c r="T733" i="39" s="1"/>
  <c r="V544" i="39"/>
  <c r="V733" i="39" s="1"/>
  <c r="U544" i="39"/>
  <c r="U733" i="39" s="1"/>
  <c r="S544" i="39"/>
  <c r="S733" i="39" s="1"/>
  <c r="O149" i="39"/>
  <c r="W149" i="39" s="1"/>
  <c r="L149" i="39" s="1"/>
  <c r="W131" i="39"/>
  <c r="L131" i="39" s="1"/>
  <c r="U580" i="39"/>
  <c r="U767" i="39" s="1"/>
  <c r="V580" i="39"/>
  <c r="V767" i="39" s="1"/>
  <c r="R580" i="39"/>
  <c r="T580" i="39"/>
  <c r="T616" i="39" s="1"/>
  <c r="T767" i="39" s="1"/>
  <c r="O580" i="39"/>
  <c r="P580" i="39"/>
  <c r="S580" i="39"/>
  <c r="S239" i="39"/>
  <c r="S257" i="39" s="1"/>
  <c r="P239" i="39"/>
  <c r="P257" i="39" s="1"/>
  <c r="R239" i="39"/>
  <c r="R257" i="39" s="1"/>
  <c r="O239" i="39"/>
  <c r="T239" i="39"/>
  <c r="T257" i="39" s="1"/>
  <c r="T526" i="39"/>
  <c r="T716" i="39" s="1"/>
  <c r="U526" i="39"/>
  <c r="U716" i="39" s="1"/>
  <c r="O526" i="39"/>
  <c r="P526" i="39"/>
  <c r="P616" i="39" s="1"/>
  <c r="P716" i="39" s="1"/>
  <c r="V526" i="39"/>
  <c r="V716" i="39" s="1"/>
  <c r="S526" i="39"/>
  <c r="S716" i="39" s="1"/>
  <c r="R526" i="39"/>
  <c r="R716" i="39" s="1"/>
  <c r="N335" i="5"/>
  <c r="N349" i="5" s="1"/>
  <c r="W78" i="11"/>
  <c r="N72" i="18" s="1"/>
  <c r="W601" i="5"/>
  <c r="R559" i="5"/>
  <c r="W515" i="5"/>
  <c r="S30" i="18"/>
  <c r="W15" i="18"/>
  <c r="W30" i="18" s="1"/>
  <c r="U514" i="5"/>
  <c r="U558" i="5" s="1"/>
  <c r="U115" i="17" s="1"/>
  <c r="U102" i="19" s="1"/>
  <c r="U600" i="5"/>
  <c r="U638" i="5" s="1"/>
  <c r="U41" i="18" s="1"/>
  <c r="T514" i="5"/>
  <c r="T558" i="5" s="1"/>
  <c r="T115" i="17" s="1"/>
  <c r="T102" i="19" s="1"/>
  <c r="T600" i="5"/>
  <c r="T638" i="5" s="1"/>
  <c r="N22" i="5"/>
  <c r="S514" i="5"/>
  <c r="S558" i="5" s="1"/>
  <c r="S115" i="17" s="1"/>
  <c r="S102" i="19" s="1"/>
  <c r="S600" i="5"/>
  <c r="S638" i="5" s="1"/>
  <c r="S41" i="18" s="1"/>
  <c r="R488" i="5"/>
  <c r="V488" i="5"/>
  <c r="U488" i="5"/>
  <c r="T488" i="5"/>
  <c r="S488" i="5"/>
  <c r="W618" i="5"/>
  <c r="V514" i="5"/>
  <c r="V558" i="5" s="1"/>
  <c r="V115" i="17" s="1"/>
  <c r="V102" i="19" s="1"/>
  <c r="V600" i="5"/>
  <c r="V638" i="5" s="1"/>
  <c r="R514" i="5"/>
  <c r="W496" i="5"/>
  <c r="R600" i="5"/>
  <c r="I5" i="38"/>
  <c r="W202" i="38"/>
  <c r="R133" i="18"/>
  <c r="W36" i="18"/>
  <c r="B137" i="11"/>
  <c r="W96" i="19"/>
  <c r="W104" i="19"/>
  <c r="V153" i="17" a="1"/>
  <c r="V153" i="17" s="1"/>
  <c r="V159" i="17" s="1"/>
  <c r="R144" i="17"/>
  <c r="R143" i="17"/>
  <c r="T152" i="17" a="1"/>
  <c r="T152" i="17" s="1"/>
  <c r="T39" i="20" s="1"/>
  <c r="AC36" i="21" s="1"/>
  <c r="T36" i="21" s="1"/>
  <c r="W140" i="18"/>
  <c r="R158" i="18"/>
  <c r="B290" i="5"/>
  <c r="B331" i="5" s="1"/>
  <c r="C138" i="30" s="1"/>
  <c r="C122" i="30"/>
  <c r="T155" i="17" a="1"/>
  <c r="T155" i="17" s="1"/>
  <c r="T161" i="17" s="1"/>
  <c r="T154" i="17" a="1"/>
  <c r="T154" i="17" s="1"/>
  <c r="T160" i="17" s="1"/>
  <c r="T153" i="17" a="1"/>
  <c r="T153" i="17" s="1"/>
  <c r="T159" i="17" s="1"/>
  <c r="S128" i="17"/>
  <c r="S154" i="17" s="1" a="1"/>
  <c r="S154" i="17" s="1"/>
  <c r="S41" i="20" s="1"/>
  <c r="AB38" i="21" s="1"/>
  <c r="S38" i="21" s="1"/>
  <c r="C77" i="30"/>
  <c r="V155" i="17" a="1"/>
  <c r="V155" i="17" s="1"/>
  <c r="V154" i="17" a="1"/>
  <c r="V154" i="17" s="1"/>
  <c r="V152" i="17" a="1"/>
  <c r="V152" i="17" s="1"/>
  <c r="R38" i="18"/>
  <c r="R40" i="18"/>
  <c r="R35" i="18"/>
  <c r="R37" i="18"/>
  <c r="R47" i="18"/>
  <c r="R144" i="18" s="1"/>
  <c r="R42" i="18"/>
  <c r="R44" i="18"/>
  <c r="R46" i="18"/>
  <c r="V45" i="18"/>
  <c r="R39" i="18"/>
  <c r="R45" i="18"/>
  <c r="S45" i="18"/>
  <c r="S46" i="18"/>
  <c r="S40" i="18"/>
  <c r="S38" i="18"/>
  <c r="S44" i="18"/>
  <c r="S47" i="18"/>
  <c r="S144" i="18" s="1"/>
  <c r="S39" i="18"/>
  <c r="S37" i="18"/>
  <c r="S42" i="18"/>
  <c r="S35" i="18"/>
  <c r="U45" i="18"/>
  <c r="U46" i="18"/>
  <c r="U47" i="18"/>
  <c r="U40" i="18"/>
  <c r="U38" i="18"/>
  <c r="U37" i="18"/>
  <c r="U44" i="18"/>
  <c r="U39" i="18"/>
  <c r="U42" i="18"/>
  <c r="U35" i="18"/>
  <c r="U160" i="17"/>
  <c r="U41" i="20"/>
  <c r="U161" i="17"/>
  <c r="U42" i="20"/>
  <c r="AD39" i="21" s="1"/>
  <c r="U39" i="21" s="1"/>
  <c r="U158" i="17"/>
  <c r="U39" i="20"/>
  <c r="AD36" i="21" s="1"/>
  <c r="U36" i="21" s="1"/>
  <c r="U159" i="17"/>
  <c r="U40" i="20"/>
  <c r="AD37" i="21" s="1"/>
  <c r="U37" i="21" s="1"/>
  <c r="L8" i="11"/>
  <c r="AD38" i="21" l="1"/>
  <c r="U38" i="21" s="1"/>
  <c r="W92" i="11"/>
  <c r="W580" i="39"/>
  <c r="O142" i="39"/>
  <c r="W142" i="39" s="1"/>
  <c r="L142" i="39" s="1"/>
  <c r="W124" i="39"/>
  <c r="L124" i="39" s="1"/>
  <c r="W562" i="39"/>
  <c r="L239" i="39"/>
  <c r="W239" i="39"/>
  <c r="O257" i="39"/>
  <c r="U543" i="39"/>
  <c r="U732" i="39" s="1"/>
  <c r="O543" i="39"/>
  <c r="V543" i="39"/>
  <c r="V732" i="39" s="1"/>
  <c r="T543" i="39"/>
  <c r="T732" i="39" s="1"/>
  <c r="R543" i="39"/>
  <c r="R615" i="39" s="1"/>
  <c r="R732" i="39" s="1"/>
  <c r="P543" i="39"/>
  <c r="P732" i="39" s="1"/>
  <c r="S543" i="39"/>
  <c r="S732" i="39" s="1"/>
  <c r="R616" i="39"/>
  <c r="R733" i="39" s="1"/>
  <c r="T232" i="39"/>
  <c r="T250" i="39" s="1"/>
  <c r="P232" i="39"/>
  <c r="P250" i="39" s="1"/>
  <c r="O232" i="39"/>
  <c r="S232" i="39"/>
  <c r="S250" i="39" s="1"/>
  <c r="R232" i="39"/>
  <c r="R250" i="39" s="1"/>
  <c r="O525" i="39"/>
  <c r="U525" i="39"/>
  <c r="U715" i="39" s="1"/>
  <c r="T525" i="39"/>
  <c r="T715" i="39" s="1"/>
  <c r="P525" i="39"/>
  <c r="P615" i="39" s="1"/>
  <c r="P715" i="39" s="1"/>
  <c r="R525" i="39"/>
  <c r="R715" i="39" s="1"/>
  <c r="V525" i="39"/>
  <c r="V715" i="39" s="1"/>
  <c r="S525" i="39"/>
  <c r="S715" i="39" s="1"/>
  <c r="V579" i="39"/>
  <c r="V766" i="39" s="1"/>
  <c r="T579" i="39"/>
  <c r="P579" i="39"/>
  <c r="R579" i="39"/>
  <c r="S579" i="39"/>
  <c r="U579" i="39"/>
  <c r="U766" i="39" s="1"/>
  <c r="O579" i="39"/>
  <c r="P220" i="19"/>
  <c r="R561" i="39"/>
  <c r="U561" i="39"/>
  <c r="U749" i="39" s="1"/>
  <c r="V561" i="39"/>
  <c r="V749" i="39" s="1"/>
  <c r="P561" i="39"/>
  <c r="O561" i="39"/>
  <c r="S561" i="39"/>
  <c r="S615" i="39" s="1"/>
  <c r="S749" i="39" s="1"/>
  <c r="T561" i="39"/>
  <c r="T749" i="39" s="1"/>
  <c r="W544" i="39"/>
  <c r="N133" i="11"/>
  <c r="N23" i="5" s="1"/>
  <c r="N24" i="5" s="1"/>
  <c r="M24" i="5" s="1"/>
  <c r="W118" i="11"/>
  <c r="N70" i="39"/>
  <c r="N85" i="39" s="1"/>
  <c r="T220" i="19"/>
  <c r="W526" i="39"/>
  <c r="S220" i="19"/>
  <c r="W258" i="39"/>
  <c r="V508" i="39"/>
  <c r="V699" i="39" s="1"/>
  <c r="U508" i="39"/>
  <c r="O508" i="39"/>
  <c r="S508" i="39"/>
  <c r="T508" i="39"/>
  <c r="P508" i="39"/>
  <c r="P699" i="39" s="1"/>
  <c r="R508" i="39"/>
  <c r="W335" i="5"/>
  <c r="W349" i="5" s="1"/>
  <c r="W102" i="19"/>
  <c r="R116" i="17"/>
  <c r="W559" i="5"/>
  <c r="V506" i="5"/>
  <c r="V592" i="5"/>
  <c r="R506" i="5"/>
  <c r="R592" i="5"/>
  <c r="W488" i="5"/>
  <c r="S506" i="5"/>
  <c r="S592" i="5"/>
  <c r="W600" i="5"/>
  <c r="R638" i="5"/>
  <c r="R41" i="18" s="1"/>
  <c r="T506" i="5"/>
  <c r="T592" i="5"/>
  <c r="M78" i="30"/>
  <c r="I5" i="11"/>
  <c r="K86" i="1" s="1"/>
  <c r="R558" i="5"/>
  <c r="W514" i="5"/>
  <c r="U506" i="5"/>
  <c r="U592" i="5"/>
  <c r="B171" i="11"/>
  <c r="B181" i="11" s="1"/>
  <c r="C91" i="30" s="1"/>
  <c r="R151" i="18"/>
  <c r="W133" i="18"/>
  <c r="W195" i="38"/>
  <c r="T158" i="17"/>
  <c r="T162" i="17" s="1"/>
  <c r="V40" i="20"/>
  <c r="AE37" i="21" s="1"/>
  <c r="V37" i="21" s="1"/>
  <c r="U134" i="18"/>
  <c r="U152" i="18" s="1"/>
  <c r="S139" i="18"/>
  <c r="S157" i="18" s="1"/>
  <c r="S136" i="18"/>
  <c r="S154" i="18" s="1"/>
  <c r="U135" i="18"/>
  <c r="U153" i="18" s="1"/>
  <c r="S143" i="18"/>
  <c r="S161" i="18" s="1"/>
  <c r="R143" i="18"/>
  <c r="R161" i="18" s="1"/>
  <c r="R132" i="18"/>
  <c r="R150" i="18" s="1"/>
  <c r="R135" i="18"/>
  <c r="R153" i="18" s="1"/>
  <c r="U132" i="18"/>
  <c r="U150" i="18" s="1"/>
  <c r="U136" i="18"/>
  <c r="U154" i="18" s="1"/>
  <c r="U137" i="18"/>
  <c r="U155" i="18" s="1"/>
  <c r="R136" i="18"/>
  <c r="R154" i="18" s="1"/>
  <c r="R162" i="18"/>
  <c r="R137" i="18"/>
  <c r="R155" i="18" s="1"/>
  <c r="U143" i="18"/>
  <c r="U161" i="18" s="1"/>
  <c r="S137" i="18"/>
  <c r="S155" i="18" s="1"/>
  <c r="U139" i="18"/>
  <c r="U157" i="18" s="1"/>
  <c r="U144" i="18"/>
  <c r="U162" i="18" s="1"/>
  <c r="S132" i="18"/>
  <c r="S150" i="18" s="1"/>
  <c r="S134" i="18"/>
  <c r="S152" i="18" s="1"/>
  <c r="S135" i="18"/>
  <c r="S153" i="18" s="1"/>
  <c r="R139" i="18"/>
  <c r="R157" i="18" s="1"/>
  <c r="R134" i="18"/>
  <c r="R152" i="18" s="1"/>
  <c r="U33" i="19"/>
  <c r="T34" i="19"/>
  <c r="V34" i="19"/>
  <c r="U34" i="19"/>
  <c r="U36" i="19"/>
  <c r="T36" i="19"/>
  <c r="R152" i="17" a="1"/>
  <c r="R152" i="17" s="1"/>
  <c r="W158" i="18"/>
  <c r="T369" i="18"/>
  <c r="R369" i="18"/>
  <c r="U369" i="18"/>
  <c r="V369" i="18"/>
  <c r="S369" i="18"/>
  <c r="T42" i="20"/>
  <c r="AC39" i="21" s="1"/>
  <c r="T39" i="21" s="1"/>
  <c r="C129" i="30"/>
  <c r="B525" i="5"/>
  <c r="C142" i="30" s="1"/>
  <c r="S155" i="17" a="1"/>
  <c r="S155" i="17" s="1"/>
  <c r="S42" i="20" s="1"/>
  <c r="AB39" i="21" s="1"/>
  <c r="S39" i="21" s="1"/>
  <c r="T41" i="20"/>
  <c r="AC38" i="21" s="1"/>
  <c r="T38" i="21" s="1"/>
  <c r="T40" i="20"/>
  <c r="AC37" i="21" s="1"/>
  <c r="T37" i="21" s="1"/>
  <c r="S160" i="17"/>
  <c r="S153" i="17" a="1"/>
  <c r="S153" i="17" s="1"/>
  <c r="S40" i="20" s="1"/>
  <c r="AB37" i="21" s="1"/>
  <c r="S37" i="21" s="1"/>
  <c r="S152" i="17" a="1"/>
  <c r="S152" i="17" s="1"/>
  <c r="S158" i="17" s="1"/>
  <c r="V42" i="20"/>
  <c r="AE39" i="21" s="1"/>
  <c r="V39" i="21" s="1"/>
  <c r="V39" i="20"/>
  <c r="AE36" i="21" s="1"/>
  <c r="V36" i="21" s="1"/>
  <c r="V41" i="20"/>
  <c r="AE38" i="21" s="1"/>
  <c r="V38" i="21" s="1"/>
  <c r="R153" i="17" a="1"/>
  <c r="R153" i="17" s="1"/>
  <c r="R155" i="17" a="1"/>
  <c r="R155" i="17" s="1"/>
  <c r="R154" i="17" a="1"/>
  <c r="R154" i="17" s="1"/>
  <c r="U35" i="19"/>
  <c r="T35" i="19"/>
  <c r="S162" i="18"/>
  <c r="V161" i="17"/>
  <c r="V160" i="17"/>
  <c r="V158" i="17"/>
  <c r="V41" i="18"/>
  <c r="V47" i="18"/>
  <c r="V144" i="18" s="1"/>
  <c r="V46" i="18"/>
  <c r="V143" i="18" s="1"/>
  <c r="V35" i="18"/>
  <c r="V132" i="18" s="1"/>
  <c r="V42" i="18"/>
  <c r="V39" i="18"/>
  <c r="V40" i="18"/>
  <c r="V37" i="18"/>
  <c r="V38" i="18"/>
  <c r="T46" i="18"/>
  <c r="T44" i="18"/>
  <c r="T38" i="18"/>
  <c r="T42" i="18"/>
  <c r="I4" i="11"/>
  <c r="J86" i="1" s="1"/>
  <c r="U162" i="17"/>
  <c r="T615" i="39" l="1"/>
  <c r="T766" i="39" s="1"/>
  <c r="U489" i="5"/>
  <c r="U503" i="5" s="1"/>
  <c r="S489" i="5"/>
  <c r="S507" i="5" s="1"/>
  <c r="S551" i="5" s="1"/>
  <c r="S108" i="17" s="1"/>
  <c r="S95" i="19" s="1"/>
  <c r="V489" i="5"/>
  <c r="V507" i="5" s="1"/>
  <c r="V551" i="5" s="1"/>
  <c r="V108" i="17" s="1"/>
  <c r="V95" i="19" s="1"/>
  <c r="U634" i="39"/>
  <c r="U241" i="19" s="1"/>
  <c r="U699" i="39"/>
  <c r="T634" i="39"/>
  <c r="T241" i="19" s="1"/>
  <c r="T699" i="39"/>
  <c r="S634" i="39"/>
  <c r="S241" i="19" s="1"/>
  <c r="S699" i="39"/>
  <c r="R634" i="39"/>
  <c r="R241" i="19" s="1"/>
  <c r="R699" i="39"/>
  <c r="L85" i="39"/>
  <c r="L206" i="30" s="1"/>
  <c r="W561" i="39"/>
  <c r="O536" i="39"/>
  <c r="P536" i="39"/>
  <c r="P725" i="39" s="1"/>
  <c r="R536" i="39"/>
  <c r="T536" i="39"/>
  <c r="T725" i="39" s="1"/>
  <c r="S536" i="39"/>
  <c r="S725" i="39" s="1"/>
  <c r="V536" i="39"/>
  <c r="V725" i="39" s="1"/>
  <c r="U536" i="39"/>
  <c r="U725" i="39" s="1"/>
  <c r="U507" i="39"/>
  <c r="U698" i="39" s="1"/>
  <c r="T507" i="39"/>
  <c r="T698" i="39" s="1"/>
  <c r="R507" i="39"/>
  <c r="R698" i="39" s="1"/>
  <c r="V507" i="39"/>
  <c r="V698" i="39" s="1"/>
  <c r="P507" i="39"/>
  <c r="P698" i="39" s="1"/>
  <c r="O507" i="39"/>
  <c r="W257" i="39"/>
  <c r="S507" i="39"/>
  <c r="S698" i="39" s="1"/>
  <c r="L257" i="39"/>
  <c r="O598" i="39"/>
  <c r="O616" i="39"/>
  <c r="O699" i="39" s="1"/>
  <c r="W508" i="39"/>
  <c r="O554" i="39"/>
  <c r="P554" i="39"/>
  <c r="S554" i="39"/>
  <c r="S608" i="39" s="1"/>
  <c r="S742" i="39" s="1"/>
  <c r="R554" i="39"/>
  <c r="U554" i="39"/>
  <c r="U742" i="39" s="1"/>
  <c r="V554" i="39"/>
  <c r="V742" i="39" s="1"/>
  <c r="T554" i="39"/>
  <c r="T742" i="39" s="1"/>
  <c r="R219" i="19"/>
  <c r="S219" i="19"/>
  <c r="W579" i="39"/>
  <c r="O250" i="39"/>
  <c r="W232" i="39"/>
  <c r="O518" i="39"/>
  <c r="R518" i="39"/>
  <c r="R708" i="39" s="1"/>
  <c r="V518" i="39"/>
  <c r="V708" i="39" s="1"/>
  <c r="T518" i="39"/>
  <c r="T708" i="39" s="1"/>
  <c r="S518" i="39"/>
  <c r="S708" i="39" s="1"/>
  <c r="P518" i="39"/>
  <c r="P608" i="39" s="1"/>
  <c r="P708" i="39" s="1"/>
  <c r="U518" i="39"/>
  <c r="U708" i="39" s="1"/>
  <c r="P219" i="19"/>
  <c r="U572" i="39"/>
  <c r="U759" i="39" s="1"/>
  <c r="S572" i="39"/>
  <c r="P572" i="39"/>
  <c r="V572" i="39"/>
  <c r="V759" i="39" s="1"/>
  <c r="T572" i="39"/>
  <c r="T608" i="39" s="1"/>
  <c r="T759" i="39" s="1"/>
  <c r="R572" i="39"/>
  <c r="O572" i="39"/>
  <c r="W543" i="39"/>
  <c r="R220" i="19"/>
  <c r="R652" i="39"/>
  <c r="R784" i="39" s="1"/>
  <c r="V598" i="39"/>
  <c r="V634" i="39"/>
  <c r="N26" i="5"/>
  <c r="P634" i="39"/>
  <c r="P598" i="39"/>
  <c r="W70" i="39"/>
  <c r="W133" i="11"/>
  <c r="R598" i="39"/>
  <c r="U598" i="39"/>
  <c r="S598" i="39"/>
  <c r="T219" i="19"/>
  <c r="W525" i="39"/>
  <c r="T598" i="39"/>
  <c r="R489" i="5"/>
  <c r="R503" i="5" s="1"/>
  <c r="T489" i="5"/>
  <c r="T503" i="5" s="1"/>
  <c r="R103" i="19"/>
  <c r="W103" i="19" s="1"/>
  <c r="W116" i="17"/>
  <c r="R630" i="5"/>
  <c r="W592" i="5"/>
  <c r="S550" i="5"/>
  <c r="T630" i="5"/>
  <c r="T33" i="18" s="1"/>
  <c r="U630" i="5"/>
  <c r="T550" i="5"/>
  <c r="R550" i="5"/>
  <c r="W506" i="5"/>
  <c r="U550" i="5"/>
  <c r="M115" i="30"/>
  <c r="S503" i="5"/>
  <c r="V630" i="5"/>
  <c r="V33" i="18" s="1"/>
  <c r="R115" i="17"/>
  <c r="W115" i="17" s="1"/>
  <c r="W558" i="5"/>
  <c r="S630" i="5"/>
  <c r="V550" i="5"/>
  <c r="B302" i="11"/>
  <c r="W151" i="18"/>
  <c r="R362" i="18"/>
  <c r="S362" i="18"/>
  <c r="V362" i="18"/>
  <c r="T362" i="18"/>
  <c r="U362" i="18"/>
  <c r="I4" i="38"/>
  <c r="T33" i="19"/>
  <c r="T37" i="19" s="1"/>
  <c r="T17" i="19" s="1"/>
  <c r="U37" i="19"/>
  <c r="U17" i="19" s="1"/>
  <c r="V431" i="18"/>
  <c r="V627" i="18" s="1"/>
  <c r="V923" i="18" s="1"/>
  <c r="S431" i="18"/>
  <c r="S627" i="18" s="1"/>
  <c r="T431" i="18"/>
  <c r="T627" i="18" s="1"/>
  <c r="R431" i="18"/>
  <c r="R627" i="18" s="1"/>
  <c r="U431" i="18"/>
  <c r="U473" i="18" s="1"/>
  <c r="U711" i="18" s="1"/>
  <c r="U364" i="18"/>
  <c r="U560" i="18" s="1"/>
  <c r="U859" i="18" s="1"/>
  <c r="V364" i="18"/>
  <c r="V560" i="18" s="1"/>
  <c r="V859" i="18" s="1"/>
  <c r="T364" i="18"/>
  <c r="T560" i="18" s="1"/>
  <c r="T859" i="18" s="1"/>
  <c r="S364" i="18"/>
  <c r="S560" i="18" s="1"/>
  <c r="S859" i="18" s="1"/>
  <c r="R364" i="18"/>
  <c r="R469" i="18" s="1"/>
  <c r="R707" i="18" s="1"/>
  <c r="R384" i="18"/>
  <c r="U384" i="18"/>
  <c r="U580" i="18" s="1"/>
  <c r="U878" i="18" s="1"/>
  <c r="T384" i="18"/>
  <c r="T580" i="18" s="1"/>
  <c r="T878" i="18" s="1"/>
  <c r="S384" i="18"/>
  <c r="S468" i="18" s="1"/>
  <c r="S706" i="18" s="1"/>
  <c r="V384" i="18"/>
  <c r="V580" i="18" s="1"/>
  <c r="V878" i="18" s="1"/>
  <c r="V387" i="18"/>
  <c r="V583" i="18" s="1"/>
  <c r="V881" i="18" s="1"/>
  <c r="R387" i="18"/>
  <c r="U387" i="18"/>
  <c r="U583" i="18" s="1"/>
  <c r="U881" i="18" s="1"/>
  <c r="S387" i="18"/>
  <c r="S471" i="18" s="1"/>
  <c r="S709" i="18" s="1"/>
  <c r="T387" i="18"/>
  <c r="T583" i="18" s="1"/>
  <c r="T881" i="18" s="1"/>
  <c r="U365" i="18"/>
  <c r="U561" i="18" s="1"/>
  <c r="U860" i="18" s="1"/>
  <c r="T365" i="18"/>
  <c r="T561" i="18" s="1"/>
  <c r="T860" i="18" s="1"/>
  <c r="V365" i="18"/>
  <c r="V561" i="18" s="1"/>
  <c r="V860" i="18" s="1"/>
  <c r="S365" i="18"/>
  <c r="S491" i="18" s="1"/>
  <c r="R365" i="18"/>
  <c r="R470" i="18" s="1"/>
  <c r="R708" i="18" s="1"/>
  <c r="T361" i="18"/>
  <c r="T557" i="18" s="1"/>
  <c r="T856" i="18" s="1"/>
  <c r="V361" i="18"/>
  <c r="V557" i="18" s="1"/>
  <c r="V856" i="18" s="1"/>
  <c r="R361" i="18"/>
  <c r="R466" i="18" s="1"/>
  <c r="R704" i="18" s="1"/>
  <c r="S361" i="18"/>
  <c r="S487" i="18" s="1"/>
  <c r="U361" i="18"/>
  <c r="U557" i="18" s="1"/>
  <c r="U856" i="18" s="1"/>
  <c r="T386" i="18"/>
  <c r="T582" i="18" s="1"/>
  <c r="T880" i="18" s="1"/>
  <c r="R386" i="18"/>
  <c r="V386" i="18"/>
  <c r="V582" i="18" s="1"/>
  <c r="V880" i="18" s="1"/>
  <c r="S386" i="18"/>
  <c r="S470" i="18" s="1"/>
  <c r="S708" i="18" s="1"/>
  <c r="U386" i="18"/>
  <c r="U582" i="18" s="1"/>
  <c r="U880" i="18" s="1"/>
  <c r="T373" i="18"/>
  <c r="T569" i="18" s="1"/>
  <c r="T868" i="18" s="1"/>
  <c r="R373" i="18"/>
  <c r="R478" i="18" s="1"/>
  <c r="R716" i="18" s="1"/>
  <c r="S373" i="18"/>
  <c r="S499" i="18" s="1"/>
  <c r="U373" i="18"/>
  <c r="U569" i="18" s="1"/>
  <c r="U868" i="18" s="1"/>
  <c r="V373" i="18"/>
  <c r="V569" i="18" s="1"/>
  <c r="V868" i="18" s="1"/>
  <c r="V428" i="18"/>
  <c r="V624" i="18" s="1"/>
  <c r="V920" i="18" s="1"/>
  <c r="U428" i="18"/>
  <c r="U470" i="18" s="1"/>
  <c r="U666" i="18" s="1"/>
  <c r="S428" i="18"/>
  <c r="S624" i="18" s="1"/>
  <c r="T428" i="18"/>
  <c r="T624" i="18" s="1"/>
  <c r="R428" i="18"/>
  <c r="R624" i="18" s="1"/>
  <c r="S363" i="18"/>
  <c r="S489" i="18" s="1"/>
  <c r="U363" i="18"/>
  <c r="U559" i="18" s="1"/>
  <c r="U858" i="18" s="1"/>
  <c r="R363" i="18"/>
  <c r="R468" i="18" s="1"/>
  <c r="R706" i="18" s="1"/>
  <c r="V363" i="18"/>
  <c r="V559" i="18" s="1"/>
  <c r="V858" i="18" s="1"/>
  <c r="T363" i="18"/>
  <c r="T559" i="18" s="1"/>
  <c r="T858" i="18" s="1"/>
  <c r="S382" i="18"/>
  <c r="T382" i="18"/>
  <c r="T578" i="18" s="1"/>
  <c r="T876" i="18" s="1"/>
  <c r="U382" i="18"/>
  <c r="U578" i="18" s="1"/>
  <c r="U876" i="18" s="1"/>
  <c r="R382" i="18"/>
  <c r="V382" i="18"/>
  <c r="V578" i="18" s="1"/>
  <c r="V876" i="18" s="1"/>
  <c r="S435" i="18"/>
  <c r="S631" i="18" s="1"/>
  <c r="T435" i="18"/>
  <c r="T631" i="18" s="1"/>
  <c r="V435" i="18"/>
  <c r="V631" i="18" s="1"/>
  <c r="V927" i="18" s="1"/>
  <c r="R435" i="18"/>
  <c r="R631" i="18" s="1"/>
  <c r="U435" i="18"/>
  <c r="U477" i="18" s="1"/>
  <c r="U715" i="18" s="1"/>
  <c r="U424" i="18"/>
  <c r="U466" i="18" s="1"/>
  <c r="U662" i="18" s="1"/>
  <c r="T424" i="18"/>
  <c r="T620" i="18" s="1"/>
  <c r="S424" i="18"/>
  <c r="S620" i="18" s="1"/>
  <c r="R424" i="18"/>
  <c r="R620" i="18" s="1"/>
  <c r="V424" i="18"/>
  <c r="V620" i="18" s="1"/>
  <c r="V916" i="18" s="1"/>
  <c r="R372" i="18"/>
  <c r="R477" i="18" s="1"/>
  <c r="R715" i="18" s="1"/>
  <c r="V372" i="18"/>
  <c r="V568" i="18" s="1"/>
  <c r="V867" i="18" s="1"/>
  <c r="T372" i="18"/>
  <c r="T568" i="18" s="1"/>
  <c r="T867" i="18" s="1"/>
  <c r="U372" i="18"/>
  <c r="U568" i="18" s="1"/>
  <c r="U867" i="18" s="1"/>
  <c r="S372" i="18"/>
  <c r="S498" i="18" s="1"/>
  <c r="S389" i="18"/>
  <c r="S473" i="18" s="1"/>
  <c r="S711" i="18" s="1"/>
  <c r="V389" i="18"/>
  <c r="V585" i="18" s="1"/>
  <c r="V883" i="18" s="1"/>
  <c r="T389" i="18"/>
  <c r="T585" i="18" s="1"/>
  <c r="T883" i="18" s="1"/>
  <c r="U389" i="18"/>
  <c r="U585" i="18" s="1"/>
  <c r="U883" i="18" s="1"/>
  <c r="R389" i="18"/>
  <c r="S385" i="18"/>
  <c r="S469" i="18" s="1"/>
  <c r="S707" i="18" s="1"/>
  <c r="V385" i="18"/>
  <c r="V581" i="18" s="1"/>
  <c r="V879" i="18" s="1"/>
  <c r="T385" i="18"/>
  <c r="T581" i="18" s="1"/>
  <c r="T879" i="18" s="1"/>
  <c r="U385" i="18"/>
  <c r="U581" i="18" s="1"/>
  <c r="U879" i="18" s="1"/>
  <c r="R385" i="18"/>
  <c r="S427" i="18"/>
  <c r="S623" i="18" s="1"/>
  <c r="R427" i="18"/>
  <c r="R623" i="18" s="1"/>
  <c r="U427" i="18"/>
  <c r="U469" i="18" s="1"/>
  <c r="U707" i="18" s="1"/>
  <c r="V427" i="18"/>
  <c r="V623" i="18" s="1"/>
  <c r="V919" i="18" s="1"/>
  <c r="T427" i="18"/>
  <c r="T623" i="18" s="1"/>
  <c r="T368" i="18"/>
  <c r="T564" i="18" s="1"/>
  <c r="T863" i="18" s="1"/>
  <c r="U368" i="18"/>
  <c r="U564" i="18" s="1"/>
  <c r="U863" i="18" s="1"/>
  <c r="V368" i="18"/>
  <c r="V564" i="18" s="1"/>
  <c r="V863" i="18" s="1"/>
  <c r="R368" i="18"/>
  <c r="R473" i="18" s="1"/>
  <c r="R711" i="18" s="1"/>
  <c r="S368" i="18"/>
  <c r="S494" i="18" s="1"/>
  <c r="V436" i="18"/>
  <c r="V632" i="18" s="1"/>
  <c r="V928" i="18" s="1"/>
  <c r="S436" i="18"/>
  <c r="S632" i="18" s="1"/>
  <c r="R436" i="18"/>
  <c r="R632" i="18" s="1"/>
  <c r="T436" i="18"/>
  <c r="T632" i="18" s="1"/>
  <c r="U436" i="18"/>
  <c r="U478" i="18" s="1"/>
  <c r="U674" i="18" s="1"/>
  <c r="U366" i="18"/>
  <c r="U562" i="18" s="1"/>
  <c r="U861" i="18" s="1"/>
  <c r="T366" i="18"/>
  <c r="T562" i="18" s="1"/>
  <c r="T861" i="18" s="1"/>
  <c r="S366" i="18"/>
  <c r="S492" i="18" s="1"/>
  <c r="R366" i="18"/>
  <c r="R471" i="18" s="1"/>
  <c r="R709" i="18" s="1"/>
  <c r="V366" i="18"/>
  <c r="V562" i="18" s="1"/>
  <c r="V861" i="18" s="1"/>
  <c r="V429" i="18"/>
  <c r="V625" i="18" s="1"/>
  <c r="V921" i="18" s="1"/>
  <c r="R429" i="18"/>
  <c r="R625" i="18" s="1"/>
  <c r="S429" i="18"/>
  <c r="S625" i="18" s="1"/>
  <c r="T429" i="18"/>
  <c r="T625" i="18" s="1"/>
  <c r="U429" i="18"/>
  <c r="U471" i="18" s="1"/>
  <c r="U709" i="18" s="1"/>
  <c r="R393" i="18"/>
  <c r="T393" i="18"/>
  <c r="T589" i="18" s="1"/>
  <c r="T887" i="18" s="1"/>
  <c r="U393" i="18"/>
  <c r="U589" i="18" s="1"/>
  <c r="U887" i="18" s="1"/>
  <c r="V393" i="18"/>
  <c r="V589" i="18" s="1"/>
  <c r="V887" i="18" s="1"/>
  <c r="S393" i="18"/>
  <c r="S477" i="18" s="1"/>
  <c r="S715" i="18" s="1"/>
  <c r="U426" i="18"/>
  <c r="U468" i="18" s="1"/>
  <c r="U706" i="18" s="1"/>
  <c r="S426" i="18"/>
  <c r="S622" i="18" s="1"/>
  <c r="T426" i="18"/>
  <c r="T622" i="18" s="1"/>
  <c r="V426" i="18"/>
  <c r="V622" i="18" s="1"/>
  <c r="V918" i="18" s="1"/>
  <c r="R426" i="18"/>
  <c r="R622" i="18" s="1"/>
  <c r="T143" i="18"/>
  <c r="T161" i="18" s="1"/>
  <c r="T139" i="18"/>
  <c r="T157" i="18" s="1"/>
  <c r="V135" i="18"/>
  <c r="V153" i="18" s="1"/>
  <c r="V469" i="18" s="1"/>
  <c r="T135" i="18"/>
  <c r="T153" i="18" s="1"/>
  <c r="V136" i="18"/>
  <c r="V154" i="18" s="1"/>
  <c r="V470" i="18" s="1"/>
  <c r="V137" i="18"/>
  <c r="V155" i="18" s="1"/>
  <c r="V471" i="18" s="1"/>
  <c r="V134" i="18"/>
  <c r="V152" i="18" s="1"/>
  <c r="V468" i="18" s="1"/>
  <c r="V139" i="18"/>
  <c r="V157" i="18" s="1"/>
  <c r="V473" i="18" s="1"/>
  <c r="S35" i="19"/>
  <c r="V33" i="19"/>
  <c r="V36" i="19"/>
  <c r="R33" i="19"/>
  <c r="Q39" i="20"/>
  <c r="Z36" i="21" s="1"/>
  <c r="Q36" i="21" s="1"/>
  <c r="R39" i="20"/>
  <c r="AA36" i="21" s="1"/>
  <c r="R36" i="21" s="1"/>
  <c r="R158" i="17"/>
  <c r="W158" i="17" s="1"/>
  <c r="Q33" i="19"/>
  <c r="Q41" i="20"/>
  <c r="Z38" i="21" s="1"/>
  <c r="Q38" i="21" s="1"/>
  <c r="R35" i="19"/>
  <c r="Q35" i="19"/>
  <c r="Q42" i="20"/>
  <c r="Z39" i="21" s="1"/>
  <c r="Q39" i="21" s="1"/>
  <c r="R36" i="19"/>
  <c r="Q36" i="19"/>
  <c r="Q40" i="20"/>
  <c r="Z37" i="21" s="1"/>
  <c r="Q37" i="21" s="1"/>
  <c r="R34" i="19"/>
  <c r="Q34" i="19"/>
  <c r="U565" i="18"/>
  <c r="U864" i="18" s="1"/>
  <c r="U495" i="18"/>
  <c r="U453" i="18"/>
  <c r="R474" i="18"/>
  <c r="W369" i="18"/>
  <c r="L369" i="18" s="1"/>
  <c r="R453" i="18"/>
  <c r="S495" i="18"/>
  <c r="S453" i="18"/>
  <c r="S565" i="18"/>
  <c r="T565" i="18"/>
  <c r="T864" i="18" s="1"/>
  <c r="T453" i="18"/>
  <c r="T495" i="18"/>
  <c r="V565" i="18"/>
  <c r="V864" i="18" s="1"/>
  <c r="V495" i="18"/>
  <c r="V453" i="18"/>
  <c r="S394" i="18"/>
  <c r="U394" i="18"/>
  <c r="U590" i="18" s="1"/>
  <c r="U888" i="18" s="1"/>
  <c r="V394" i="18"/>
  <c r="V590" i="18" s="1"/>
  <c r="V888" i="18" s="1"/>
  <c r="T394" i="18"/>
  <c r="R394" i="18"/>
  <c r="S161" i="17"/>
  <c r="S159" i="17"/>
  <c r="S39" i="20"/>
  <c r="AB36" i="21" s="1"/>
  <c r="S36" i="21" s="1"/>
  <c r="R42" i="20"/>
  <c r="AA39" i="21" s="1"/>
  <c r="R39" i="21" s="1"/>
  <c r="R159" i="17"/>
  <c r="R160" i="17"/>
  <c r="R40" i="20"/>
  <c r="AA37" i="21" s="1"/>
  <c r="R37" i="21" s="1"/>
  <c r="R161" i="17"/>
  <c r="R41" i="20"/>
  <c r="AA38" i="21" s="1"/>
  <c r="R38" i="21" s="1"/>
  <c r="V35" i="19"/>
  <c r="V161" i="18"/>
  <c r="V477" i="18" s="1"/>
  <c r="V150" i="18"/>
  <c r="V466" i="18" s="1"/>
  <c r="V162" i="18"/>
  <c r="V478" i="18" s="1"/>
  <c r="V162" i="17"/>
  <c r="W642" i="5"/>
  <c r="T45" i="18"/>
  <c r="W638" i="5"/>
  <c r="T41" i="18"/>
  <c r="W644" i="5"/>
  <c r="T47" i="18"/>
  <c r="W637" i="5"/>
  <c r="T40" i="18"/>
  <c r="W643" i="5"/>
  <c r="W639" i="5"/>
  <c r="W46" i="18"/>
  <c r="W42" i="18"/>
  <c r="W632" i="5"/>
  <c r="T35" i="18"/>
  <c r="W636" i="5"/>
  <c r="T39" i="18"/>
  <c r="W634" i="5"/>
  <c r="T37" i="18"/>
  <c r="W641" i="5"/>
  <c r="V44" i="18"/>
  <c r="W635" i="5"/>
  <c r="W38" i="18"/>
  <c r="S33" i="19"/>
  <c r="N299" i="5" l="1"/>
  <c r="U305" i="5" s="1"/>
  <c r="M26" i="5"/>
  <c r="U593" i="5"/>
  <c r="U631" i="5" s="1"/>
  <c r="U34" i="18" s="1"/>
  <c r="U131" i="18" s="1"/>
  <c r="U149" i="18" s="1"/>
  <c r="V423" i="18" s="1"/>
  <c r="V619" i="18" s="1"/>
  <c r="V915" i="18" s="1"/>
  <c r="S593" i="5"/>
  <c r="S631" i="5" s="1"/>
  <c r="S34" i="18" s="1"/>
  <c r="S131" i="18" s="1"/>
  <c r="S149" i="18" s="1"/>
  <c r="U381" i="18" s="1"/>
  <c r="U577" i="18" s="1"/>
  <c r="U875" i="18" s="1"/>
  <c r="U507" i="5"/>
  <c r="U551" i="5" s="1"/>
  <c r="U108" i="17" s="1"/>
  <c r="U95" i="19" s="1"/>
  <c r="V593" i="5"/>
  <c r="V631" i="5" s="1"/>
  <c r="V34" i="18" s="1"/>
  <c r="V131" i="18" s="1"/>
  <c r="V149" i="18" s="1"/>
  <c r="V465" i="18" s="1"/>
  <c r="V661" i="18" s="1"/>
  <c r="V503" i="5"/>
  <c r="U652" i="39"/>
  <c r="U784" i="39" s="1"/>
  <c r="S652" i="39"/>
  <c r="S784" i="39" s="1"/>
  <c r="T652" i="39"/>
  <c r="T784" i="39" s="1"/>
  <c r="N300" i="5"/>
  <c r="S306" i="5" s="1"/>
  <c r="S325" i="5" s="1"/>
  <c r="N301" i="5"/>
  <c r="R307" i="5" s="1"/>
  <c r="R593" i="5"/>
  <c r="R607" i="5" s="1"/>
  <c r="R619" i="5" s="1"/>
  <c r="R507" i="5"/>
  <c r="R521" i="5" s="1"/>
  <c r="M116" i="30"/>
  <c r="T593" i="5"/>
  <c r="T507" i="5"/>
  <c r="T551" i="5" s="1"/>
  <c r="T108" i="17" s="1"/>
  <c r="T95" i="19" s="1"/>
  <c r="W572" i="39"/>
  <c r="V652" i="39"/>
  <c r="V784" i="39" s="1"/>
  <c r="V241" i="19"/>
  <c r="S597" i="39"/>
  <c r="S633" i="39"/>
  <c r="W518" i="39"/>
  <c r="S212" i="19"/>
  <c r="T212" i="19"/>
  <c r="O615" i="39"/>
  <c r="O698" i="39" s="1"/>
  <c r="W507" i="39"/>
  <c r="O597" i="39"/>
  <c r="W554" i="39"/>
  <c r="P597" i="39"/>
  <c r="P633" i="39"/>
  <c r="W489" i="5"/>
  <c r="W85" i="39"/>
  <c r="N180" i="39"/>
  <c r="S123" i="39"/>
  <c r="O123" i="39"/>
  <c r="R123" i="39"/>
  <c r="P123" i="39"/>
  <c r="T123" i="39"/>
  <c r="P212" i="19"/>
  <c r="W250" i="39"/>
  <c r="U500" i="39"/>
  <c r="T500" i="39"/>
  <c r="R500" i="39"/>
  <c r="O500" i="39"/>
  <c r="V500" i="39"/>
  <c r="V691" i="39" s="1"/>
  <c r="P500" i="39"/>
  <c r="P691" i="39" s="1"/>
  <c r="S500" i="39"/>
  <c r="V597" i="39"/>
  <c r="V633" i="39"/>
  <c r="R608" i="39"/>
  <c r="R725" i="39" s="1"/>
  <c r="O220" i="19"/>
  <c r="O652" i="39"/>
  <c r="O784" i="39" s="1"/>
  <c r="W616" i="39"/>
  <c r="R633" i="39"/>
  <c r="R597" i="39"/>
  <c r="P241" i="19"/>
  <c r="W634" i="39"/>
  <c r="P652" i="39"/>
  <c r="P784" i="39" s="1"/>
  <c r="W598" i="39"/>
  <c r="T633" i="39"/>
  <c r="T597" i="39"/>
  <c r="W536" i="39"/>
  <c r="U597" i="39"/>
  <c r="U633" i="39"/>
  <c r="W630" i="5"/>
  <c r="V521" i="5"/>
  <c r="U521" i="5"/>
  <c r="R33" i="18"/>
  <c r="R107" i="17"/>
  <c r="U107" i="17"/>
  <c r="U33" i="18"/>
  <c r="V107" i="17"/>
  <c r="V565" i="5"/>
  <c r="V616" i="5" s="1"/>
  <c r="S607" i="5"/>
  <c r="S619" i="5" s="1"/>
  <c r="S521" i="5"/>
  <c r="S33" i="18"/>
  <c r="T107" i="17"/>
  <c r="W550" i="5"/>
  <c r="S107" i="17"/>
  <c r="S565" i="5"/>
  <c r="S616" i="5" s="1"/>
  <c r="U607" i="5"/>
  <c r="U619" i="5" s="1"/>
  <c r="B314" i="11"/>
  <c r="B331" i="11" s="1"/>
  <c r="C95" i="30"/>
  <c r="U45" i="36"/>
  <c r="T45" i="36"/>
  <c r="T558" i="18"/>
  <c r="T446" i="18"/>
  <c r="T488" i="18"/>
  <c r="V558" i="18"/>
  <c r="V488" i="18"/>
  <c r="V446" i="18"/>
  <c r="S558" i="18"/>
  <c r="S488" i="18"/>
  <c r="S446" i="18"/>
  <c r="U558" i="18"/>
  <c r="U488" i="18"/>
  <c r="U446" i="18"/>
  <c r="R446" i="18"/>
  <c r="R467" i="18"/>
  <c r="W362" i="18"/>
  <c r="L362" i="18" s="1"/>
  <c r="S490" i="18"/>
  <c r="S644" i="18" s="1"/>
  <c r="T498" i="18"/>
  <c r="S557" i="18"/>
  <c r="S856" i="18" s="1"/>
  <c r="S568" i="18"/>
  <c r="S867" i="18" s="1"/>
  <c r="S559" i="18"/>
  <c r="S858" i="18" s="1"/>
  <c r="S569" i="18"/>
  <c r="S868" i="18" s="1"/>
  <c r="T489" i="18"/>
  <c r="T487" i="18"/>
  <c r="W364" i="18"/>
  <c r="L364" i="18" s="1"/>
  <c r="W625" i="18"/>
  <c r="W632" i="18"/>
  <c r="W623" i="18"/>
  <c r="W620" i="18"/>
  <c r="W631" i="18"/>
  <c r="W624" i="18"/>
  <c r="W627" i="18"/>
  <c r="W33" i="19"/>
  <c r="W384" i="18"/>
  <c r="L384" i="18" s="1"/>
  <c r="W435" i="18"/>
  <c r="L435" i="18" s="1"/>
  <c r="W431" i="18"/>
  <c r="L431" i="18" s="1"/>
  <c r="W589" i="18"/>
  <c r="W382" i="18"/>
  <c r="L382" i="18" s="1"/>
  <c r="W139" i="18"/>
  <c r="W582" i="18"/>
  <c r="W622" i="18"/>
  <c r="W389" i="18"/>
  <c r="L389" i="18" s="1"/>
  <c r="W386" i="18"/>
  <c r="L386" i="18" s="1"/>
  <c r="S466" i="18"/>
  <c r="S704" i="18" s="1"/>
  <c r="S167" i="19" s="1"/>
  <c r="W373" i="18"/>
  <c r="L373" i="18" s="1"/>
  <c r="R414" i="18"/>
  <c r="R456" i="18" s="1"/>
  <c r="T414" i="18"/>
  <c r="S414" i="18"/>
  <c r="S456" i="18" s="1"/>
  <c r="U414" i="18"/>
  <c r="U610" i="18" s="1"/>
  <c r="U907" i="18" s="1"/>
  <c r="V414" i="18"/>
  <c r="V498" i="18" s="1"/>
  <c r="T410" i="18"/>
  <c r="T452" i="18" s="1"/>
  <c r="R410" i="18"/>
  <c r="S410" i="18"/>
  <c r="S452" i="18" s="1"/>
  <c r="U410" i="18"/>
  <c r="U606" i="18" s="1"/>
  <c r="U903" i="18" s="1"/>
  <c r="V410" i="18"/>
  <c r="V494" i="18" s="1"/>
  <c r="W157" i="18"/>
  <c r="T406" i="18"/>
  <c r="T469" i="18" s="1"/>
  <c r="W469" i="18" s="1"/>
  <c r="R406" i="18"/>
  <c r="R448" i="18" s="1"/>
  <c r="V406" i="18"/>
  <c r="V602" i="18" s="1"/>
  <c r="V899" i="18" s="1"/>
  <c r="W153" i="18"/>
  <c r="S406" i="18"/>
  <c r="U406" i="18"/>
  <c r="U602" i="18" s="1"/>
  <c r="U899" i="18" s="1"/>
  <c r="W387" i="18"/>
  <c r="L387" i="18" s="1"/>
  <c r="W427" i="18"/>
  <c r="L427" i="18" s="1"/>
  <c r="W361" i="18"/>
  <c r="L361" i="18" s="1"/>
  <c r="T134" i="18"/>
  <c r="T152" i="18" s="1"/>
  <c r="T132" i="18"/>
  <c r="T150" i="18" s="1"/>
  <c r="W428" i="18"/>
  <c r="L428" i="18" s="1"/>
  <c r="W393" i="18"/>
  <c r="L393" i="18" s="1"/>
  <c r="W424" i="18"/>
  <c r="L424" i="18" s="1"/>
  <c r="T491" i="18"/>
  <c r="S564" i="18"/>
  <c r="W564" i="18" s="1"/>
  <c r="W580" i="18"/>
  <c r="W581" i="18"/>
  <c r="T144" i="18"/>
  <c r="T162" i="18" s="1"/>
  <c r="W429" i="18"/>
  <c r="L429" i="18" s="1"/>
  <c r="T137" i="18"/>
  <c r="T155" i="18" s="1"/>
  <c r="W426" i="18"/>
  <c r="L426" i="18" s="1"/>
  <c r="S562" i="18"/>
  <c r="S861" i="18" s="1"/>
  <c r="W585" i="18"/>
  <c r="W385" i="18"/>
  <c r="L385" i="18" s="1"/>
  <c r="W41" i="18"/>
  <c r="T138" i="18" s="1"/>
  <c r="T156" i="18" s="1"/>
  <c r="T494" i="18"/>
  <c r="T490" i="18"/>
  <c r="T644" i="18" s="1"/>
  <c r="S561" i="18"/>
  <c r="S860" i="18" s="1"/>
  <c r="W583" i="18"/>
  <c r="W436" i="18"/>
  <c r="L436" i="18" s="1"/>
  <c r="W44" i="18"/>
  <c r="V141" i="18" s="1"/>
  <c r="V159" i="18" s="1"/>
  <c r="V475" i="18" s="1"/>
  <c r="T136" i="18"/>
  <c r="T154" i="18" s="1"/>
  <c r="W363" i="18"/>
  <c r="L363" i="18" s="1"/>
  <c r="W366" i="18"/>
  <c r="L366" i="18" s="1"/>
  <c r="W135" i="18"/>
  <c r="T492" i="18"/>
  <c r="W578" i="18"/>
  <c r="U916" i="18"/>
  <c r="U172" i="19"/>
  <c r="S34" i="19"/>
  <c r="W34" i="19" s="1"/>
  <c r="U920" i="18"/>
  <c r="U928" i="18"/>
  <c r="S36" i="19"/>
  <c r="W35" i="19"/>
  <c r="Q37" i="19"/>
  <c r="Q17" i="19" s="1"/>
  <c r="R712" i="18"/>
  <c r="W474" i="18"/>
  <c r="R670" i="18"/>
  <c r="S691" i="18"/>
  <c r="W495" i="18"/>
  <c r="S649" i="18"/>
  <c r="T649" i="18"/>
  <c r="T691" i="18"/>
  <c r="V649" i="18"/>
  <c r="V691" i="18"/>
  <c r="W453" i="18"/>
  <c r="U691" i="18"/>
  <c r="U649" i="18"/>
  <c r="W565" i="18"/>
  <c r="S864" i="18"/>
  <c r="S162" i="17"/>
  <c r="R669" i="18"/>
  <c r="S665" i="18"/>
  <c r="U665" i="18"/>
  <c r="S666" i="18"/>
  <c r="U716" i="18"/>
  <c r="R662" i="18"/>
  <c r="U673" i="18"/>
  <c r="U669" i="18"/>
  <c r="U664" i="18"/>
  <c r="U708" i="18"/>
  <c r="S669" i="18"/>
  <c r="U667" i="18"/>
  <c r="R666" i="18"/>
  <c r="R673" i="18"/>
  <c r="S664" i="18"/>
  <c r="U704" i="18"/>
  <c r="S667" i="18"/>
  <c r="S478" i="18"/>
  <c r="S674" i="18" s="1"/>
  <c r="T499" i="18"/>
  <c r="T590" i="18"/>
  <c r="T888" i="18" s="1"/>
  <c r="S673" i="18"/>
  <c r="R665" i="18"/>
  <c r="R664" i="18"/>
  <c r="R674" i="18"/>
  <c r="W560" i="18"/>
  <c r="R667" i="18"/>
  <c r="V716" i="18"/>
  <c r="V674" i="18"/>
  <c r="V715" i="18"/>
  <c r="V673" i="18"/>
  <c r="V704" i="18"/>
  <c r="V662" i="18"/>
  <c r="V707" i="18"/>
  <c r="V665" i="18"/>
  <c r="V711" i="18"/>
  <c r="V669" i="18"/>
  <c r="V709" i="18"/>
  <c r="V667" i="18"/>
  <c r="V666" i="18"/>
  <c r="V708" i="18"/>
  <c r="V706" i="18"/>
  <c r="V664" i="18"/>
  <c r="W160" i="17"/>
  <c r="W159" i="17"/>
  <c r="W161" i="17"/>
  <c r="R162" i="17"/>
  <c r="S170" i="19"/>
  <c r="V37" i="19"/>
  <c r="V17" i="19" s="1"/>
  <c r="R37" i="19"/>
  <c r="W394" i="18"/>
  <c r="L394" i="18" s="1"/>
  <c r="W161" i="18"/>
  <c r="W143" i="18"/>
  <c r="U170" i="19"/>
  <c r="R167" i="19"/>
  <c r="R179" i="19"/>
  <c r="S169" i="19"/>
  <c r="U125" i="19"/>
  <c r="R170" i="19"/>
  <c r="U174" i="19"/>
  <c r="U169" i="19"/>
  <c r="S171" i="19"/>
  <c r="S174" i="19"/>
  <c r="U121" i="19"/>
  <c r="U133" i="19"/>
  <c r="S172" i="19"/>
  <c r="W365" i="18"/>
  <c r="L365" i="18" s="1"/>
  <c r="W368" i="18"/>
  <c r="L368" i="18" s="1"/>
  <c r="W37" i="18"/>
  <c r="W35" i="18"/>
  <c r="W47" i="18"/>
  <c r="W45" i="18"/>
  <c r="W372" i="18"/>
  <c r="L372" i="18" s="1"/>
  <c r="W39" i="18"/>
  <c r="W40" i="18"/>
  <c r="S423" i="18" l="1"/>
  <c r="S619" i="18" s="1"/>
  <c r="R305" i="5"/>
  <c r="R324" i="5" s="1"/>
  <c r="V305" i="5"/>
  <c r="S305" i="5"/>
  <c r="T305" i="5"/>
  <c r="U565" i="5"/>
  <c r="U616" i="5" s="1"/>
  <c r="R423" i="18"/>
  <c r="R619" i="18" s="1"/>
  <c r="T423" i="18"/>
  <c r="T619" i="18" s="1"/>
  <c r="U423" i="18"/>
  <c r="U465" i="18" s="1"/>
  <c r="U661" i="18" s="1"/>
  <c r="U915" i="18" s="1"/>
  <c r="S381" i="18"/>
  <c r="S465" i="18" s="1"/>
  <c r="S703" i="18" s="1"/>
  <c r="S166" i="19" s="1"/>
  <c r="T381" i="18"/>
  <c r="T577" i="18" s="1"/>
  <c r="T875" i="18" s="1"/>
  <c r="R381" i="18"/>
  <c r="V381" i="18"/>
  <c r="V577" i="18" s="1"/>
  <c r="V875" i="18" s="1"/>
  <c r="V607" i="5"/>
  <c r="V619" i="5" s="1"/>
  <c r="V307" i="5"/>
  <c r="V326" i="5" s="1"/>
  <c r="V612" i="5" s="1"/>
  <c r="V306" i="5"/>
  <c r="V325" i="5" s="1"/>
  <c r="V569" i="5" s="1"/>
  <c r="V123" i="17" s="1"/>
  <c r="V110" i="19" s="1"/>
  <c r="R306" i="5"/>
  <c r="R325" i="5" s="1"/>
  <c r="N302" i="5"/>
  <c r="L302" i="5" s="1"/>
  <c r="L131" i="30" s="1"/>
  <c r="T306" i="5"/>
  <c r="T325" i="5" s="1"/>
  <c r="T569" i="5" s="1"/>
  <c r="T123" i="17" s="1"/>
  <c r="T110" i="19" s="1"/>
  <c r="U306" i="5"/>
  <c r="U325" i="5" s="1"/>
  <c r="U569" i="5" s="1"/>
  <c r="U123" i="17" s="1"/>
  <c r="U110" i="19" s="1"/>
  <c r="R551" i="5"/>
  <c r="R565" i="5" s="1"/>
  <c r="R616" i="5" s="1"/>
  <c r="U307" i="5"/>
  <c r="U326" i="5" s="1"/>
  <c r="U612" i="5" s="1"/>
  <c r="T307" i="5"/>
  <c r="T326" i="5" s="1"/>
  <c r="T612" i="5" s="1"/>
  <c r="S307" i="5"/>
  <c r="S326" i="5" s="1"/>
  <c r="S612" i="5" s="1"/>
  <c r="W593" i="5"/>
  <c r="W607" i="5" s="1"/>
  <c r="R631" i="5"/>
  <c r="R34" i="18" s="1"/>
  <c r="U626" i="39"/>
  <c r="U233" i="19" s="1"/>
  <c r="U691" i="39"/>
  <c r="W507" i="5"/>
  <c r="W521" i="5" s="1"/>
  <c r="L140" i="30" s="1"/>
  <c r="T565" i="5"/>
  <c r="T616" i="5" s="1"/>
  <c r="T521" i="5"/>
  <c r="T626" i="39"/>
  <c r="T233" i="19" s="1"/>
  <c r="T691" i="39"/>
  <c r="S626" i="39"/>
  <c r="S233" i="19" s="1"/>
  <c r="S691" i="39"/>
  <c r="R626" i="39"/>
  <c r="R233" i="19" s="1"/>
  <c r="R691" i="39"/>
  <c r="L784" i="39" a="1"/>
  <c r="L784" i="39" s="1"/>
  <c r="T631" i="5"/>
  <c r="T34" i="18" s="1"/>
  <c r="T131" i="18" s="1"/>
  <c r="T149" i="18" s="1"/>
  <c r="T402" i="18" s="1"/>
  <c r="T465" i="18" s="1"/>
  <c r="T703" i="18" s="1"/>
  <c r="T607" i="5"/>
  <c r="T619" i="5" s="1"/>
  <c r="T590" i="39"/>
  <c r="W503" i="5"/>
  <c r="V626" i="39"/>
  <c r="V590" i="39"/>
  <c r="T141" i="39"/>
  <c r="T156" i="39" s="1"/>
  <c r="T138" i="39"/>
  <c r="O219" i="19"/>
  <c r="O651" i="39"/>
  <c r="O783" i="39" s="1"/>
  <c r="W615" i="39"/>
  <c r="U590" i="39"/>
  <c r="O590" i="39"/>
  <c r="O608" i="39"/>
  <c r="O691" i="39" s="1"/>
  <c r="W500" i="39"/>
  <c r="P141" i="39"/>
  <c r="P156" i="39" s="1"/>
  <c r="P138" i="39"/>
  <c r="P240" i="19"/>
  <c r="W633" i="39"/>
  <c r="P651" i="39"/>
  <c r="P783" i="39" s="1"/>
  <c r="S240" i="19"/>
  <c r="S651" i="39"/>
  <c r="S783" i="39" s="1"/>
  <c r="P76" i="19"/>
  <c r="W241" i="19"/>
  <c r="R212" i="19"/>
  <c r="R141" i="39"/>
  <c r="R156" i="39" s="1"/>
  <c r="R138" i="39"/>
  <c r="P626" i="39"/>
  <c r="P590" i="39"/>
  <c r="R590" i="39"/>
  <c r="O141" i="39"/>
  <c r="W123" i="39"/>
  <c r="R231" i="39" s="1"/>
  <c r="O138" i="39"/>
  <c r="U651" i="39"/>
  <c r="U783" i="39" s="1"/>
  <c r="U240" i="19"/>
  <c r="R240" i="19"/>
  <c r="R651" i="39"/>
  <c r="R783" i="39" s="1"/>
  <c r="V651" i="39"/>
  <c r="V783" i="39" s="1"/>
  <c r="V240" i="19"/>
  <c r="S141" i="39"/>
  <c r="S156" i="39" s="1"/>
  <c r="S138" i="39"/>
  <c r="O76" i="19"/>
  <c r="W220" i="19"/>
  <c r="O231" i="39"/>
  <c r="S231" i="39"/>
  <c r="S590" i="39"/>
  <c r="T240" i="19"/>
  <c r="T651" i="39"/>
  <c r="T783" i="39" s="1"/>
  <c r="W652" i="39"/>
  <c r="W597" i="39"/>
  <c r="W33" i="18"/>
  <c r="R130" i="18" s="1"/>
  <c r="R148" i="18" s="1"/>
  <c r="V324" i="5"/>
  <c r="V94" i="19"/>
  <c r="S611" i="5"/>
  <c r="S569" i="5"/>
  <c r="S123" i="17" s="1"/>
  <c r="S110" i="19" s="1"/>
  <c r="T94" i="19"/>
  <c r="U324" i="5"/>
  <c r="U94" i="19"/>
  <c r="S94" i="19"/>
  <c r="S324" i="5"/>
  <c r="T324" i="5"/>
  <c r="R94" i="19"/>
  <c r="W107" i="17"/>
  <c r="R326" i="5"/>
  <c r="V45" i="36"/>
  <c r="R17" i="19"/>
  <c r="Q18" i="19"/>
  <c r="W558" i="18"/>
  <c r="W446" i="18"/>
  <c r="S642" i="18"/>
  <c r="S684" i="18"/>
  <c r="W488" i="18"/>
  <c r="W467" i="18"/>
  <c r="R663" i="18"/>
  <c r="R705" i="18"/>
  <c r="V642" i="18"/>
  <c r="V684" i="18"/>
  <c r="U684" i="18"/>
  <c r="U642" i="18"/>
  <c r="T642" i="18"/>
  <c r="T684" i="18"/>
  <c r="W568" i="18"/>
  <c r="T448" i="18"/>
  <c r="W559" i="18"/>
  <c r="W557" i="18"/>
  <c r="S662" i="18"/>
  <c r="S121" i="19" s="1"/>
  <c r="U498" i="18"/>
  <c r="U652" i="18" s="1"/>
  <c r="R142" i="18"/>
  <c r="S142" i="18"/>
  <c r="S160" i="18" s="1"/>
  <c r="U142" i="18"/>
  <c r="U160" i="18" s="1"/>
  <c r="V142" i="18"/>
  <c r="V160" i="18" s="1"/>
  <c r="V476" i="18" s="1"/>
  <c r="S141" i="18"/>
  <c r="S159" i="18" s="1"/>
  <c r="R391" i="18" s="1"/>
  <c r="R141" i="18"/>
  <c r="R159" i="18" s="1"/>
  <c r="U370" i="18" s="1"/>
  <c r="U566" i="18" s="1"/>
  <c r="U865" i="18" s="1"/>
  <c r="U141" i="18"/>
  <c r="U159" i="18" s="1"/>
  <c r="U433" i="18" s="1"/>
  <c r="T141" i="18"/>
  <c r="T159" i="18" s="1"/>
  <c r="S412" i="18" s="1"/>
  <c r="R138" i="18"/>
  <c r="R156" i="18" s="1"/>
  <c r="S138" i="18"/>
  <c r="S156" i="18" s="1"/>
  <c r="R388" i="18" s="1"/>
  <c r="U138" i="18"/>
  <c r="U156" i="18" s="1"/>
  <c r="S430" i="18" s="1"/>
  <c r="S626" i="18" s="1"/>
  <c r="V138" i="18"/>
  <c r="V156" i="18" s="1"/>
  <c r="V472" i="18" s="1"/>
  <c r="T142" i="18"/>
  <c r="T160" i="18" s="1"/>
  <c r="W569" i="18"/>
  <c r="S863" i="18"/>
  <c r="V456" i="18"/>
  <c r="U494" i="18"/>
  <c r="U648" i="18" s="1"/>
  <c r="U452" i="18"/>
  <c r="V448" i="18"/>
  <c r="V610" i="18"/>
  <c r="V907" i="18" s="1"/>
  <c r="U448" i="18"/>
  <c r="U490" i="18"/>
  <c r="U644" i="18" s="1"/>
  <c r="U728" i="18" s="1"/>
  <c r="U959" i="18" s="1"/>
  <c r="W414" i="18"/>
  <c r="L414" i="18" s="1"/>
  <c r="S37" i="19"/>
  <c r="S17" i="19" s="1"/>
  <c r="V408" i="18"/>
  <c r="V450" i="18" s="1"/>
  <c r="U408" i="18"/>
  <c r="U604" i="18" s="1"/>
  <c r="U901" i="18" s="1"/>
  <c r="S408" i="18"/>
  <c r="S450" i="18" s="1"/>
  <c r="T403" i="18"/>
  <c r="T466" i="18" s="1"/>
  <c r="T704" i="18" s="1"/>
  <c r="W150" i="18"/>
  <c r="V403" i="18"/>
  <c r="V445" i="18" s="1"/>
  <c r="R403" i="18"/>
  <c r="S403" i="18"/>
  <c r="S445" i="18" s="1"/>
  <c r="U403" i="18"/>
  <c r="U599" i="18" s="1"/>
  <c r="U896" i="18" s="1"/>
  <c r="V490" i="18"/>
  <c r="V644" i="18" s="1"/>
  <c r="V145" i="19" s="1"/>
  <c r="V606" i="18"/>
  <c r="V903" i="18" s="1"/>
  <c r="T473" i="18"/>
  <c r="T711" i="18" s="1"/>
  <c r="T174" i="19" s="1"/>
  <c r="V452" i="18"/>
  <c r="T477" i="18"/>
  <c r="T673" i="18" s="1"/>
  <c r="T132" i="19" s="1"/>
  <c r="W406" i="18"/>
  <c r="L406" i="18" s="1"/>
  <c r="T456" i="18"/>
  <c r="W410" i="18"/>
  <c r="L410" i="18" s="1"/>
  <c r="T415" i="18"/>
  <c r="T457" i="18" s="1"/>
  <c r="V415" i="18"/>
  <c r="V499" i="18" s="1"/>
  <c r="S415" i="18"/>
  <c r="S457" i="18" s="1"/>
  <c r="U415" i="18"/>
  <c r="U611" i="18" s="1"/>
  <c r="U908" i="18" s="1"/>
  <c r="W162" i="18"/>
  <c r="R415" i="18"/>
  <c r="V407" i="18"/>
  <c r="V491" i="18" s="1"/>
  <c r="R407" i="18"/>
  <c r="U407" i="18"/>
  <c r="U603" i="18" s="1"/>
  <c r="U900" i="18" s="1"/>
  <c r="W154" i="18"/>
  <c r="S407" i="18"/>
  <c r="S449" i="18" s="1"/>
  <c r="T407" i="18"/>
  <c r="T470" i="18" s="1"/>
  <c r="T708" i="18" s="1"/>
  <c r="V405" i="18"/>
  <c r="V601" i="18" s="1"/>
  <c r="V898" i="18" s="1"/>
  <c r="W152" i="18"/>
  <c r="R405" i="18"/>
  <c r="U405" i="18"/>
  <c r="U601" i="18" s="1"/>
  <c r="U898" i="18" s="1"/>
  <c r="S405" i="18"/>
  <c r="S447" i="18" s="1"/>
  <c r="T405" i="18"/>
  <c r="T468" i="18" s="1"/>
  <c r="T664" i="18" s="1"/>
  <c r="U456" i="18"/>
  <c r="T408" i="18"/>
  <c r="T471" i="18" s="1"/>
  <c r="T709" i="18" s="1"/>
  <c r="V703" i="18"/>
  <c r="S448" i="18"/>
  <c r="W561" i="18"/>
  <c r="R408" i="18"/>
  <c r="W155" i="18"/>
  <c r="R452" i="18"/>
  <c r="W562" i="18"/>
  <c r="W36" i="19"/>
  <c r="W37" i="19" s="1"/>
  <c r="V936" i="18"/>
  <c r="R868" i="18"/>
  <c r="R867" i="18"/>
  <c r="U921" i="18"/>
  <c r="U923" i="18"/>
  <c r="S880" i="18"/>
  <c r="R129" i="19"/>
  <c r="R858" i="18"/>
  <c r="S881" i="18"/>
  <c r="S883" i="18"/>
  <c r="U927" i="18"/>
  <c r="U919" i="18"/>
  <c r="R863" i="18"/>
  <c r="S150" i="19"/>
  <c r="V940" i="18"/>
  <c r="V941" i="18"/>
  <c r="V939" i="18"/>
  <c r="V947" i="18"/>
  <c r="R859" i="18"/>
  <c r="U167" i="19"/>
  <c r="U171" i="19"/>
  <c r="R856" i="18"/>
  <c r="R175" i="19"/>
  <c r="W175" i="19" s="1"/>
  <c r="V943" i="18"/>
  <c r="V948" i="18"/>
  <c r="R861" i="18"/>
  <c r="V938" i="18"/>
  <c r="V935" i="18"/>
  <c r="S887" i="18"/>
  <c r="S888" i="18"/>
  <c r="S878" i="18"/>
  <c r="R860" i="18"/>
  <c r="U918" i="18"/>
  <c r="U179" i="19"/>
  <c r="S196" i="19"/>
  <c r="U754" i="18"/>
  <c r="U787" i="18" s="1"/>
  <c r="U196" i="19"/>
  <c r="T754" i="18"/>
  <c r="T787" i="18" s="1"/>
  <c r="T196" i="19"/>
  <c r="T733" i="18"/>
  <c r="T964" i="18" s="1"/>
  <c r="T150" i="19"/>
  <c r="V754" i="18"/>
  <c r="V787" i="18" s="1"/>
  <c r="V196" i="19"/>
  <c r="U733" i="18"/>
  <c r="U964" i="18" s="1"/>
  <c r="U150" i="19"/>
  <c r="V733" i="18"/>
  <c r="V964" i="18" s="1"/>
  <c r="V150" i="19"/>
  <c r="R733" i="18"/>
  <c r="W670" i="18"/>
  <c r="R864" i="18"/>
  <c r="S754" i="18"/>
  <c r="S787" i="18" s="1"/>
  <c r="W691" i="18"/>
  <c r="S733" i="18"/>
  <c r="S964" i="18" s="1"/>
  <c r="W649" i="18"/>
  <c r="L649" i="18" s="1" a="1"/>
  <c r="L649" i="18" s="1"/>
  <c r="R754" i="18"/>
  <c r="W712" i="18"/>
  <c r="T409" i="18"/>
  <c r="V409" i="18"/>
  <c r="V605" i="18" s="1"/>
  <c r="V902" i="18" s="1"/>
  <c r="U409" i="18"/>
  <c r="U605" i="18" s="1"/>
  <c r="U902" i="18" s="1"/>
  <c r="R409" i="18"/>
  <c r="S409" i="18"/>
  <c r="S124" i="19"/>
  <c r="S879" i="18"/>
  <c r="U126" i="19"/>
  <c r="U128" i="19"/>
  <c r="U132" i="19"/>
  <c r="S128" i="19"/>
  <c r="S125" i="19"/>
  <c r="U124" i="19"/>
  <c r="U123" i="19"/>
  <c r="S126" i="19"/>
  <c r="S132" i="19"/>
  <c r="S123" i="19"/>
  <c r="R121" i="19"/>
  <c r="W590" i="18"/>
  <c r="S716" i="18"/>
  <c r="W602" i="18"/>
  <c r="W162" i="17"/>
  <c r="T707" i="18"/>
  <c r="T665" i="18"/>
  <c r="S686" i="18"/>
  <c r="S648" i="18"/>
  <c r="T652" i="18"/>
  <c r="T648" i="18"/>
  <c r="S694" i="18"/>
  <c r="V648" i="18"/>
  <c r="S133" i="19"/>
  <c r="S178" i="19"/>
  <c r="U178" i="19"/>
  <c r="V179" i="19"/>
  <c r="V167" i="19"/>
  <c r="V133" i="19"/>
  <c r="V169" i="19"/>
  <c r="V123" i="19"/>
  <c r="V128" i="19"/>
  <c r="V174" i="19"/>
  <c r="V125" i="19"/>
  <c r="V171" i="19"/>
  <c r="V124" i="19"/>
  <c r="V170" i="19"/>
  <c r="V172" i="19"/>
  <c r="V126" i="19"/>
  <c r="T145" i="19"/>
  <c r="T686" i="18"/>
  <c r="W137" i="18"/>
  <c r="R126" i="19"/>
  <c r="W132" i="18"/>
  <c r="R133" i="19"/>
  <c r="R123" i="19"/>
  <c r="W136" i="18"/>
  <c r="S145" i="19"/>
  <c r="S728" i="18"/>
  <c r="S959" i="18" s="1"/>
  <c r="W144" i="18"/>
  <c r="W134" i="18"/>
  <c r="R648" i="18"/>
  <c r="R169" i="19"/>
  <c r="R652" i="18"/>
  <c r="R644" i="18"/>
  <c r="R172" i="19"/>
  <c r="R124" i="19"/>
  <c r="W423" i="18" l="1"/>
  <c r="L423" i="18" s="1"/>
  <c r="W619" i="18"/>
  <c r="W305" i="5"/>
  <c r="S661" i="18"/>
  <c r="S120" i="19" s="1"/>
  <c r="W381" i="18"/>
  <c r="L381" i="18" s="1"/>
  <c r="W577" i="18"/>
  <c r="U120" i="19"/>
  <c r="U703" i="18"/>
  <c r="U166" i="19" s="1"/>
  <c r="V570" i="5"/>
  <c r="V124" i="17" s="1"/>
  <c r="V111" i="19" s="1"/>
  <c r="R308" i="5"/>
  <c r="T231" i="39"/>
  <c r="T246" i="39" s="1"/>
  <c r="P231" i="39"/>
  <c r="V611" i="5"/>
  <c r="V308" i="5"/>
  <c r="W619" i="5"/>
  <c r="T611" i="5"/>
  <c r="U611" i="5"/>
  <c r="U570" i="5"/>
  <c r="U124" i="17" s="1"/>
  <c r="U111" i="19" s="1"/>
  <c r="W306" i="5"/>
  <c r="L306" i="5" s="1"/>
  <c r="R108" i="17"/>
  <c r="W108" i="17" s="1"/>
  <c r="U77" i="19"/>
  <c r="U308" i="5"/>
  <c r="W551" i="5"/>
  <c r="W565" i="5" s="1"/>
  <c r="W616" i="5"/>
  <c r="T570" i="5"/>
  <c r="T124" i="17" s="1"/>
  <c r="T111" i="19" s="1"/>
  <c r="T308" i="5"/>
  <c r="W307" i="5"/>
  <c r="L307" i="5" s="1"/>
  <c r="U644" i="39"/>
  <c r="U776" i="39" s="1"/>
  <c r="S570" i="5"/>
  <c r="S124" i="17" s="1"/>
  <c r="S111" i="19" s="1"/>
  <c r="S308" i="5"/>
  <c r="T644" i="39"/>
  <c r="T776" i="39" s="1"/>
  <c r="S402" i="18"/>
  <c r="S644" i="39"/>
  <c r="S776" i="39" s="1"/>
  <c r="R644" i="39"/>
  <c r="R776" i="39" s="1"/>
  <c r="V402" i="18"/>
  <c r="V598" i="18" s="1"/>
  <c r="V895" i="18" s="1"/>
  <c r="U402" i="18"/>
  <c r="U598" i="18" s="1"/>
  <c r="U895" i="18" s="1"/>
  <c r="W631" i="5"/>
  <c r="R402" i="18"/>
  <c r="S875" i="18"/>
  <c r="L783" i="39" a="1"/>
  <c r="L783" i="39" s="1"/>
  <c r="O75" i="19"/>
  <c r="W219" i="19"/>
  <c r="S246" i="39"/>
  <c r="S249" i="39"/>
  <c r="P233" i="19"/>
  <c r="W626" i="39"/>
  <c r="P644" i="39"/>
  <c r="P776" i="39" s="1"/>
  <c r="O212" i="19"/>
  <c r="O644" i="39"/>
  <c r="O776" i="39" s="1"/>
  <c r="W608" i="39"/>
  <c r="R249" i="39"/>
  <c r="R246" i="39"/>
  <c r="W590" i="39"/>
  <c r="V233" i="19"/>
  <c r="V644" i="39"/>
  <c r="V776" i="39" s="1"/>
  <c r="O249" i="39"/>
  <c r="O246" i="39"/>
  <c r="L123" i="39"/>
  <c r="W138" i="39"/>
  <c r="L138" i="39" s="1"/>
  <c r="W141" i="39"/>
  <c r="O156" i="39"/>
  <c r="W240" i="19"/>
  <c r="P75" i="19"/>
  <c r="W651" i="39"/>
  <c r="V130" i="18"/>
  <c r="V148" i="18" s="1"/>
  <c r="V464" i="18" s="1"/>
  <c r="T130" i="18"/>
  <c r="T145" i="18" s="1"/>
  <c r="U130" i="18"/>
  <c r="U148" i="18" s="1"/>
  <c r="S130" i="18"/>
  <c r="S145" i="18" s="1"/>
  <c r="S610" i="5"/>
  <c r="S327" i="5"/>
  <c r="S568" i="5"/>
  <c r="U610" i="5"/>
  <c r="U327" i="5"/>
  <c r="U568" i="5"/>
  <c r="R95" i="19"/>
  <c r="W95" i="19" s="1"/>
  <c r="T568" i="5"/>
  <c r="T610" i="5"/>
  <c r="T327" i="5"/>
  <c r="R570" i="5"/>
  <c r="R612" i="5"/>
  <c r="W612" i="5" s="1"/>
  <c r="W326" i="5"/>
  <c r="M326" i="5"/>
  <c r="W94" i="19"/>
  <c r="L305" i="5"/>
  <c r="R131" i="18"/>
  <c r="W34" i="18"/>
  <c r="V610" i="5"/>
  <c r="V327" i="5"/>
  <c r="V568" i="5"/>
  <c r="R568" i="5"/>
  <c r="R610" i="5"/>
  <c r="W324" i="5"/>
  <c r="M324" i="5"/>
  <c r="R327" i="5"/>
  <c r="W325" i="5"/>
  <c r="M325" i="5"/>
  <c r="R569" i="5"/>
  <c r="R611" i="5"/>
  <c r="R45" i="36"/>
  <c r="S45" i="36"/>
  <c r="V77" i="19"/>
  <c r="S77" i="19"/>
  <c r="T77" i="19"/>
  <c r="W129" i="19"/>
  <c r="R77" i="19"/>
  <c r="W17" i="19"/>
  <c r="L17" i="19" s="1"/>
  <c r="V143" i="19"/>
  <c r="V726" i="18"/>
  <c r="V747" i="18"/>
  <c r="V780" i="18" s="1"/>
  <c r="V189" i="19"/>
  <c r="R747" i="18"/>
  <c r="R168" i="19"/>
  <c r="W168" i="19" s="1"/>
  <c r="W705" i="18"/>
  <c r="W663" i="18"/>
  <c r="R726" i="18"/>
  <c r="R122" i="19"/>
  <c r="T747" i="18"/>
  <c r="T780" i="18" s="1"/>
  <c r="T189" i="19"/>
  <c r="T143" i="19"/>
  <c r="T726" i="18"/>
  <c r="U726" i="18"/>
  <c r="U143" i="19"/>
  <c r="S747" i="18"/>
  <c r="S780" i="18" s="1"/>
  <c r="W684" i="18"/>
  <c r="S189" i="19"/>
  <c r="U189" i="19"/>
  <c r="U747" i="18"/>
  <c r="U780" i="18" s="1"/>
  <c r="S143" i="19"/>
  <c r="S726" i="18"/>
  <c r="W642" i="18"/>
  <c r="L642" i="18" s="1" a="1"/>
  <c r="L642" i="18" s="1"/>
  <c r="S876" i="18"/>
  <c r="R433" i="18"/>
  <c r="R629" i="18" s="1"/>
  <c r="S433" i="18"/>
  <c r="S629" i="18" s="1"/>
  <c r="V433" i="18"/>
  <c r="V629" i="18" s="1"/>
  <c r="V925" i="18" s="1"/>
  <c r="T433" i="18"/>
  <c r="T629" i="18" s="1"/>
  <c r="R430" i="18"/>
  <c r="R626" i="18" s="1"/>
  <c r="T430" i="18"/>
  <c r="T626" i="18" s="1"/>
  <c r="W448" i="18"/>
  <c r="U430" i="18"/>
  <c r="U472" i="18" s="1"/>
  <c r="U668" i="18" s="1"/>
  <c r="V430" i="18"/>
  <c r="V626" i="18" s="1"/>
  <c r="V922" i="18" s="1"/>
  <c r="R412" i="18"/>
  <c r="U412" i="18"/>
  <c r="U608" i="18" s="1"/>
  <c r="U905" i="18" s="1"/>
  <c r="V412" i="18"/>
  <c r="V608" i="18" s="1"/>
  <c r="V905" i="18" s="1"/>
  <c r="V449" i="18"/>
  <c r="T445" i="18"/>
  <c r="U391" i="18"/>
  <c r="U587" i="18" s="1"/>
  <c r="U885" i="18" s="1"/>
  <c r="V603" i="18"/>
  <c r="V900" i="18" s="1"/>
  <c r="V391" i="18"/>
  <c r="V587" i="18" s="1"/>
  <c r="V885" i="18" s="1"/>
  <c r="T391" i="18"/>
  <c r="T587" i="18" s="1"/>
  <c r="T885" i="18" s="1"/>
  <c r="S391" i="18"/>
  <c r="S475" i="18" s="1"/>
  <c r="S713" i="18" s="1"/>
  <c r="U388" i="18"/>
  <c r="U584" i="18" s="1"/>
  <c r="U882" i="18" s="1"/>
  <c r="W159" i="18"/>
  <c r="V370" i="18"/>
  <c r="V566" i="18" s="1"/>
  <c r="V865" i="18" s="1"/>
  <c r="T388" i="18"/>
  <c r="T584" i="18" s="1"/>
  <c r="T882" i="18" s="1"/>
  <c r="S388" i="18"/>
  <c r="S472" i="18" s="1"/>
  <c r="S710" i="18" s="1"/>
  <c r="S370" i="18"/>
  <c r="S566" i="18" s="1"/>
  <c r="S865" i="18" s="1"/>
  <c r="T412" i="18"/>
  <c r="T475" i="18" s="1"/>
  <c r="T713" i="18" s="1"/>
  <c r="R370" i="18"/>
  <c r="R475" i="18" s="1"/>
  <c r="R713" i="18" s="1"/>
  <c r="T370" i="18"/>
  <c r="T566" i="18" s="1"/>
  <c r="T865" i="18" s="1"/>
  <c r="V388" i="18"/>
  <c r="V584" i="18" s="1"/>
  <c r="V882" i="18" s="1"/>
  <c r="W141" i="18"/>
  <c r="V457" i="18"/>
  <c r="W138" i="18"/>
  <c r="L138" i="18"/>
  <c r="L37" i="19"/>
  <c r="L20" i="30" s="1"/>
  <c r="T449" i="18"/>
  <c r="V604" i="18"/>
  <c r="V901" i="18" s="1"/>
  <c r="U487" i="18"/>
  <c r="U641" i="18" s="1"/>
  <c r="V492" i="18"/>
  <c r="V646" i="18" s="1"/>
  <c r="U445" i="18"/>
  <c r="W452" i="18"/>
  <c r="U491" i="18"/>
  <c r="U645" i="18" s="1"/>
  <c r="W456" i="18"/>
  <c r="W610" i="18"/>
  <c r="U449" i="18"/>
  <c r="V447" i="18"/>
  <c r="U686" i="18"/>
  <c r="U749" i="18" s="1"/>
  <c r="U782" i="18" s="1"/>
  <c r="T907" i="18"/>
  <c r="V686" i="18"/>
  <c r="V749" i="18" s="1"/>
  <c r="V782" i="18" s="1"/>
  <c r="T478" i="18"/>
  <c r="T716" i="18" s="1"/>
  <c r="V599" i="18"/>
  <c r="V896" i="18" s="1"/>
  <c r="U145" i="19"/>
  <c r="V487" i="18"/>
  <c r="V641" i="18" s="1"/>
  <c r="V489" i="18"/>
  <c r="V643" i="18" s="1"/>
  <c r="W477" i="18"/>
  <c r="U450" i="18"/>
  <c r="U492" i="18"/>
  <c r="U646" i="18" s="1"/>
  <c r="T715" i="18"/>
  <c r="T178" i="19" s="1"/>
  <c r="T450" i="18"/>
  <c r="V611" i="18"/>
  <c r="V908" i="18" s="1"/>
  <c r="W606" i="18"/>
  <c r="T447" i="18"/>
  <c r="T669" i="18"/>
  <c r="W669" i="18" s="1"/>
  <c r="W473" i="18"/>
  <c r="U447" i="18"/>
  <c r="U457" i="18"/>
  <c r="U489" i="18"/>
  <c r="U643" i="18" s="1"/>
  <c r="U499" i="18"/>
  <c r="U653" i="18" s="1"/>
  <c r="Q45" i="36"/>
  <c r="S179" i="19"/>
  <c r="T170" i="19"/>
  <c r="W170" i="19" s="1"/>
  <c r="T191" i="19"/>
  <c r="T899" i="18"/>
  <c r="S191" i="19"/>
  <c r="S72" i="19" s="1"/>
  <c r="T898" i="18"/>
  <c r="W196" i="19"/>
  <c r="W150" i="19"/>
  <c r="R787" i="18"/>
  <c r="W754" i="18"/>
  <c r="W733" i="18"/>
  <c r="R964" i="18"/>
  <c r="L964" i="18" s="1" a="1"/>
  <c r="L964" i="18" s="1"/>
  <c r="L156" i="18"/>
  <c r="R367" i="18"/>
  <c r="R472" i="18" s="1"/>
  <c r="S367" i="18"/>
  <c r="S563" i="18" s="1"/>
  <c r="S862" i="18" s="1"/>
  <c r="U367" i="18"/>
  <c r="U563" i="18" s="1"/>
  <c r="U862" i="18" s="1"/>
  <c r="V367" i="18"/>
  <c r="V563" i="18" s="1"/>
  <c r="V862" i="18" s="1"/>
  <c r="T367" i="18"/>
  <c r="S392" i="18"/>
  <c r="R392" i="18"/>
  <c r="T392" i="18"/>
  <c r="V392" i="18"/>
  <c r="U392" i="18"/>
  <c r="T359" i="18"/>
  <c r="R359" i="18"/>
  <c r="U359" i="18"/>
  <c r="V359" i="18"/>
  <c r="S359" i="18"/>
  <c r="S485" i="18" s="1"/>
  <c r="V413" i="18"/>
  <c r="V609" i="18" s="1"/>
  <c r="U413" i="18"/>
  <c r="U609" i="18" s="1"/>
  <c r="T413" i="18"/>
  <c r="S413" i="18"/>
  <c r="R413" i="18"/>
  <c r="T434" i="18"/>
  <c r="S434" i="18"/>
  <c r="S630" i="18" s="1"/>
  <c r="V434" i="18"/>
  <c r="U434" i="18"/>
  <c r="R434" i="18"/>
  <c r="T124" i="19"/>
  <c r="T706" i="18"/>
  <c r="T666" i="18"/>
  <c r="T667" i="18"/>
  <c r="T472" i="18"/>
  <c r="T710" i="18" s="1"/>
  <c r="T662" i="18"/>
  <c r="T661" i="18"/>
  <c r="W605" i="18"/>
  <c r="U475" i="18"/>
  <c r="U713" i="18" s="1"/>
  <c r="W601" i="18"/>
  <c r="W156" i="18"/>
  <c r="R160" i="18"/>
  <c r="L142" i="18"/>
  <c r="V714" i="18"/>
  <c r="V672" i="18"/>
  <c r="S615" i="18"/>
  <c r="S749" i="18"/>
  <c r="S782" i="18" s="1"/>
  <c r="V690" i="18"/>
  <c r="T694" i="18"/>
  <c r="S690" i="18"/>
  <c r="U694" i="18"/>
  <c r="U690" i="18"/>
  <c r="S652" i="18"/>
  <c r="T690" i="18"/>
  <c r="S645" i="18"/>
  <c r="S643" i="18"/>
  <c r="V645" i="18"/>
  <c r="S653" i="18"/>
  <c r="S641" i="18"/>
  <c r="V653" i="18"/>
  <c r="S646" i="18"/>
  <c r="V694" i="18"/>
  <c r="V652" i="18"/>
  <c r="V121" i="19"/>
  <c r="V178" i="19"/>
  <c r="V132" i="19"/>
  <c r="R694" i="18"/>
  <c r="W644" i="18"/>
  <c r="L644" i="18" s="1" a="1"/>
  <c r="L644" i="18" s="1"/>
  <c r="R686" i="18"/>
  <c r="R690" i="18"/>
  <c r="W142" i="18"/>
  <c r="T728" i="18"/>
  <c r="T959" i="18" s="1"/>
  <c r="W665" i="18"/>
  <c r="T645" i="18"/>
  <c r="T653" i="18"/>
  <c r="T749" i="18"/>
  <c r="T782" i="18" s="1"/>
  <c r="W409" i="18"/>
  <c r="L409" i="18" s="1"/>
  <c r="T643" i="18"/>
  <c r="T641" i="18"/>
  <c r="S199" i="19"/>
  <c r="S757" i="18"/>
  <c r="S790" i="18" s="1"/>
  <c r="R125" i="19"/>
  <c r="W494" i="18"/>
  <c r="W468" i="18"/>
  <c r="W711" i="18"/>
  <c r="R174" i="19"/>
  <c r="W174" i="19" s="1"/>
  <c r="U732" i="18"/>
  <c r="U963" i="18" s="1"/>
  <c r="U149" i="19"/>
  <c r="W403" i="18"/>
  <c r="L403" i="18" s="1"/>
  <c r="R445" i="18"/>
  <c r="T149" i="19"/>
  <c r="T646" i="18"/>
  <c r="S732" i="18"/>
  <c r="S963" i="18" s="1"/>
  <c r="S149" i="19"/>
  <c r="W490" i="18"/>
  <c r="U153" i="19"/>
  <c r="U736" i="18"/>
  <c r="U967" i="18" s="1"/>
  <c r="W407" i="18"/>
  <c r="L407" i="18" s="1"/>
  <c r="R449" i="18"/>
  <c r="R128" i="19"/>
  <c r="W471" i="18"/>
  <c r="W498" i="18"/>
  <c r="W470" i="18"/>
  <c r="R640" i="18"/>
  <c r="R132" i="19"/>
  <c r="W408" i="18"/>
  <c r="L408" i="18" s="1"/>
  <c r="R450" i="18"/>
  <c r="T153" i="19"/>
  <c r="T736" i="18"/>
  <c r="T967" i="18" s="1"/>
  <c r="V732" i="18"/>
  <c r="V963" i="18" s="1"/>
  <c r="V149" i="19"/>
  <c r="R171" i="19"/>
  <c r="W405" i="18"/>
  <c r="L405" i="18" s="1"/>
  <c r="R447" i="18"/>
  <c r="W415" i="18"/>
  <c r="L415" i="18" s="1"/>
  <c r="R457" i="18"/>
  <c r="V728" i="18"/>
  <c r="V959" i="18" s="1"/>
  <c r="R178" i="19"/>
  <c r="W466" i="18"/>
  <c r="L231" i="39" l="1"/>
  <c r="T249" i="39"/>
  <c r="W231" i="39"/>
  <c r="W246" i="39" s="1"/>
  <c r="L246" i="39" s="1"/>
  <c r="P246" i="39"/>
  <c r="P249" i="39"/>
  <c r="L249" i="39" s="1"/>
  <c r="L213" i="30" s="1"/>
  <c r="W611" i="5"/>
  <c r="L325" i="5" a="1"/>
  <c r="L325" i="5" s="1"/>
  <c r="W308" i="5"/>
  <c r="L308" i="5" s="1"/>
  <c r="L132" i="30" s="1"/>
  <c r="W402" i="18"/>
  <c r="L402" i="18" s="1"/>
  <c r="U145" i="18"/>
  <c r="V145" i="18"/>
  <c r="W644" i="39"/>
  <c r="L207" i="30"/>
  <c r="L212" i="30"/>
  <c r="L776" i="39" a="1"/>
  <c r="L776" i="39" s="1"/>
  <c r="L141" i="39"/>
  <c r="W156" i="39"/>
  <c r="L156" i="39" s="1"/>
  <c r="U499" i="39"/>
  <c r="U690" i="39" s="1"/>
  <c r="R499" i="39"/>
  <c r="R690" i="39" s="1"/>
  <c r="T499" i="39"/>
  <c r="T690" i="39" s="1"/>
  <c r="P499" i="39"/>
  <c r="P690" i="39" s="1"/>
  <c r="O499" i="39"/>
  <c r="V499" i="39"/>
  <c r="V690" i="39" s="1"/>
  <c r="S499" i="39"/>
  <c r="S690" i="39" s="1"/>
  <c r="O264" i="39"/>
  <c r="O68" i="19"/>
  <c r="W212" i="19"/>
  <c r="P68" i="19"/>
  <c r="W233" i="19"/>
  <c r="S553" i="39"/>
  <c r="T553" i="39"/>
  <c r="V553" i="39"/>
  <c r="R553" i="39"/>
  <c r="R568" i="39" s="1"/>
  <c r="P553" i="39"/>
  <c r="P568" i="39" s="1"/>
  <c r="U553" i="39"/>
  <c r="O553" i="39"/>
  <c r="S264" i="39"/>
  <c r="V517" i="39"/>
  <c r="S517" i="39"/>
  <c r="T517" i="39"/>
  <c r="U517" i="39"/>
  <c r="R517" i="39"/>
  <c r="O517" i="39"/>
  <c r="P517" i="39"/>
  <c r="P264" i="39"/>
  <c r="O535" i="39"/>
  <c r="P535" i="39"/>
  <c r="R535" i="39"/>
  <c r="S535" i="39"/>
  <c r="S724" i="39" s="1"/>
  <c r="T535" i="39"/>
  <c r="T724" i="39" s="1"/>
  <c r="V535" i="39"/>
  <c r="U535" i="39"/>
  <c r="U724" i="39" s="1"/>
  <c r="R264" i="39"/>
  <c r="P571" i="39"/>
  <c r="P586" i="39" s="1"/>
  <c r="U571" i="39"/>
  <c r="V571" i="39"/>
  <c r="S571" i="39"/>
  <c r="S586" i="39" s="1"/>
  <c r="O571" i="39"/>
  <c r="T571" i="39"/>
  <c r="R571" i="39"/>
  <c r="R586" i="39" s="1"/>
  <c r="T264" i="39"/>
  <c r="S148" i="18"/>
  <c r="W130" i="18"/>
  <c r="S422" i="18"/>
  <c r="S618" i="18" s="1"/>
  <c r="R422" i="18"/>
  <c r="U422" i="18"/>
  <c r="U464" i="18" s="1"/>
  <c r="U660" i="18" s="1"/>
  <c r="U914" i="18" s="1"/>
  <c r="T422" i="18"/>
  <c r="T618" i="18" s="1"/>
  <c r="V422" i="18"/>
  <c r="V618" i="18" s="1"/>
  <c r="V914" i="18" s="1"/>
  <c r="T148" i="18"/>
  <c r="L130" i="18"/>
  <c r="L163" i="30" s="1"/>
  <c r="R124" i="17"/>
  <c r="W570" i="5"/>
  <c r="U122" i="17"/>
  <c r="U571" i="5"/>
  <c r="U617" i="5" s="1"/>
  <c r="R149" i="18"/>
  <c r="W131" i="18"/>
  <c r="V122" i="17"/>
  <c r="V571" i="5"/>
  <c r="V617" i="5" s="1"/>
  <c r="U625" i="5"/>
  <c r="U646" i="5" s="1"/>
  <c r="U49" i="18" s="1"/>
  <c r="U164" i="18" s="1"/>
  <c r="U626" i="5"/>
  <c r="U647" i="5" s="1"/>
  <c r="U50" i="18" s="1"/>
  <c r="U165" i="18" s="1"/>
  <c r="U624" i="5"/>
  <c r="U645" i="5" s="1"/>
  <c r="U613" i="5"/>
  <c r="U620" i="5" s="1"/>
  <c r="M136" i="30"/>
  <c r="I5" i="5"/>
  <c r="K89" i="1" s="1"/>
  <c r="V625" i="5"/>
  <c r="V646" i="5" s="1"/>
  <c r="V49" i="18" s="1"/>
  <c r="V164" i="18" s="1"/>
  <c r="V480" i="18" s="1"/>
  <c r="V626" i="5"/>
  <c r="V647" i="5" s="1"/>
  <c r="V50" i="18" s="1"/>
  <c r="V165" i="18" s="1"/>
  <c r="V481" i="18" s="1"/>
  <c r="V624" i="5"/>
  <c r="V645" i="5" s="1"/>
  <c r="V613" i="5"/>
  <c r="V620" i="5" s="1"/>
  <c r="S122" i="17"/>
  <c r="S571" i="5"/>
  <c r="S617" i="5" s="1"/>
  <c r="L324" i="5" a="1"/>
  <c r="L324" i="5" s="1"/>
  <c r="W327" i="5"/>
  <c r="T626" i="5"/>
  <c r="T647" i="5" s="1"/>
  <c r="T50" i="18" s="1"/>
  <c r="T165" i="18" s="1"/>
  <c r="T625" i="5"/>
  <c r="T646" i="5" s="1"/>
  <c r="T49" i="18" s="1"/>
  <c r="T164" i="18" s="1"/>
  <c r="T624" i="5"/>
  <c r="T613" i="5"/>
  <c r="T620" i="5" s="1"/>
  <c r="W569" i="5"/>
  <c r="R123" i="17"/>
  <c r="W610" i="5"/>
  <c r="R624" i="5"/>
  <c r="R613" i="5"/>
  <c r="R620" i="5" s="1"/>
  <c r="R625" i="5"/>
  <c r="R646" i="5" s="1"/>
  <c r="R626" i="5"/>
  <c r="R647" i="5" s="1"/>
  <c r="T122" i="17"/>
  <c r="T571" i="5"/>
  <c r="T617" i="5" s="1"/>
  <c r="S613" i="5"/>
  <c r="S620" i="5" s="1"/>
  <c r="S624" i="5"/>
  <c r="S626" i="5"/>
  <c r="S647" i="5" s="1"/>
  <c r="S50" i="18" s="1"/>
  <c r="S165" i="18" s="1"/>
  <c r="S625" i="5"/>
  <c r="S646" i="5" s="1"/>
  <c r="S49" i="18" s="1"/>
  <c r="S164" i="18" s="1"/>
  <c r="R145" i="18"/>
  <c r="W568" i="5"/>
  <c r="R122" i="17"/>
  <c r="R571" i="5"/>
  <c r="R617" i="5" s="1"/>
  <c r="L17" i="30"/>
  <c r="U70" i="19"/>
  <c r="R70" i="19"/>
  <c r="V70" i="19"/>
  <c r="W45" i="36"/>
  <c r="Q46" i="36"/>
  <c r="T70" i="19"/>
  <c r="T72" i="19"/>
  <c r="S70" i="19"/>
  <c r="W77" i="19"/>
  <c r="W122" i="19"/>
  <c r="W189" i="19"/>
  <c r="W143" i="19"/>
  <c r="R780" i="18"/>
  <c r="W747" i="18"/>
  <c r="W726" i="18"/>
  <c r="W433" i="18"/>
  <c r="L433" i="18" s="1"/>
  <c r="W629" i="18"/>
  <c r="W478" i="18"/>
  <c r="W430" i="18"/>
  <c r="L430" i="18" s="1"/>
  <c r="U496" i="18"/>
  <c r="U650" i="18" s="1"/>
  <c r="U454" i="18"/>
  <c r="W626" i="18"/>
  <c r="S496" i="18"/>
  <c r="S650" i="18" s="1"/>
  <c r="W604" i="18"/>
  <c r="W608" i="18"/>
  <c r="V191" i="19"/>
  <c r="V72" i="19" s="1"/>
  <c r="T454" i="18"/>
  <c r="W412" i="18"/>
  <c r="L412" i="18" s="1"/>
  <c r="W603" i="18"/>
  <c r="W391" i="18"/>
  <c r="L391" i="18" s="1"/>
  <c r="T732" i="18"/>
  <c r="T963" i="18" s="1"/>
  <c r="T496" i="18"/>
  <c r="T650" i="18" s="1"/>
  <c r="W587" i="18"/>
  <c r="V496" i="18"/>
  <c r="V650" i="18" s="1"/>
  <c r="S454" i="18"/>
  <c r="V454" i="18"/>
  <c r="W598" i="18"/>
  <c r="R454" i="18"/>
  <c r="W584" i="18"/>
  <c r="T128" i="19"/>
  <c r="T903" i="18"/>
  <c r="W370" i="18"/>
  <c r="L370" i="18" s="1"/>
  <c r="W388" i="18"/>
  <c r="L388" i="18" s="1"/>
  <c r="T674" i="18"/>
  <c r="T908" i="18" s="1"/>
  <c r="W611" i="18"/>
  <c r="U191" i="19"/>
  <c r="U72" i="19" s="1"/>
  <c r="W715" i="18"/>
  <c r="W599" i="18"/>
  <c r="V199" i="19"/>
  <c r="U753" i="18"/>
  <c r="U786" i="18" s="1"/>
  <c r="S195" i="19"/>
  <c r="S76" i="19" s="1"/>
  <c r="V946" i="18"/>
  <c r="T895" i="18"/>
  <c r="T901" i="18"/>
  <c r="T199" i="19"/>
  <c r="T80" i="19" s="1"/>
  <c r="T896" i="18"/>
  <c r="T900" i="18"/>
  <c r="V153" i="19"/>
  <c r="U199" i="19"/>
  <c r="U80" i="19" s="1"/>
  <c r="U922" i="18"/>
  <c r="T753" i="18"/>
  <c r="T786" i="18" s="1"/>
  <c r="V753" i="18"/>
  <c r="V786" i="18" s="1"/>
  <c r="W124" i="19"/>
  <c r="U906" i="18"/>
  <c r="L160" i="18"/>
  <c r="S371" i="18"/>
  <c r="V371" i="18"/>
  <c r="V455" i="18" s="1"/>
  <c r="T371" i="18"/>
  <c r="R371" i="18"/>
  <c r="U371" i="18"/>
  <c r="S736" i="18"/>
  <c r="S967" i="18" s="1"/>
  <c r="T668" i="18"/>
  <c r="S493" i="18"/>
  <c r="S647" i="18" s="1"/>
  <c r="T671" i="18"/>
  <c r="U710" i="18"/>
  <c r="V906" i="18"/>
  <c r="U671" i="18"/>
  <c r="S671" i="18"/>
  <c r="U451" i="18"/>
  <c r="V493" i="18"/>
  <c r="V647" i="18" s="1"/>
  <c r="V451" i="18"/>
  <c r="U493" i="18"/>
  <c r="U647" i="18" s="1"/>
  <c r="S668" i="18"/>
  <c r="S451" i="18"/>
  <c r="R451" i="18"/>
  <c r="R710" i="18"/>
  <c r="R668" i="18"/>
  <c r="W472" i="18"/>
  <c r="V630" i="18"/>
  <c r="U476" i="18"/>
  <c r="T588" i="18"/>
  <c r="T476" i="18"/>
  <c r="T615" i="18"/>
  <c r="T630" i="18"/>
  <c r="R630" i="18"/>
  <c r="U588" i="18"/>
  <c r="V588" i="18"/>
  <c r="S476" i="18"/>
  <c r="S714" i="18" s="1"/>
  <c r="S594" i="18"/>
  <c r="U636" i="18"/>
  <c r="R671" i="18"/>
  <c r="W475" i="18"/>
  <c r="W566" i="18"/>
  <c r="U555" i="18"/>
  <c r="U854" i="18" s="1"/>
  <c r="S639" i="18"/>
  <c r="S555" i="18"/>
  <c r="S854" i="18" s="1"/>
  <c r="R464" i="18"/>
  <c r="R660" i="18" s="1"/>
  <c r="V555" i="18"/>
  <c r="V854" i="18" s="1"/>
  <c r="T493" i="18"/>
  <c r="T647" i="18" s="1"/>
  <c r="T563" i="18"/>
  <c r="T862" i="18" s="1"/>
  <c r="T555" i="18"/>
  <c r="T854" i="18" s="1"/>
  <c r="W413" i="18"/>
  <c r="L413" i="18" s="1"/>
  <c r="T451" i="18"/>
  <c r="W367" i="18"/>
  <c r="L367" i="18" s="1"/>
  <c r="W359" i="18"/>
  <c r="L359" i="18" s="1"/>
  <c r="W160" i="18"/>
  <c r="V671" i="18"/>
  <c r="V713" i="18"/>
  <c r="V195" i="19"/>
  <c r="V76" i="19" s="1"/>
  <c r="T195" i="19"/>
  <c r="V702" i="18"/>
  <c r="V660" i="18"/>
  <c r="V710" i="18"/>
  <c r="V668" i="18"/>
  <c r="T757" i="18"/>
  <c r="T790" i="18" s="1"/>
  <c r="V687" i="18"/>
  <c r="U757" i="18"/>
  <c r="U790" i="18" s="1"/>
  <c r="S688" i="18"/>
  <c r="U683" i="18"/>
  <c r="U685" i="18"/>
  <c r="S753" i="18"/>
  <c r="S786" i="18" s="1"/>
  <c r="U695" i="18"/>
  <c r="S153" i="19"/>
  <c r="S80" i="19" s="1"/>
  <c r="U688" i="18"/>
  <c r="U687" i="18"/>
  <c r="S687" i="18"/>
  <c r="S685" i="18"/>
  <c r="U195" i="19"/>
  <c r="U76" i="19" s="1"/>
  <c r="R654" i="18"/>
  <c r="V688" i="18"/>
  <c r="V695" i="18"/>
  <c r="S683" i="18"/>
  <c r="V683" i="18"/>
  <c r="S695" i="18"/>
  <c r="V685" i="18"/>
  <c r="V757" i="18"/>
  <c r="V790" i="18" s="1"/>
  <c r="W673" i="18"/>
  <c r="V736" i="18"/>
  <c r="V967" i="18" s="1"/>
  <c r="W178" i="19"/>
  <c r="T176" i="19"/>
  <c r="T688" i="18"/>
  <c r="T146" i="19"/>
  <c r="T687" i="18"/>
  <c r="U127" i="19"/>
  <c r="T173" i="19"/>
  <c r="U176" i="19"/>
  <c r="S176" i="19"/>
  <c r="R682" i="18"/>
  <c r="S173" i="19"/>
  <c r="V120" i="19"/>
  <c r="V166" i="19"/>
  <c r="T683" i="18"/>
  <c r="T685" i="18"/>
  <c r="T144" i="19"/>
  <c r="T154" i="19"/>
  <c r="T695" i="18"/>
  <c r="K91" i="1"/>
  <c r="W434" i="18"/>
  <c r="L434" i="18" s="1"/>
  <c r="W392" i="18"/>
  <c r="L392" i="18" s="1"/>
  <c r="S729" i="18"/>
  <c r="S960" i="18" s="1"/>
  <c r="S146" i="19"/>
  <c r="S730" i="18"/>
  <c r="S961" i="18" s="1"/>
  <c r="S147" i="19"/>
  <c r="R641" i="18"/>
  <c r="W445" i="18"/>
  <c r="R646" i="18"/>
  <c r="W450" i="18"/>
  <c r="V142" i="19"/>
  <c r="V725" i="18"/>
  <c r="V956" i="18" s="1"/>
  <c r="U144" i="19"/>
  <c r="U727" i="18"/>
  <c r="U958" i="18" s="1"/>
  <c r="R153" i="19"/>
  <c r="R736" i="18"/>
  <c r="R967" i="18" s="1"/>
  <c r="W652" i="18"/>
  <c r="L652" i="18" s="1" a="1"/>
  <c r="L652" i="18" s="1"/>
  <c r="U737" i="18"/>
  <c r="U968" i="18" s="1"/>
  <c r="U154" i="19"/>
  <c r="R655" i="18"/>
  <c r="R191" i="19"/>
  <c r="R749" i="18"/>
  <c r="R782" i="18" s="1"/>
  <c r="W686" i="18"/>
  <c r="R647" i="18"/>
  <c r="U729" i="18"/>
  <c r="U960" i="18" s="1"/>
  <c r="U146" i="19"/>
  <c r="R149" i="19"/>
  <c r="W149" i="19" s="1"/>
  <c r="W648" i="18"/>
  <c r="L648" i="18" s="1" a="1"/>
  <c r="L648" i="18" s="1"/>
  <c r="R732" i="18"/>
  <c r="R963" i="18" s="1"/>
  <c r="R650" i="18"/>
  <c r="R151" i="19" s="1"/>
  <c r="V147" i="19"/>
  <c r="V730" i="18"/>
  <c r="V961" i="18" s="1"/>
  <c r="S725" i="18"/>
  <c r="S956" i="18" s="1"/>
  <c r="S142" i="19"/>
  <c r="V727" i="18"/>
  <c r="V958" i="18" s="1"/>
  <c r="V144" i="19"/>
  <c r="R199" i="19"/>
  <c r="R757" i="18"/>
  <c r="R790" i="18" s="1"/>
  <c r="W694" i="18"/>
  <c r="R145" i="19"/>
  <c r="R728" i="18"/>
  <c r="R959" i="18" s="1"/>
  <c r="L959" i="18" s="1" a="1"/>
  <c r="L959" i="18" s="1"/>
  <c r="S737" i="18"/>
  <c r="S968" i="18" s="1"/>
  <c r="S154" i="19"/>
  <c r="R653" i="18"/>
  <c r="W457" i="18"/>
  <c r="R643" i="18"/>
  <c r="W447" i="18"/>
  <c r="U142" i="19"/>
  <c r="U725" i="18"/>
  <c r="U956" i="18" s="1"/>
  <c r="W132" i="19"/>
  <c r="R645" i="18"/>
  <c r="W449" i="18"/>
  <c r="U147" i="19"/>
  <c r="U730" i="18"/>
  <c r="U961" i="18" s="1"/>
  <c r="V146" i="19"/>
  <c r="V729" i="18"/>
  <c r="V960" i="18" s="1"/>
  <c r="V154" i="19"/>
  <c r="V737" i="18"/>
  <c r="V968" i="18" s="1"/>
  <c r="S144" i="19"/>
  <c r="S727" i="18"/>
  <c r="S958" i="18" s="1"/>
  <c r="R195" i="19"/>
  <c r="W690" i="18"/>
  <c r="R753" i="18"/>
  <c r="R786" i="18" s="1"/>
  <c r="W613" i="5" l="1"/>
  <c r="W249" i="39"/>
  <c r="W264" i="39" s="1"/>
  <c r="L264" i="39" s="1"/>
  <c r="L214" i="30" s="1"/>
  <c r="L327" i="5" a="1"/>
  <c r="L327" i="5" s="1"/>
  <c r="L135" i="30" s="1"/>
  <c r="V550" i="39"/>
  <c r="V724" i="39"/>
  <c r="V568" i="39"/>
  <c r="V741" i="39"/>
  <c r="T532" i="39"/>
  <c r="T707" i="39"/>
  <c r="R532" i="39"/>
  <c r="R707" i="39"/>
  <c r="L208" i="30"/>
  <c r="W145" i="18"/>
  <c r="S707" i="39"/>
  <c r="S532" i="39"/>
  <c r="W535" i="39"/>
  <c r="W550" i="39" s="1"/>
  <c r="O550" i="39"/>
  <c r="T607" i="39"/>
  <c r="T758" i="39" s="1"/>
  <c r="T586" i="39"/>
  <c r="U589" i="39"/>
  <c r="U604" i="39" s="1"/>
  <c r="U550" i="39"/>
  <c r="V707" i="39"/>
  <c r="V532" i="39"/>
  <c r="T741" i="39"/>
  <c r="T568" i="39"/>
  <c r="S625" i="39"/>
  <c r="S514" i="39"/>
  <c r="W571" i="39"/>
  <c r="W586" i="39" s="1"/>
  <c r="O586" i="39"/>
  <c r="S607" i="39"/>
  <c r="S741" i="39" s="1"/>
  <c r="S568" i="39"/>
  <c r="V625" i="39"/>
  <c r="V589" i="39"/>
  <c r="V604" i="39" s="1"/>
  <c r="V514" i="39"/>
  <c r="T589" i="39"/>
  <c r="T604" i="39" s="1"/>
  <c r="T550" i="39"/>
  <c r="P607" i="39"/>
  <c r="P707" i="39" s="1"/>
  <c r="P532" i="39"/>
  <c r="O589" i="39"/>
  <c r="W499" i="39"/>
  <c r="W514" i="39" s="1"/>
  <c r="O607" i="39"/>
  <c r="O690" i="39" s="1"/>
  <c r="O514" i="39"/>
  <c r="U625" i="39"/>
  <c r="U514" i="39"/>
  <c r="V758" i="39"/>
  <c r="V586" i="39"/>
  <c r="S589" i="39"/>
  <c r="S604" i="39" s="1"/>
  <c r="S550" i="39"/>
  <c r="W517" i="39"/>
  <c r="W532" i="39" s="1"/>
  <c r="O532" i="39"/>
  <c r="W553" i="39"/>
  <c r="W568" i="39" s="1"/>
  <c r="O568" i="39"/>
  <c r="P589" i="39"/>
  <c r="P604" i="39" s="1"/>
  <c r="P625" i="39"/>
  <c r="P514" i="39"/>
  <c r="U758" i="39"/>
  <c r="U586" i="39"/>
  <c r="R589" i="39"/>
  <c r="R604" i="39" s="1"/>
  <c r="R607" i="39"/>
  <c r="R724" i="39" s="1"/>
  <c r="R550" i="39"/>
  <c r="U741" i="39"/>
  <c r="U568" i="39"/>
  <c r="T625" i="39"/>
  <c r="T514" i="39"/>
  <c r="P724" i="39"/>
  <c r="P550" i="39"/>
  <c r="U707" i="39"/>
  <c r="U532" i="39"/>
  <c r="R625" i="39"/>
  <c r="R514" i="39"/>
  <c r="T621" i="5"/>
  <c r="U702" i="18"/>
  <c r="U165" i="19" s="1"/>
  <c r="R618" i="18"/>
  <c r="W618" i="18" s="1"/>
  <c r="W422" i="18"/>
  <c r="L422" i="18" s="1"/>
  <c r="U380" i="18"/>
  <c r="V380" i="18"/>
  <c r="R380" i="18"/>
  <c r="S380" i="18"/>
  <c r="T380" i="18"/>
  <c r="W148" i="18"/>
  <c r="R401" i="18"/>
  <c r="T401" i="18"/>
  <c r="T464" i="18" s="1"/>
  <c r="U401" i="18"/>
  <c r="U597" i="18" s="1"/>
  <c r="S401" i="18"/>
  <c r="V401" i="18"/>
  <c r="V597" i="18" s="1"/>
  <c r="V894" i="18" s="1"/>
  <c r="L148" i="18"/>
  <c r="S627" i="5"/>
  <c r="T627" i="5"/>
  <c r="S645" i="5"/>
  <c r="S648" i="5" s="1"/>
  <c r="V627" i="5"/>
  <c r="W571" i="5"/>
  <c r="T109" i="19"/>
  <c r="T112" i="19" s="1"/>
  <c r="T125" i="17"/>
  <c r="T645" i="5"/>
  <c r="S621" i="5"/>
  <c r="R109" i="19"/>
  <c r="W122" i="17"/>
  <c r="R125" i="17"/>
  <c r="V109" i="19"/>
  <c r="V112" i="19" s="1"/>
  <c r="V125" i="17"/>
  <c r="R50" i="18"/>
  <c r="W647" i="5"/>
  <c r="S109" i="19"/>
  <c r="S112" i="19" s="1"/>
  <c r="S125" i="17"/>
  <c r="U48" i="18"/>
  <c r="U648" i="5"/>
  <c r="R360" i="18"/>
  <c r="T360" i="18"/>
  <c r="V360" i="18"/>
  <c r="U360" i="18"/>
  <c r="S360" i="18"/>
  <c r="W149" i="18"/>
  <c r="R49" i="18"/>
  <c r="W646" i="5"/>
  <c r="V48" i="18"/>
  <c r="V648" i="5"/>
  <c r="U621" i="5"/>
  <c r="U396" i="18"/>
  <c r="U592" i="18" s="1"/>
  <c r="U890" i="18" s="1"/>
  <c r="S396" i="18"/>
  <c r="S480" i="18" s="1"/>
  <c r="R396" i="18"/>
  <c r="V396" i="18"/>
  <c r="V592" i="18" s="1"/>
  <c r="V890" i="18" s="1"/>
  <c r="T396" i="18"/>
  <c r="T592" i="18" s="1"/>
  <c r="W620" i="5"/>
  <c r="T417" i="18"/>
  <c r="T480" i="18" s="1"/>
  <c r="V417" i="18"/>
  <c r="V613" i="18" s="1"/>
  <c r="V910" i="18" s="1"/>
  <c r="U417" i="18"/>
  <c r="U613" i="18" s="1"/>
  <c r="R417" i="18"/>
  <c r="S417" i="18"/>
  <c r="U627" i="5"/>
  <c r="U109" i="19"/>
  <c r="U112" i="19" s="1"/>
  <c r="U125" i="17"/>
  <c r="S397" i="18"/>
  <c r="S481" i="18" s="1"/>
  <c r="V397" i="18"/>
  <c r="V593" i="18" s="1"/>
  <c r="V891" i="18" s="1"/>
  <c r="U397" i="18"/>
  <c r="U593" i="18" s="1"/>
  <c r="U891" i="18" s="1"/>
  <c r="T397" i="18"/>
  <c r="T593" i="18" s="1"/>
  <c r="T891" i="18" s="1"/>
  <c r="R397" i="18"/>
  <c r="R645" i="5"/>
  <c r="R627" i="5"/>
  <c r="R418" i="18"/>
  <c r="T418" i="18"/>
  <c r="T481" i="18" s="1"/>
  <c r="U418" i="18"/>
  <c r="U614" i="18" s="1"/>
  <c r="S418" i="18"/>
  <c r="V418" i="18"/>
  <c r="V614" i="18" s="1"/>
  <c r="V911" i="18" s="1"/>
  <c r="T439" i="18"/>
  <c r="T635" i="18" s="1"/>
  <c r="V439" i="18"/>
  <c r="V635" i="18" s="1"/>
  <c r="V931" i="18" s="1"/>
  <c r="R439" i="18"/>
  <c r="U439" i="18"/>
  <c r="U481" i="18" s="1"/>
  <c r="S439" i="18"/>
  <c r="S635" i="18" s="1"/>
  <c r="V719" i="18"/>
  <c r="V182" i="19" s="1"/>
  <c r="V677" i="18"/>
  <c r="R438" i="18"/>
  <c r="T438" i="18"/>
  <c r="T634" i="18" s="1"/>
  <c r="S438" i="18"/>
  <c r="S634" i="18" s="1"/>
  <c r="U438" i="18"/>
  <c r="U480" i="18" s="1"/>
  <c r="V438" i="18"/>
  <c r="V634" i="18" s="1"/>
  <c r="V930" i="18" s="1"/>
  <c r="R111" i="19"/>
  <c r="W111" i="19" s="1"/>
  <c r="W124" i="17"/>
  <c r="W617" i="5"/>
  <c r="R621" i="5"/>
  <c r="R110" i="19"/>
  <c r="W110" i="19" s="1"/>
  <c r="W123" i="17"/>
  <c r="V718" i="18"/>
  <c r="V181" i="19" s="1"/>
  <c r="V676" i="18"/>
  <c r="V621" i="5"/>
  <c r="R72" i="19"/>
  <c r="W72" i="19" s="1"/>
  <c r="V80" i="19"/>
  <c r="R80" i="19"/>
  <c r="W128" i="19"/>
  <c r="T76" i="19"/>
  <c r="R76" i="19"/>
  <c r="W70" i="19"/>
  <c r="W454" i="18"/>
  <c r="L963" i="18" a="1"/>
  <c r="L963" i="18" s="1"/>
  <c r="W191" i="19"/>
  <c r="W199" i="19"/>
  <c r="T151" i="19"/>
  <c r="V758" i="18"/>
  <c r="V791" i="18" s="1"/>
  <c r="U188" i="19"/>
  <c r="U69" i="19" s="1"/>
  <c r="V173" i="19"/>
  <c r="R865" i="18"/>
  <c r="R862" i="18"/>
  <c r="S882" i="18"/>
  <c r="T192" i="19"/>
  <c r="V188" i="19"/>
  <c r="V69" i="19" s="1"/>
  <c r="U758" i="18"/>
  <c r="U791" i="18" s="1"/>
  <c r="V934" i="18"/>
  <c r="R854" i="18"/>
  <c r="T190" i="19"/>
  <c r="S151" i="19"/>
  <c r="U151" i="19"/>
  <c r="S746" i="18"/>
  <c r="S779" i="18" s="1"/>
  <c r="S748" i="18"/>
  <c r="S781" i="18" s="1"/>
  <c r="U750" i="18"/>
  <c r="U783" i="18" s="1"/>
  <c r="S193" i="19"/>
  <c r="S74" i="19" s="1"/>
  <c r="S177" i="19"/>
  <c r="U173" i="19"/>
  <c r="T902" i="18"/>
  <c r="S758" i="18"/>
  <c r="S791" i="18" s="1"/>
  <c r="V751" i="18"/>
  <c r="V784" i="18" s="1"/>
  <c r="S750" i="18"/>
  <c r="S783" i="18" s="1"/>
  <c r="V750" i="18"/>
  <c r="V783" i="18" s="1"/>
  <c r="U925" i="18"/>
  <c r="T200" i="19"/>
  <c r="T188" i="19"/>
  <c r="V151" i="19"/>
  <c r="V748" i="18"/>
  <c r="V781" i="18" s="1"/>
  <c r="U751" i="18"/>
  <c r="U784" i="18" s="1"/>
  <c r="U748" i="18"/>
  <c r="U781" i="18" s="1"/>
  <c r="V176" i="19"/>
  <c r="S885" i="18"/>
  <c r="T130" i="19"/>
  <c r="T905" i="18"/>
  <c r="T127" i="19"/>
  <c r="L967" i="18" a="1"/>
  <c r="L967" i="18" s="1"/>
  <c r="V127" i="19"/>
  <c r="V942" i="18"/>
  <c r="V130" i="19"/>
  <c r="V945" i="18"/>
  <c r="S130" i="19"/>
  <c r="S127" i="19"/>
  <c r="U130" i="19"/>
  <c r="U886" i="18"/>
  <c r="V926" i="18"/>
  <c r="V886" i="18"/>
  <c r="S672" i="18"/>
  <c r="T886" i="18"/>
  <c r="W563" i="18"/>
  <c r="W451" i="18"/>
  <c r="T714" i="18"/>
  <c r="U672" i="18"/>
  <c r="W588" i="18"/>
  <c r="U714" i="18"/>
  <c r="T672" i="18"/>
  <c r="W609" i="18"/>
  <c r="R615" i="18"/>
  <c r="W630" i="18"/>
  <c r="R702" i="18"/>
  <c r="U497" i="18"/>
  <c r="U567" i="18"/>
  <c r="T497" i="18"/>
  <c r="T651" i="18" s="1"/>
  <c r="T567" i="18"/>
  <c r="R476" i="18"/>
  <c r="W476" i="18" s="1"/>
  <c r="R573" i="18"/>
  <c r="W555" i="18"/>
  <c r="S497" i="18"/>
  <c r="S651" i="18" s="1"/>
  <c r="S567" i="18"/>
  <c r="V497" i="18"/>
  <c r="V651" i="18" s="1"/>
  <c r="V567" i="18"/>
  <c r="S455" i="18"/>
  <c r="T455" i="18"/>
  <c r="R455" i="18"/>
  <c r="W371" i="18"/>
  <c r="U455" i="18"/>
  <c r="V746" i="18"/>
  <c r="V779" i="18" s="1"/>
  <c r="V192" i="19"/>
  <c r="V73" i="19" s="1"/>
  <c r="S751" i="18"/>
  <c r="S784" i="18" s="1"/>
  <c r="U190" i="19"/>
  <c r="U71" i="19" s="1"/>
  <c r="R696" i="18"/>
  <c r="U193" i="19"/>
  <c r="U74" i="19" s="1"/>
  <c r="S192" i="19"/>
  <c r="S73" i="19" s="1"/>
  <c r="U200" i="19"/>
  <c r="U81" i="19" s="1"/>
  <c r="U746" i="18"/>
  <c r="U779" i="18" s="1"/>
  <c r="W195" i="19"/>
  <c r="S200" i="19"/>
  <c r="S81" i="19" s="1"/>
  <c r="T689" i="18"/>
  <c r="U192" i="19"/>
  <c r="U73" i="19" s="1"/>
  <c r="V193" i="19"/>
  <c r="V74" i="19" s="1"/>
  <c r="S190" i="19"/>
  <c r="S71" i="19" s="1"/>
  <c r="V689" i="18"/>
  <c r="V692" i="18"/>
  <c r="W153" i="19"/>
  <c r="S188" i="19"/>
  <c r="S69" i="19" s="1"/>
  <c r="T692" i="18"/>
  <c r="V200" i="19"/>
  <c r="V81" i="19" s="1"/>
  <c r="V190" i="19"/>
  <c r="V71" i="19" s="1"/>
  <c r="S692" i="18"/>
  <c r="U692" i="18"/>
  <c r="S689" i="18"/>
  <c r="U689" i="18"/>
  <c r="R651" i="18"/>
  <c r="T725" i="18"/>
  <c r="T956" i="18" s="1"/>
  <c r="T142" i="19"/>
  <c r="T737" i="18"/>
  <c r="T968" i="18" s="1"/>
  <c r="T750" i="18"/>
  <c r="T783" i="18" s="1"/>
  <c r="R687" i="18"/>
  <c r="R695" i="18"/>
  <c r="R692" i="18"/>
  <c r="R689" i="18"/>
  <c r="S681" i="18"/>
  <c r="R698" i="18"/>
  <c r="R697" i="18"/>
  <c r="R685" i="18"/>
  <c r="R688" i="18"/>
  <c r="R683" i="18"/>
  <c r="T729" i="18"/>
  <c r="T960" i="18" s="1"/>
  <c r="T758" i="18"/>
  <c r="T791" i="18" s="1"/>
  <c r="T746" i="18"/>
  <c r="T779" i="18" s="1"/>
  <c r="T748" i="18"/>
  <c r="T781" i="18" s="1"/>
  <c r="T734" i="18"/>
  <c r="T965" i="18" s="1"/>
  <c r="U119" i="19"/>
  <c r="W489" i="18"/>
  <c r="T123" i="19"/>
  <c r="W664" i="18"/>
  <c r="W145" i="19"/>
  <c r="T727" i="18"/>
  <c r="T958" i="18" s="1"/>
  <c r="W757" i="18"/>
  <c r="T179" i="19"/>
  <c r="W179" i="19" s="1"/>
  <c r="W716" i="18"/>
  <c r="T120" i="19"/>
  <c r="W493" i="18"/>
  <c r="T172" i="19"/>
  <c r="W172" i="19" s="1"/>
  <c r="W709" i="18"/>
  <c r="W736" i="18"/>
  <c r="T171" i="19"/>
  <c r="W171" i="19" s="1"/>
  <c r="W708" i="18"/>
  <c r="R141" i="19"/>
  <c r="W492" i="18"/>
  <c r="T731" i="18"/>
  <c r="T962" i="18" s="1"/>
  <c r="T148" i="19"/>
  <c r="R130" i="19"/>
  <c r="W671" i="18"/>
  <c r="T121" i="19"/>
  <c r="W662" i="18"/>
  <c r="V734" i="18"/>
  <c r="V965" i="18" s="1"/>
  <c r="R155" i="19"/>
  <c r="U734" i="18"/>
  <c r="U965" i="18" s="1"/>
  <c r="U731" i="18"/>
  <c r="U962" i="18" s="1"/>
  <c r="U148" i="19"/>
  <c r="S734" i="18"/>
  <c r="S965" i="18" s="1"/>
  <c r="W732" i="18"/>
  <c r="T147" i="19"/>
  <c r="T730" i="18"/>
  <c r="T961" i="18" s="1"/>
  <c r="T126" i="19"/>
  <c r="W667" i="18"/>
  <c r="T125" i="19"/>
  <c r="W666" i="18"/>
  <c r="T167" i="19"/>
  <c r="W167" i="19" s="1"/>
  <c r="W704" i="18"/>
  <c r="W491" i="18"/>
  <c r="W499" i="18"/>
  <c r="W496" i="18"/>
  <c r="T751" i="18"/>
  <c r="T784" i="18" s="1"/>
  <c r="T193" i="19"/>
  <c r="W749" i="18"/>
  <c r="R187" i="19"/>
  <c r="R173" i="19"/>
  <c r="W710" i="18"/>
  <c r="W487" i="18"/>
  <c r="R176" i="19"/>
  <c r="W713" i="18"/>
  <c r="V119" i="19"/>
  <c r="W753" i="18"/>
  <c r="V165" i="19"/>
  <c r="T169" i="19"/>
  <c r="W169" i="19" s="1"/>
  <c r="W706" i="18"/>
  <c r="W728" i="18"/>
  <c r="T133" i="19"/>
  <c r="W674" i="18"/>
  <c r="R119" i="19"/>
  <c r="T166" i="19"/>
  <c r="R127" i="19"/>
  <c r="W668" i="18"/>
  <c r="S731" i="18"/>
  <c r="S962" i="18" s="1"/>
  <c r="S148" i="19"/>
  <c r="V148" i="19"/>
  <c r="V731" i="18"/>
  <c r="V962" i="18" s="1"/>
  <c r="S48" i="18" l="1"/>
  <c r="S51" i="18" s="1"/>
  <c r="V135" i="19"/>
  <c r="V950" i="18"/>
  <c r="V136" i="19"/>
  <c r="V951" i="18"/>
  <c r="P211" i="19"/>
  <c r="P643" i="39"/>
  <c r="P622" i="39"/>
  <c r="T232" i="19"/>
  <c r="T250" i="19" s="1"/>
  <c r="T640" i="39"/>
  <c r="U643" i="39"/>
  <c r="U232" i="19"/>
  <c r="U250" i="19" s="1"/>
  <c r="U640" i="39"/>
  <c r="S232" i="19"/>
  <c r="S640" i="39"/>
  <c r="T211" i="19"/>
  <c r="T229" i="19" s="1"/>
  <c r="T643" i="39"/>
  <c r="T622" i="39"/>
  <c r="R232" i="19"/>
  <c r="R250" i="19" s="1"/>
  <c r="R640" i="39"/>
  <c r="O211" i="19"/>
  <c r="O643" i="39"/>
  <c r="O775" i="39" s="1"/>
  <c r="O796" i="39" s="1" a="1"/>
  <c r="O796" i="39" s="1"/>
  <c r="O45" i="40" s="1"/>
  <c r="W607" i="39"/>
  <c r="W622" i="39" s="1"/>
  <c r="O622" i="39"/>
  <c r="V232" i="19"/>
  <c r="V250" i="19" s="1"/>
  <c r="V643" i="39"/>
  <c r="V640" i="39"/>
  <c r="R211" i="19"/>
  <c r="R229" i="19" s="1"/>
  <c r="R643" i="39"/>
  <c r="R622" i="39"/>
  <c r="W589" i="39"/>
  <c r="W604" i="39" s="1"/>
  <c r="O604" i="39"/>
  <c r="P232" i="19"/>
  <c r="P250" i="19" s="1"/>
  <c r="W625" i="39"/>
  <c r="W640" i="39" s="1"/>
  <c r="P640" i="39"/>
  <c r="S211" i="19"/>
  <c r="S229" i="19" s="1"/>
  <c r="S643" i="39"/>
  <c r="S622" i="39"/>
  <c r="L144" i="30"/>
  <c r="T576" i="18"/>
  <c r="T485" i="18"/>
  <c r="T443" i="18"/>
  <c r="S464" i="18"/>
  <c r="S443" i="18"/>
  <c r="W380" i="18"/>
  <c r="L380" i="18" s="1"/>
  <c r="R443" i="18"/>
  <c r="V576" i="18"/>
  <c r="V874" i="18" s="1"/>
  <c r="V443" i="18"/>
  <c r="V485" i="18"/>
  <c r="U894" i="18"/>
  <c r="W597" i="18"/>
  <c r="U576" i="18"/>
  <c r="U874" i="18" s="1"/>
  <c r="U485" i="18"/>
  <c r="U443" i="18"/>
  <c r="T702" i="18"/>
  <c r="T165" i="19" s="1"/>
  <c r="T660" i="18"/>
  <c r="W401" i="18"/>
  <c r="L401" i="18" s="1"/>
  <c r="W109" i="19"/>
  <c r="W112" i="19" s="1"/>
  <c r="R112" i="19"/>
  <c r="U911" i="18"/>
  <c r="W614" i="18"/>
  <c r="S486" i="18"/>
  <c r="S556" i="18"/>
  <c r="S444" i="18"/>
  <c r="U910" i="18"/>
  <c r="W613" i="18"/>
  <c r="T719" i="18"/>
  <c r="T182" i="19" s="1"/>
  <c r="T677" i="18"/>
  <c r="S677" i="18"/>
  <c r="S719" i="18"/>
  <c r="S182" i="19" s="1"/>
  <c r="T676" i="18"/>
  <c r="T718" i="18"/>
  <c r="T181" i="19" s="1"/>
  <c r="U556" i="18"/>
  <c r="U855" i="18" s="1"/>
  <c r="U444" i="18"/>
  <c r="U486" i="18"/>
  <c r="T48" i="18"/>
  <c r="T648" i="5"/>
  <c r="W418" i="18"/>
  <c r="L418" i="18" s="1"/>
  <c r="V163" i="18"/>
  <c r="V51" i="18"/>
  <c r="U718" i="18"/>
  <c r="U181" i="19" s="1"/>
  <c r="U676" i="18"/>
  <c r="R635" i="18"/>
  <c r="W635" i="18" s="1"/>
  <c r="W439" i="18"/>
  <c r="L439" i="18" s="1"/>
  <c r="T890" i="18"/>
  <c r="W592" i="18"/>
  <c r="T556" i="18"/>
  <c r="T855" i="18" s="1"/>
  <c r="T486" i="18"/>
  <c r="T444" i="18"/>
  <c r="R48" i="18"/>
  <c r="W645" i="5"/>
  <c r="W648" i="5" s="1"/>
  <c r="R648" i="5"/>
  <c r="R164" i="18"/>
  <c r="W49" i="18"/>
  <c r="R465" i="18"/>
  <c r="W360" i="18"/>
  <c r="L360" i="18" s="1"/>
  <c r="R444" i="18"/>
  <c r="R165" i="18"/>
  <c r="W50" i="18"/>
  <c r="W397" i="18"/>
  <c r="L397" i="18" s="1"/>
  <c r="W396" i="18"/>
  <c r="L396" i="18" s="1"/>
  <c r="U677" i="18"/>
  <c r="U719" i="18"/>
  <c r="U182" i="19" s="1"/>
  <c r="V556" i="18"/>
  <c r="V855" i="18" s="1"/>
  <c r="V444" i="18"/>
  <c r="V486" i="18"/>
  <c r="W621" i="5"/>
  <c r="L621" i="5" s="1"/>
  <c r="L143" i="30" s="1"/>
  <c r="R634" i="18"/>
  <c r="W634" i="18" s="1"/>
  <c r="W438" i="18"/>
  <c r="L438" i="18" s="1"/>
  <c r="W417" i="18"/>
  <c r="L417" i="18" s="1"/>
  <c r="S718" i="18"/>
  <c r="S181" i="19" s="1"/>
  <c r="S676" i="18"/>
  <c r="S163" i="18"/>
  <c r="U163" i="18"/>
  <c r="U51" i="18"/>
  <c r="W125" i="17"/>
  <c r="L125" i="17" s="1" a="1"/>
  <c r="L125" i="17" s="1"/>
  <c r="W76" i="19"/>
  <c r="T81" i="19"/>
  <c r="T71" i="19"/>
  <c r="T73" i="19"/>
  <c r="T69" i="19"/>
  <c r="T74" i="19"/>
  <c r="W80" i="19"/>
  <c r="W173" i="19"/>
  <c r="W151" i="19"/>
  <c r="W176" i="19"/>
  <c r="S755" i="18"/>
  <c r="S788" i="18" s="1"/>
  <c r="V194" i="19"/>
  <c r="V75" i="19" s="1"/>
  <c r="U926" i="18"/>
  <c r="S152" i="19"/>
  <c r="S194" i="19"/>
  <c r="S75" i="19" s="1"/>
  <c r="T755" i="18"/>
  <c r="T788" i="18" s="1"/>
  <c r="T152" i="19"/>
  <c r="T177" i="19"/>
  <c r="T194" i="19"/>
  <c r="T75" i="19" s="1"/>
  <c r="U752" i="18"/>
  <c r="U785" i="18" s="1"/>
  <c r="U197" i="19"/>
  <c r="U78" i="19" s="1"/>
  <c r="V755" i="18"/>
  <c r="V788" i="18" s="1"/>
  <c r="V152" i="19"/>
  <c r="R165" i="19"/>
  <c r="T906" i="18"/>
  <c r="S886" i="18"/>
  <c r="L371" i="18"/>
  <c r="S131" i="19"/>
  <c r="S866" i="18"/>
  <c r="R657" i="18"/>
  <c r="T866" i="18"/>
  <c r="V866" i="18"/>
  <c r="U866" i="18"/>
  <c r="T131" i="19"/>
  <c r="W593" i="18"/>
  <c r="R594" i="18"/>
  <c r="R672" i="18"/>
  <c r="R714" i="18"/>
  <c r="W567" i="18"/>
  <c r="W455" i="18"/>
  <c r="S752" i="18"/>
  <c r="S785" i="18" s="1"/>
  <c r="V197" i="19"/>
  <c r="V78" i="19" s="1"/>
  <c r="T197" i="19"/>
  <c r="T78" i="19" s="1"/>
  <c r="R201" i="19"/>
  <c r="U755" i="18"/>
  <c r="U788" i="18" s="1"/>
  <c r="T752" i="18"/>
  <c r="T785" i="18" s="1"/>
  <c r="V752" i="18"/>
  <c r="V785" i="18" s="1"/>
  <c r="S197" i="19"/>
  <c r="S78" i="19" s="1"/>
  <c r="S693" i="18"/>
  <c r="V693" i="18"/>
  <c r="R693" i="18"/>
  <c r="R699" i="18" s="1"/>
  <c r="R503" i="18"/>
  <c r="U194" i="19"/>
  <c r="U75" i="19" s="1"/>
  <c r="T693" i="18"/>
  <c r="W497" i="18"/>
  <c r="U651" i="18"/>
  <c r="S735" i="18"/>
  <c r="S966" i="18" s="1"/>
  <c r="U693" i="18"/>
  <c r="T735" i="18"/>
  <c r="T966" i="18" s="1"/>
  <c r="U177" i="19"/>
  <c r="V177" i="19"/>
  <c r="U131" i="19"/>
  <c r="V131" i="19"/>
  <c r="V735" i="18"/>
  <c r="V966" i="18" s="1"/>
  <c r="W127" i="19"/>
  <c r="R152" i="19"/>
  <c r="R755" i="18"/>
  <c r="R788" i="18" s="1"/>
  <c r="R197" i="19"/>
  <c r="R78" i="19" s="1"/>
  <c r="W692" i="18"/>
  <c r="R154" i="19"/>
  <c r="R737" i="18"/>
  <c r="R968" i="18" s="1"/>
  <c r="L968" i="18" s="1" a="1"/>
  <c r="L968" i="18" s="1"/>
  <c r="W653" i="18"/>
  <c r="L653" i="18" s="1" a="1"/>
  <c r="L653" i="18" s="1"/>
  <c r="R192" i="19"/>
  <c r="W192" i="19" s="1"/>
  <c r="W687" i="18"/>
  <c r="R750" i="18"/>
  <c r="R783" i="18" s="1"/>
  <c r="R156" i="19"/>
  <c r="W123" i="19"/>
  <c r="W133" i="19"/>
  <c r="R734" i="18"/>
  <c r="R965" i="18" s="1"/>
  <c r="L965" i="18" s="1" a="1"/>
  <c r="L965" i="18" s="1"/>
  <c r="W650" i="18"/>
  <c r="L650" i="18" s="1" a="1"/>
  <c r="L650" i="18" s="1"/>
  <c r="R200" i="19"/>
  <c r="W200" i="19" s="1"/>
  <c r="W695" i="18"/>
  <c r="R758" i="18"/>
  <c r="R791" i="18" s="1"/>
  <c r="W125" i="19"/>
  <c r="W130" i="19"/>
  <c r="R193" i="19"/>
  <c r="W193" i="19" s="1"/>
  <c r="R751" i="18"/>
  <c r="R784" i="18" s="1"/>
  <c r="W688" i="18"/>
  <c r="R752" i="18"/>
  <c r="R785" i="18" s="1"/>
  <c r="R194" i="19"/>
  <c r="W689" i="18"/>
  <c r="R190" i="19"/>
  <c r="W190" i="19" s="1"/>
  <c r="R748" i="18"/>
  <c r="R781" i="18" s="1"/>
  <c r="W685" i="18"/>
  <c r="R203" i="19"/>
  <c r="R723" i="18"/>
  <c r="R954" i="18" s="1"/>
  <c r="R140" i="19"/>
  <c r="R188" i="19"/>
  <c r="W188" i="19" s="1"/>
  <c r="R746" i="18"/>
  <c r="R779" i="18" s="1"/>
  <c r="W683" i="18"/>
  <c r="S186" i="19"/>
  <c r="W121" i="19"/>
  <c r="R147" i="19"/>
  <c r="R730" i="18"/>
  <c r="R961" i="18" s="1"/>
  <c r="L961" i="18" s="1" a="1"/>
  <c r="L961" i="18" s="1"/>
  <c r="W646" i="18"/>
  <c r="L646" i="18" s="1" a="1"/>
  <c r="L646" i="18" s="1"/>
  <c r="R148" i="19"/>
  <c r="W148" i="19" s="1"/>
  <c r="W647" i="18"/>
  <c r="L647" i="18" s="1" a="1"/>
  <c r="L647" i="18" s="1"/>
  <c r="R731" i="18"/>
  <c r="R962" i="18" s="1"/>
  <c r="L962" i="18" s="1" a="1"/>
  <c r="L962" i="18" s="1"/>
  <c r="R144" i="19"/>
  <c r="R727" i="18"/>
  <c r="R958" i="18" s="1"/>
  <c r="L958" i="18" s="1" a="1"/>
  <c r="L958" i="18" s="1"/>
  <c r="W643" i="18"/>
  <c r="L643" i="18" s="1" a="1"/>
  <c r="L643" i="18" s="1"/>
  <c r="R157" i="19"/>
  <c r="R744" i="18"/>
  <c r="R777" i="18" s="1"/>
  <c r="R186" i="19"/>
  <c r="R142" i="19"/>
  <c r="R725" i="18"/>
  <c r="R956" i="18" s="1"/>
  <c r="L956" i="18" s="1" a="1"/>
  <c r="L956" i="18" s="1"/>
  <c r="R146" i="19"/>
  <c r="R729" i="18"/>
  <c r="R960" i="18" s="1"/>
  <c r="L960" i="18" s="1" a="1"/>
  <c r="L960" i="18" s="1"/>
  <c r="W645" i="18"/>
  <c r="L645" i="18" s="1" a="1"/>
  <c r="L645" i="18" s="1"/>
  <c r="S140" i="19"/>
  <c r="W126" i="19"/>
  <c r="R202" i="19"/>
  <c r="S658" i="39" l="1"/>
  <c r="S775" i="39"/>
  <c r="S796" i="39" s="1" a="1"/>
  <c r="S796" i="39" s="1"/>
  <c r="R658" i="39"/>
  <c r="R775" i="39"/>
  <c r="R796" i="39" s="1" a="1"/>
  <c r="R796" i="39" s="1"/>
  <c r="R45" i="40" s="1"/>
  <c r="P658" i="39"/>
  <c r="P775" i="39"/>
  <c r="P796" i="39" s="1" a="1"/>
  <c r="P796" i="39" s="1"/>
  <c r="P45" i="40" s="1"/>
  <c r="O23" i="40"/>
  <c r="O25" i="20"/>
  <c r="O799" i="39"/>
  <c r="O41" i="40"/>
  <c r="U135" i="19"/>
  <c r="U930" i="18"/>
  <c r="U136" i="19"/>
  <c r="U931" i="18"/>
  <c r="T119" i="19"/>
  <c r="T894" i="18"/>
  <c r="T135" i="19"/>
  <c r="T910" i="18"/>
  <c r="T136" i="19"/>
  <c r="T911" i="18"/>
  <c r="S135" i="19"/>
  <c r="S890" i="18"/>
  <c r="S136" i="19"/>
  <c r="S891" i="18"/>
  <c r="U775" i="39"/>
  <c r="U796" i="39" s="1" a="1"/>
  <c r="U796" i="39" s="1"/>
  <c r="U45" i="40" s="1"/>
  <c r="U658" i="39"/>
  <c r="W643" i="39"/>
  <c r="W658" i="39" s="1"/>
  <c r="L658" i="39" s="1"/>
  <c r="O658" i="39"/>
  <c r="T775" i="39"/>
  <c r="T658" i="39"/>
  <c r="O67" i="19"/>
  <c r="O85" i="19" s="1"/>
  <c r="O87" i="19" s="1"/>
  <c r="W211" i="19"/>
  <c r="W229" i="19" s="1"/>
  <c r="O229" i="19"/>
  <c r="V775" i="39"/>
  <c r="V796" i="39" s="1" a="1"/>
  <c r="V796" i="39" s="1"/>
  <c r="V45" i="40" s="1"/>
  <c r="V658" i="39"/>
  <c r="W232" i="19"/>
  <c r="W250" i="19" s="1"/>
  <c r="S250" i="19"/>
  <c r="P67" i="19"/>
  <c r="P85" i="19" s="1"/>
  <c r="P87" i="19" s="1"/>
  <c r="P229" i="19"/>
  <c r="W443" i="18"/>
  <c r="U639" i="18"/>
  <c r="U681" i="18"/>
  <c r="S660" i="18"/>
  <c r="S874" i="18" s="1"/>
  <c r="S702" i="18"/>
  <c r="W464" i="18"/>
  <c r="V639" i="18"/>
  <c r="V681" i="18"/>
  <c r="T639" i="18"/>
  <c r="W485" i="18"/>
  <c r="T681" i="18"/>
  <c r="T874" i="18"/>
  <c r="W576" i="18"/>
  <c r="W444" i="18"/>
  <c r="L162" i="17" a="1"/>
  <c r="L162" i="17" s="1"/>
  <c r="L154" i="30" s="1"/>
  <c r="U640" i="18"/>
  <c r="U682" i="18"/>
  <c r="T437" i="18"/>
  <c r="S437" i="18"/>
  <c r="V437" i="18"/>
  <c r="R437" i="18"/>
  <c r="U437" i="18"/>
  <c r="U166" i="18"/>
  <c r="S395" i="18"/>
  <c r="U395" i="18"/>
  <c r="V395" i="18"/>
  <c r="R395" i="18"/>
  <c r="T395" i="18"/>
  <c r="S166" i="18"/>
  <c r="V640" i="18"/>
  <c r="V682" i="18"/>
  <c r="R661" i="18"/>
  <c r="R855" i="18" s="1"/>
  <c r="R703" i="18"/>
  <c r="W465" i="18"/>
  <c r="T640" i="18"/>
  <c r="T682" i="18"/>
  <c r="V479" i="18"/>
  <c r="V166" i="18"/>
  <c r="R163" i="18"/>
  <c r="W48" i="18"/>
  <c r="W51" i="18" s="1"/>
  <c r="R51" i="18"/>
  <c r="L151" i="30"/>
  <c r="U375" i="18"/>
  <c r="S375" i="18"/>
  <c r="V375" i="18"/>
  <c r="T375" i="18"/>
  <c r="R375" i="18"/>
  <c r="W164" i="18"/>
  <c r="S855" i="18"/>
  <c r="W556" i="18"/>
  <c r="V376" i="18"/>
  <c r="R376" i="18"/>
  <c r="U376" i="18"/>
  <c r="T376" i="18"/>
  <c r="S376" i="18"/>
  <c r="W165" i="18"/>
  <c r="T163" i="18"/>
  <c r="T51" i="18"/>
  <c r="S640" i="18"/>
  <c r="S682" i="18"/>
  <c r="W486" i="18"/>
  <c r="R69" i="19"/>
  <c r="W69" i="19" s="1"/>
  <c r="R73" i="19"/>
  <c r="W73" i="19" s="1"/>
  <c r="R81" i="19"/>
  <c r="W81" i="19" s="1"/>
  <c r="R75" i="19"/>
  <c r="W75" i="19" s="1"/>
  <c r="R67" i="19"/>
  <c r="R71" i="19"/>
  <c r="W71" i="19" s="1"/>
  <c r="R74" i="19"/>
  <c r="W74" i="19" s="1"/>
  <c r="W78" i="19"/>
  <c r="T198" i="19"/>
  <c r="T79" i="19" s="1"/>
  <c r="U152" i="19"/>
  <c r="V198" i="19"/>
  <c r="V79" i="19" s="1"/>
  <c r="S756" i="18"/>
  <c r="S789" i="18" s="1"/>
  <c r="U198" i="19"/>
  <c r="R177" i="19"/>
  <c r="R158" i="19"/>
  <c r="R866" i="18"/>
  <c r="R131" i="19"/>
  <c r="R735" i="18"/>
  <c r="R966" i="18" s="1"/>
  <c r="W672" i="18"/>
  <c r="W714" i="18"/>
  <c r="R506" i="18"/>
  <c r="W197" i="19"/>
  <c r="R756" i="18"/>
  <c r="R789" i="18" s="1"/>
  <c r="R198" i="19"/>
  <c r="R204" i="19" s="1"/>
  <c r="V756" i="18"/>
  <c r="V789" i="18" s="1"/>
  <c r="S198" i="19"/>
  <c r="S79" i="19" s="1"/>
  <c r="W194" i="19"/>
  <c r="T756" i="18"/>
  <c r="T789" i="18" s="1"/>
  <c r="W693" i="18"/>
  <c r="W651" i="18"/>
  <c r="L651" i="18" s="1" a="1"/>
  <c r="L651" i="18" s="1"/>
  <c r="U756" i="18"/>
  <c r="U789" i="18" s="1"/>
  <c r="U735" i="18"/>
  <c r="U966" i="18" s="1"/>
  <c r="W725" i="18"/>
  <c r="W746" i="18"/>
  <c r="W750" i="18"/>
  <c r="W737" i="18"/>
  <c r="W755" i="18"/>
  <c r="W142" i="19"/>
  <c r="W154" i="19"/>
  <c r="W729" i="18"/>
  <c r="W727" i="18"/>
  <c r="W731" i="18"/>
  <c r="W730" i="18"/>
  <c r="W146" i="19"/>
  <c r="W144" i="19"/>
  <c r="W147" i="19"/>
  <c r="W748" i="18"/>
  <c r="W752" i="18"/>
  <c r="W751" i="18"/>
  <c r="W758" i="18"/>
  <c r="W734" i="18"/>
  <c r="B288" i="16"/>
  <c r="X27" i="21" l="1"/>
  <c r="O27" i="21" s="1"/>
  <c r="S25" i="20"/>
  <c r="AB27" i="21" s="1"/>
  <c r="S27" i="21" s="1"/>
  <c r="S23" i="40"/>
  <c r="S45" i="40"/>
  <c r="S41" i="40" s="1"/>
  <c r="S799" i="39"/>
  <c r="R23" i="40"/>
  <c r="R41" i="40"/>
  <c r="R799" i="39"/>
  <c r="R25" i="20"/>
  <c r="AA27" i="21" s="1"/>
  <c r="R27" i="21" s="1"/>
  <c r="P41" i="40"/>
  <c r="P799" i="39"/>
  <c r="P25" i="20"/>
  <c r="Y27" i="21" s="1"/>
  <c r="P27" i="21" s="1"/>
  <c r="P23" i="40"/>
  <c r="O26" i="19"/>
  <c r="O27" i="19" s="1"/>
  <c r="O15" i="19" s="1"/>
  <c r="O20" i="40"/>
  <c r="T796" i="39" a="1"/>
  <c r="T796" i="39" s="1"/>
  <c r="T45" i="40" s="1"/>
  <c r="L775" i="39" a="1"/>
  <c r="L775" i="39" s="1"/>
  <c r="L220" i="30" s="1"/>
  <c r="L217" i="30"/>
  <c r="V23" i="40"/>
  <c r="V41" i="40"/>
  <c r="V799" i="39"/>
  <c r="V25" i="20"/>
  <c r="AE27" i="21" s="1"/>
  <c r="V27" i="21" s="1"/>
  <c r="U799" i="39"/>
  <c r="U25" i="20"/>
  <c r="AD27" i="21" s="1"/>
  <c r="U27" i="21" s="1"/>
  <c r="U23" i="40"/>
  <c r="U41" i="40"/>
  <c r="V186" i="19"/>
  <c r="V744" i="18"/>
  <c r="V777" i="18" s="1"/>
  <c r="V723" i="18"/>
  <c r="V954" i="18" s="1"/>
  <c r="V140" i="19"/>
  <c r="S165" i="19"/>
  <c r="W165" i="19" s="1"/>
  <c r="W702" i="18"/>
  <c r="S744" i="18"/>
  <c r="I4" i="17"/>
  <c r="J90" i="1" s="1"/>
  <c r="T744" i="18"/>
  <c r="T777" i="18" s="1"/>
  <c r="T186" i="19"/>
  <c r="W681" i="18"/>
  <c r="W660" i="18"/>
  <c r="S119" i="19"/>
  <c r="S723" i="18"/>
  <c r="U744" i="18"/>
  <c r="U777" i="18" s="1"/>
  <c r="U186" i="19"/>
  <c r="T723" i="18"/>
  <c r="T954" i="18" s="1"/>
  <c r="T140" i="19"/>
  <c r="W639" i="18"/>
  <c r="L639" i="18" s="1" a="1"/>
  <c r="L639" i="18" s="1"/>
  <c r="U140" i="19"/>
  <c r="U723" i="18"/>
  <c r="U954" i="18" s="1"/>
  <c r="R120" i="19"/>
  <c r="R724" i="18"/>
  <c r="W661" i="18"/>
  <c r="S724" i="18"/>
  <c r="S141" i="19"/>
  <c r="W640" i="18"/>
  <c r="L640" i="18" s="1" a="1"/>
  <c r="L640" i="18" s="1"/>
  <c r="V187" i="19"/>
  <c r="V745" i="18"/>
  <c r="V778" i="18" s="1"/>
  <c r="V571" i="18"/>
  <c r="V870" i="18" s="1"/>
  <c r="V501" i="18"/>
  <c r="V459" i="18"/>
  <c r="L51" i="18" a="1"/>
  <c r="L51" i="18" s="1"/>
  <c r="L161" i="30" s="1"/>
  <c r="V724" i="18"/>
  <c r="V141" i="19"/>
  <c r="S187" i="19"/>
  <c r="S745" i="18"/>
  <c r="S778" i="18" s="1"/>
  <c r="W682" i="18"/>
  <c r="T633" i="18"/>
  <c r="T636" i="18" s="1"/>
  <c r="T440" i="18"/>
  <c r="U416" i="18"/>
  <c r="R416" i="18"/>
  <c r="V416" i="18"/>
  <c r="T416" i="18"/>
  <c r="S416" i="18"/>
  <c r="S419" i="18" s="1"/>
  <c r="T166" i="18"/>
  <c r="S501" i="18"/>
  <c r="S571" i="18"/>
  <c r="S459" i="18"/>
  <c r="T374" i="18"/>
  <c r="S374" i="18"/>
  <c r="V374" i="18"/>
  <c r="U374" i="18"/>
  <c r="R374" i="18"/>
  <c r="W163" i="18"/>
  <c r="W166" i="18" s="1"/>
  <c r="L166" i="18" s="1"/>
  <c r="L165" i="30" s="1"/>
  <c r="R166" i="18"/>
  <c r="U571" i="18"/>
  <c r="U870" i="18" s="1"/>
  <c r="U501" i="18"/>
  <c r="U459" i="18"/>
  <c r="T745" i="18"/>
  <c r="T778" i="18" s="1"/>
  <c r="T187" i="19"/>
  <c r="T591" i="18"/>
  <c r="T398" i="18"/>
  <c r="U187" i="19"/>
  <c r="U745" i="18"/>
  <c r="U778" i="18" s="1"/>
  <c r="S633" i="18"/>
  <c r="S636" i="18" s="1"/>
  <c r="S440" i="18"/>
  <c r="S502" i="18"/>
  <c r="S572" i="18"/>
  <c r="S460" i="18"/>
  <c r="V482" i="18"/>
  <c r="V507" i="18" s="1"/>
  <c r="V717" i="18"/>
  <c r="V675" i="18"/>
  <c r="V949" i="18" s="1"/>
  <c r="T141" i="19"/>
  <c r="T724" i="18"/>
  <c r="W395" i="18"/>
  <c r="R398" i="18"/>
  <c r="U479" i="18"/>
  <c r="U440" i="18"/>
  <c r="U141" i="19"/>
  <c r="U724" i="18"/>
  <c r="U955" i="18" s="1"/>
  <c r="R480" i="18"/>
  <c r="W375" i="18"/>
  <c r="L375" i="18" s="1"/>
  <c r="R459" i="18"/>
  <c r="T571" i="18"/>
  <c r="T870" i="18" s="1"/>
  <c r="T501" i="18"/>
  <c r="T459" i="18"/>
  <c r="T572" i="18"/>
  <c r="T871" i="18" s="1"/>
  <c r="T502" i="18"/>
  <c r="T460" i="18"/>
  <c r="L163" i="18"/>
  <c r="L164" i="30" s="1"/>
  <c r="V591" i="18"/>
  <c r="V398" i="18"/>
  <c r="R633" i="18"/>
  <c r="W437" i="18"/>
  <c r="R440" i="18"/>
  <c r="W376" i="18"/>
  <c r="L376" i="18" s="1"/>
  <c r="R481" i="18"/>
  <c r="R460" i="18"/>
  <c r="S479" i="18"/>
  <c r="S398" i="18"/>
  <c r="V572" i="18"/>
  <c r="V871" i="18" s="1"/>
  <c r="V502" i="18"/>
  <c r="V460" i="18"/>
  <c r="U572" i="18"/>
  <c r="U871" i="18" s="1"/>
  <c r="U502" i="18"/>
  <c r="U460" i="18"/>
  <c r="R166" i="19"/>
  <c r="W166" i="19" s="1"/>
  <c r="W703" i="18"/>
  <c r="R745" i="18"/>
  <c r="U591" i="18"/>
  <c r="U398" i="18"/>
  <c r="V633" i="18"/>
  <c r="V440" i="18"/>
  <c r="B318" i="16"/>
  <c r="B347" i="16" s="1"/>
  <c r="U79" i="19"/>
  <c r="R79" i="19"/>
  <c r="W152" i="19"/>
  <c r="W177" i="19"/>
  <c r="W131" i="19"/>
  <c r="C52" i="30"/>
  <c r="L966" i="18" a="1"/>
  <c r="L966" i="18" s="1"/>
  <c r="W198" i="19"/>
  <c r="W756" i="18"/>
  <c r="W735" i="18"/>
  <c r="S26" i="19" l="1"/>
  <c r="S20" i="40"/>
  <c r="R26" i="19"/>
  <c r="R20" i="40"/>
  <c r="P20" i="40"/>
  <c r="P26" i="19"/>
  <c r="P27" i="19" s="1"/>
  <c r="P15" i="19" s="1"/>
  <c r="O43" i="36"/>
  <c r="O46" i="36" s="1"/>
  <c r="O18" i="19"/>
  <c r="V67" i="19"/>
  <c r="U20" i="40"/>
  <c r="U26" i="19"/>
  <c r="V20" i="40"/>
  <c r="V26" i="19"/>
  <c r="T799" i="39"/>
  <c r="T25" i="20"/>
  <c r="AC27" i="21" s="1"/>
  <c r="T27" i="21" s="1"/>
  <c r="T23" i="40"/>
  <c r="T41" i="40"/>
  <c r="I7" i="40" s="1"/>
  <c r="T68" i="19"/>
  <c r="S777" i="18"/>
  <c r="W744" i="18"/>
  <c r="S954" i="18"/>
  <c r="L954" i="18" s="1" a="1"/>
  <c r="L954" i="18" s="1"/>
  <c r="W723" i="18"/>
  <c r="W119" i="19"/>
  <c r="S67" i="19"/>
  <c r="U67" i="19"/>
  <c r="T67" i="19"/>
  <c r="W140" i="19"/>
  <c r="W186" i="19"/>
  <c r="W460" i="18"/>
  <c r="S675" i="18"/>
  <c r="S889" i="18" s="1"/>
  <c r="S717" i="18"/>
  <c r="S482" i="18"/>
  <c r="S507" i="18" s="1"/>
  <c r="V889" i="18"/>
  <c r="V594" i="18"/>
  <c r="U675" i="18"/>
  <c r="U929" i="18" s="1"/>
  <c r="U717" i="18"/>
  <c r="U482" i="18"/>
  <c r="U507" i="18" s="1"/>
  <c r="R479" i="18"/>
  <c r="R458" i="18"/>
  <c r="W374" i="18"/>
  <c r="R377" i="18"/>
  <c r="W141" i="19"/>
  <c r="V929" i="18"/>
  <c r="V636" i="18"/>
  <c r="U889" i="18"/>
  <c r="U594" i="18"/>
  <c r="U655" i="18"/>
  <c r="U697" i="18"/>
  <c r="U570" i="18"/>
  <c r="U500" i="18"/>
  <c r="U458" i="18"/>
  <c r="U461" i="18" s="1"/>
  <c r="U377" i="18"/>
  <c r="V697" i="18"/>
  <c r="V655" i="18"/>
  <c r="S955" i="18"/>
  <c r="S870" i="18"/>
  <c r="W571" i="18"/>
  <c r="R719" i="18"/>
  <c r="R677" i="18"/>
  <c r="R871" i="18" s="1"/>
  <c r="W481" i="18"/>
  <c r="W459" i="18"/>
  <c r="L395" i="18"/>
  <c r="W398" i="18"/>
  <c r="S871" i="18"/>
  <c r="W572" i="18"/>
  <c r="V570" i="18"/>
  <c r="V458" i="18"/>
  <c r="V461" i="18" s="1"/>
  <c r="V500" i="18"/>
  <c r="V377" i="18"/>
  <c r="T479" i="18"/>
  <c r="T419" i="18"/>
  <c r="V678" i="18"/>
  <c r="V134" i="19"/>
  <c r="V137" i="19" s="1"/>
  <c r="S656" i="18"/>
  <c r="S698" i="18"/>
  <c r="W502" i="18"/>
  <c r="U68" i="19"/>
  <c r="S500" i="18"/>
  <c r="S458" i="18"/>
  <c r="S461" i="18" s="1"/>
  <c r="S570" i="18"/>
  <c r="S377" i="18"/>
  <c r="V612" i="18"/>
  <c r="V419" i="18"/>
  <c r="S68" i="19"/>
  <c r="W187" i="19"/>
  <c r="R955" i="18"/>
  <c r="W724" i="18"/>
  <c r="U656" i="18"/>
  <c r="U698" i="18"/>
  <c r="V955" i="18"/>
  <c r="T655" i="18"/>
  <c r="T697" i="18"/>
  <c r="V180" i="19"/>
  <c r="V183" i="19" s="1"/>
  <c r="V720" i="18"/>
  <c r="S655" i="18"/>
  <c r="S697" i="18"/>
  <c r="W501" i="18"/>
  <c r="R778" i="18"/>
  <c r="W745" i="18"/>
  <c r="T656" i="18"/>
  <c r="T698" i="18"/>
  <c r="R718" i="18"/>
  <c r="R676" i="18"/>
  <c r="R870" i="18" s="1"/>
  <c r="W480" i="18"/>
  <c r="T955" i="18"/>
  <c r="T570" i="18"/>
  <c r="T458" i="18"/>
  <c r="T461" i="18" s="1"/>
  <c r="T500" i="18"/>
  <c r="T377" i="18"/>
  <c r="W416" i="18"/>
  <c r="R419" i="18"/>
  <c r="R68" i="19"/>
  <c r="W120" i="19"/>
  <c r="W633" i="18"/>
  <c r="W636" i="18" s="1"/>
  <c r="R636" i="18"/>
  <c r="V698" i="18"/>
  <c r="V656" i="18"/>
  <c r="L437" i="18"/>
  <c r="W440" i="18"/>
  <c r="T889" i="18"/>
  <c r="W591" i="18"/>
  <c r="W594" i="18" s="1"/>
  <c r="T594" i="18"/>
  <c r="U612" i="18"/>
  <c r="U419" i="18"/>
  <c r="V68" i="19"/>
  <c r="C59" i="30"/>
  <c r="W79" i="19"/>
  <c r="C63" i="30"/>
  <c r="C55" i="30"/>
  <c r="P18" i="19" l="1"/>
  <c r="P43" i="36"/>
  <c r="P46" i="36" s="1"/>
  <c r="T26" i="19"/>
  <c r="W26" i="19" s="1"/>
  <c r="T20" i="40"/>
  <c r="W20" i="40" s="1"/>
  <c r="W799" i="39"/>
  <c r="L799" i="39" s="1" a="1"/>
  <c r="L799" i="39" s="1"/>
  <c r="W67" i="19"/>
  <c r="V760" i="18"/>
  <c r="V793" i="18" s="1"/>
  <c r="V202" i="19"/>
  <c r="W458" i="18"/>
  <c r="W461" i="18" s="1"/>
  <c r="R461" i="18"/>
  <c r="T740" i="18"/>
  <c r="T971" i="18" s="1"/>
  <c r="T157" i="19"/>
  <c r="S869" i="18"/>
  <c r="W570" i="18"/>
  <c r="W573" i="18" s="1"/>
  <c r="S573" i="18"/>
  <c r="R136" i="19"/>
  <c r="W677" i="18"/>
  <c r="R740" i="18"/>
  <c r="W479" i="18"/>
  <c r="W482" i="18" s="1"/>
  <c r="R717" i="18"/>
  <c r="R675" i="18"/>
  <c r="R869" i="18" s="1"/>
  <c r="R482" i="18"/>
  <c r="R507" i="18" s="1"/>
  <c r="S134" i="19"/>
  <c r="S137" i="19" s="1"/>
  <c r="S678" i="18"/>
  <c r="V654" i="18"/>
  <c r="V696" i="18"/>
  <c r="V503" i="18"/>
  <c r="V506" i="18" s="1"/>
  <c r="V508" i="18" s="1"/>
  <c r="S180" i="19"/>
  <c r="S183" i="19" s="1"/>
  <c r="S720" i="18"/>
  <c r="T869" i="18"/>
  <c r="T573" i="18"/>
  <c r="T202" i="19"/>
  <c r="T760" i="18"/>
  <c r="T793" i="18" s="1"/>
  <c r="L955" i="18" a="1"/>
  <c r="L955" i="18" s="1"/>
  <c r="V869" i="18"/>
  <c r="V573" i="18"/>
  <c r="R182" i="19"/>
  <c r="W182" i="19" s="1"/>
  <c r="W719" i="18"/>
  <c r="R761" i="18"/>
  <c r="U654" i="18"/>
  <c r="U696" i="18"/>
  <c r="U503" i="18"/>
  <c r="U506" i="18" s="1"/>
  <c r="U508" i="18" s="1"/>
  <c r="V740" i="18"/>
  <c r="V971" i="18" s="1"/>
  <c r="V157" i="19"/>
  <c r="W68" i="19"/>
  <c r="U869" i="18"/>
  <c r="U573" i="18"/>
  <c r="U134" i="19"/>
  <c r="U137" i="19" s="1"/>
  <c r="U678" i="18"/>
  <c r="T739" i="18"/>
  <c r="T970" i="18" s="1"/>
  <c r="T156" i="19"/>
  <c r="U180" i="19"/>
  <c r="U183" i="19" s="1"/>
  <c r="U720" i="18"/>
  <c r="U909" i="18"/>
  <c r="W612" i="18"/>
  <c r="W615" i="18" s="1"/>
  <c r="U615" i="18"/>
  <c r="V761" i="18"/>
  <c r="V794" i="18" s="1"/>
  <c r="V203" i="19"/>
  <c r="U760" i="18"/>
  <c r="U793" i="18" s="1"/>
  <c r="U202" i="19"/>
  <c r="T203" i="19"/>
  <c r="T761" i="18"/>
  <c r="T794" i="18" s="1"/>
  <c r="L416" i="18"/>
  <c r="W419" i="18"/>
  <c r="R135" i="19"/>
  <c r="W676" i="18"/>
  <c r="R739" i="18"/>
  <c r="S202" i="19"/>
  <c r="S760" i="18"/>
  <c r="S793" i="18" s="1"/>
  <c r="W697" i="18"/>
  <c r="U761" i="18"/>
  <c r="U794" i="18" s="1"/>
  <c r="U203" i="19"/>
  <c r="S761" i="18"/>
  <c r="S794" i="18" s="1"/>
  <c r="S203" i="19"/>
  <c r="W698" i="18"/>
  <c r="T675" i="18"/>
  <c r="T909" i="18" s="1"/>
  <c r="T717" i="18"/>
  <c r="T482" i="18"/>
  <c r="T507" i="18" s="1"/>
  <c r="U739" i="18"/>
  <c r="U970" i="18" s="1"/>
  <c r="U156" i="19"/>
  <c r="T654" i="18"/>
  <c r="T696" i="18"/>
  <c r="T503" i="18"/>
  <c r="T506" i="18" s="1"/>
  <c r="S654" i="18"/>
  <c r="S696" i="18"/>
  <c r="W500" i="18"/>
  <c r="W503" i="18" s="1"/>
  <c r="S503" i="18"/>
  <c r="S506" i="18" s="1"/>
  <c r="R181" i="19"/>
  <c r="W181" i="19" s="1"/>
  <c r="W718" i="18"/>
  <c r="R760" i="18"/>
  <c r="S156" i="19"/>
  <c r="S739" i="18"/>
  <c r="S970" i="18" s="1"/>
  <c r="W655" i="18"/>
  <c r="L655" i="18" s="1" a="1"/>
  <c r="L655" i="18" s="1"/>
  <c r="U157" i="19"/>
  <c r="U740" i="18"/>
  <c r="U971" i="18" s="1"/>
  <c r="V909" i="18"/>
  <c r="V615" i="18"/>
  <c r="S740" i="18"/>
  <c r="S971" i="18" s="1"/>
  <c r="S157" i="19"/>
  <c r="W656" i="18"/>
  <c r="L656" i="18" a="1"/>
  <c r="L656" i="18" s="1"/>
  <c r="V739" i="18"/>
  <c r="V970" i="18" s="1"/>
  <c r="V156" i="19"/>
  <c r="L374" i="18"/>
  <c r="W377" i="18"/>
  <c r="V83" i="19" l="1"/>
  <c r="L223" i="30"/>
  <c r="I4" i="39"/>
  <c r="J93" i="1" s="1"/>
  <c r="T83" i="19"/>
  <c r="T508" i="18"/>
  <c r="S508" i="18"/>
  <c r="W506" i="18"/>
  <c r="W135" i="19"/>
  <c r="R83" i="19"/>
  <c r="U738" i="18"/>
  <c r="U155" i="19"/>
  <c r="U158" i="19" s="1"/>
  <c r="U657" i="18"/>
  <c r="V759" i="18"/>
  <c r="V201" i="19"/>
  <c r="V699" i="18"/>
  <c r="R971" i="18"/>
  <c r="L971" i="18" s="1" a="1"/>
  <c r="L971" i="18" s="1"/>
  <c r="W740" i="18"/>
  <c r="U84" i="19"/>
  <c r="R794" i="18"/>
  <c r="W761" i="18"/>
  <c r="V738" i="18"/>
  <c r="V155" i="19"/>
  <c r="V158" i="19" s="1"/>
  <c r="V657" i="18"/>
  <c r="U759" i="18"/>
  <c r="U201" i="19"/>
  <c r="U699" i="18"/>
  <c r="W157" i="19"/>
  <c r="W156" i="19"/>
  <c r="W654" i="18"/>
  <c r="L654" i="18" s="1" a="1"/>
  <c r="L654" i="18" s="1"/>
  <c r="S738" i="18"/>
  <c r="S155" i="19"/>
  <c r="S657" i="18"/>
  <c r="W136" i="19"/>
  <c r="R84" i="19"/>
  <c r="R793" i="18"/>
  <c r="W760" i="18"/>
  <c r="T180" i="19"/>
  <c r="T183" i="19" s="1"/>
  <c r="T720" i="18"/>
  <c r="V84" i="19"/>
  <c r="W507" i="18"/>
  <c r="R508" i="18"/>
  <c r="T759" i="18"/>
  <c r="T201" i="19"/>
  <c r="T699" i="18"/>
  <c r="T134" i="19"/>
  <c r="T137" i="19" s="1"/>
  <c r="T678" i="18"/>
  <c r="S83" i="19"/>
  <c r="W202" i="19"/>
  <c r="R738" i="18"/>
  <c r="R134" i="19"/>
  <c r="W675" i="18"/>
  <c r="W678" i="18" s="1"/>
  <c r="R678" i="18"/>
  <c r="S84" i="19"/>
  <c r="W203" i="19"/>
  <c r="S201" i="19"/>
  <c r="W696" i="18"/>
  <c r="W699" i="18" s="1"/>
  <c r="S759" i="18"/>
  <c r="S699" i="18"/>
  <c r="L169" i="30"/>
  <c r="T738" i="18"/>
  <c r="T155" i="19"/>
  <c r="T158" i="19" s="1"/>
  <c r="T657" i="18"/>
  <c r="R970" i="18"/>
  <c r="L970" i="18" s="1" a="1"/>
  <c r="L970" i="18" s="1"/>
  <c r="W739" i="18"/>
  <c r="U83" i="19"/>
  <c r="R180" i="19"/>
  <c r="W717" i="18"/>
  <c r="R759" i="18"/>
  <c r="T84" i="19"/>
  <c r="R720" i="18"/>
  <c r="W84" i="19" l="1"/>
  <c r="W134" i="19"/>
  <c r="W137" i="19" s="1"/>
  <c r="R82" i="19"/>
  <c r="R137" i="19"/>
  <c r="T792" i="18"/>
  <c r="T795" i="18" s="1"/>
  <c r="T762" i="18"/>
  <c r="T766" i="18" s="1"/>
  <c r="T30" i="19" s="1"/>
  <c r="T16" i="19" s="1"/>
  <c r="T44" i="36" s="1"/>
  <c r="S792" i="18"/>
  <c r="S795" i="18" s="1"/>
  <c r="S762" i="18"/>
  <c r="S766" i="18" s="1"/>
  <c r="S30" i="19" s="1"/>
  <c r="S16" i="19" s="1"/>
  <c r="S44" i="36" s="1"/>
  <c r="R969" i="18"/>
  <c r="W738" i="18"/>
  <c r="W741" i="18" s="1"/>
  <c r="R741" i="18"/>
  <c r="R765" i="18" s="1"/>
  <c r="U82" i="19"/>
  <c r="U85" i="19" s="1"/>
  <c r="U87" i="19" s="1"/>
  <c r="U204" i="19"/>
  <c r="U969" i="18"/>
  <c r="U741" i="18"/>
  <c r="U765" i="18" s="1"/>
  <c r="W180" i="19"/>
  <c r="W183" i="19" s="1"/>
  <c r="R183" i="19"/>
  <c r="W83" i="19"/>
  <c r="W155" i="19"/>
  <c r="W158" i="19" s="1"/>
  <c r="S158" i="19"/>
  <c r="T82" i="19"/>
  <c r="T85" i="19" s="1"/>
  <c r="T87" i="19" s="1"/>
  <c r="T204" i="19"/>
  <c r="S82" i="19"/>
  <c r="S85" i="19" s="1"/>
  <c r="S87" i="19" s="1"/>
  <c r="W201" i="19"/>
  <c r="W204" i="19" s="1"/>
  <c r="S204" i="19"/>
  <c r="U792" i="18"/>
  <c r="U795" i="18" s="1"/>
  <c r="U762" i="18"/>
  <c r="U766" i="18" s="1"/>
  <c r="U30" i="19" s="1"/>
  <c r="U16" i="19" s="1"/>
  <c r="U44" i="36" s="1"/>
  <c r="S969" i="18"/>
  <c r="S741" i="18"/>
  <c r="S765" i="18" s="1"/>
  <c r="V82" i="19"/>
  <c r="V85" i="19" s="1"/>
  <c r="V87" i="19" s="1"/>
  <c r="V204" i="19"/>
  <c r="W508" i="18"/>
  <c r="L508" i="18" s="1"/>
  <c r="L170" i="30" s="1"/>
  <c r="R792" i="18"/>
  <c r="R795" i="18" s="1"/>
  <c r="W759" i="18"/>
  <c r="W762" i="18" s="1"/>
  <c r="R762" i="18"/>
  <c r="R766" i="18" s="1"/>
  <c r="T969" i="18"/>
  <c r="T741" i="18"/>
  <c r="T765" i="18" s="1"/>
  <c r="V969" i="18"/>
  <c r="V741" i="18"/>
  <c r="V765" i="18" s="1"/>
  <c r="V792" i="18"/>
  <c r="V795" i="18" s="1"/>
  <c r="V762" i="18"/>
  <c r="V766" i="18" s="1"/>
  <c r="V30" i="19" s="1"/>
  <c r="V16" i="19" s="1"/>
  <c r="V44" i="36" s="1"/>
  <c r="W707" i="18"/>
  <c r="W720" i="18" s="1"/>
  <c r="W641" i="18"/>
  <c r="L641" i="18" s="1" a="1"/>
  <c r="L641" i="18" s="1"/>
  <c r="U767" i="18" l="1"/>
  <c r="T767" i="18"/>
  <c r="R798" i="18"/>
  <c r="R32" i="20"/>
  <c r="AA33" i="21" s="1"/>
  <c r="R33" i="21" s="1"/>
  <c r="V767" i="18"/>
  <c r="S798" i="18"/>
  <c r="S32" i="20"/>
  <c r="V798" i="18"/>
  <c r="V32" i="20"/>
  <c r="AE33" i="21" s="1"/>
  <c r="V33" i="21" s="1"/>
  <c r="U979" i="18" a="1"/>
  <c r="U979" i="18" s="1"/>
  <c r="U978" i="18" a="1"/>
  <c r="U978" i="18" s="1"/>
  <c r="S767" i="18"/>
  <c r="T798" i="18"/>
  <c r="T32" i="20"/>
  <c r="AC33" i="21" s="1"/>
  <c r="T978" i="18" a="1"/>
  <c r="T978" i="18" s="1"/>
  <c r="T979" i="18" a="1"/>
  <c r="T979" i="18" s="1"/>
  <c r="S979" i="18" a="1"/>
  <c r="S979" i="18" s="1"/>
  <c r="S978" i="18" a="1"/>
  <c r="S978" i="18" s="1"/>
  <c r="L969" i="18" a="1"/>
  <c r="L969" i="18" s="1"/>
  <c r="L180" i="30" s="1"/>
  <c r="R979" i="18" a="1"/>
  <c r="R979" i="18" s="1"/>
  <c r="R978" i="18" a="1"/>
  <c r="R978" i="18" s="1"/>
  <c r="R767" i="18"/>
  <c r="W765" i="18"/>
  <c r="W82" i="19"/>
  <c r="W85" i="19" s="1"/>
  <c r="W87" i="19" s="1"/>
  <c r="R85" i="19"/>
  <c r="V979" i="18" a="1"/>
  <c r="V979" i="18" s="1"/>
  <c r="V978" i="18" a="1"/>
  <c r="V978" i="18" s="1"/>
  <c r="R30" i="19"/>
  <c r="W766" i="18"/>
  <c r="U32" i="20"/>
  <c r="AD33" i="21" s="1"/>
  <c r="U33" i="21" s="1"/>
  <c r="U798" i="18"/>
  <c r="W657" i="18"/>
  <c r="L657" i="18" s="1" a="1"/>
  <c r="L657" i="18" s="1"/>
  <c r="S33" i="21" l="1"/>
  <c r="AB33" i="21"/>
  <c r="R87" i="19"/>
  <c r="W767" i="18"/>
  <c r="L767" i="18" s="1" a="1"/>
  <c r="L767" i="18" s="1"/>
  <c r="L174" i="30" s="1"/>
  <c r="T28" i="20"/>
  <c r="AC30" i="21" s="1"/>
  <c r="T30" i="21" s="1"/>
  <c r="T983" i="18"/>
  <c r="T16" i="29"/>
  <c r="V983" i="18"/>
  <c r="V28" i="20"/>
  <c r="AE30" i="21" s="1"/>
  <c r="V30" i="21" s="1"/>
  <c r="V16" i="29"/>
  <c r="U28" i="20"/>
  <c r="AD30" i="21" s="1"/>
  <c r="U30" i="21" s="1"/>
  <c r="U16" i="29"/>
  <c r="U983" i="18"/>
  <c r="T35" i="20"/>
  <c r="T982" i="18"/>
  <c r="T15" i="29"/>
  <c r="S28" i="20"/>
  <c r="AB30" i="21" s="1"/>
  <c r="S30" i="21" s="1"/>
  <c r="S16" i="29"/>
  <c r="S983" i="18"/>
  <c r="R35" i="20"/>
  <c r="R982" i="18"/>
  <c r="R15" i="29"/>
  <c r="S35" i="20"/>
  <c r="S15" i="29"/>
  <c r="S982" i="18"/>
  <c r="W30" i="19"/>
  <c r="R16" i="19"/>
  <c r="R28" i="20"/>
  <c r="AA30" i="21" s="1"/>
  <c r="R30" i="21" s="1"/>
  <c r="R983" i="18"/>
  <c r="R16" i="29"/>
  <c r="V982" i="18"/>
  <c r="V35" i="20"/>
  <c r="V15" i="29"/>
  <c r="U35" i="20"/>
  <c r="U15" i="29"/>
  <c r="U982" i="18"/>
  <c r="W798" i="18"/>
  <c r="L798" i="18" s="1" a="1"/>
  <c r="L798" i="18" s="1"/>
  <c r="L173" i="30"/>
  <c r="L177" i="30" l="1"/>
  <c r="U19" i="29"/>
  <c r="U984" i="18"/>
  <c r="U263" i="29"/>
  <c r="U313" i="29" s="1"/>
  <c r="U264" i="29"/>
  <c r="U314" i="29" s="1"/>
  <c r="U260" i="29"/>
  <c r="U309" i="29" s="1"/>
  <c r="U259" i="29"/>
  <c r="U308" i="29" s="1"/>
  <c r="U258" i="29"/>
  <c r="U307" i="29" s="1"/>
  <c r="U265" i="29"/>
  <c r="U315" i="29" s="1"/>
  <c r="V265" i="29"/>
  <c r="V260" i="29"/>
  <c r="V259" i="29"/>
  <c r="V263" i="29"/>
  <c r="V264" i="29"/>
  <c r="V258" i="29"/>
  <c r="W16" i="19"/>
  <c r="R44" i="36"/>
  <c r="W44" i="36" s="1"/>
  <c r="S260" i="29"/>
  <c r="S263" i="29"/>
  <c r="S264" i="29"/>
  <c r="S258" i="29"/>
  <c r="S265" i="29"/>
  <c r="S259" i="29"/>
  <c r="T258" i="29"/>
  <c r="T307" i="29" s="1"/>
  <c r="T264" i="29"/>
  <c r="T314" i="29" s="1"/>
  <c r="T265" i="29"/>
  <c r="T315" i="29" s="1"/>
  <c r="T260" i="29"/>
  <c r="T309" i="29" s="1"/>
  <c r="T263" i="29"/>
  <c r="T313" i="29" s="1"/>
  <c r="T259" i="29"/>
  <c r="T308" i="29" s="1"/>
  <c r="V24" i="19"/>
  <c r="V20" i="29"/>
  <c r="S20" i="29"/>
  <c r="S24" i="19"/>
  <c r="V19" i="29"/>
  <c r="V984" i="18"/>
  <c r="T19" i="29"/>
  <c r="T984" i="18"/>
  <c r="R263" i="29"/>
  <c r="R265" i="29"/>
  <c r="R259" i="29"/>
  <c r="R260" i="29"/>
  <c r="R264" i="29"/>
  <c r="R258" i="29"/>
  <c r="T24" i="19"/>
  <c r="T20" i="29"/>
  <c r="S984" i="18"/>
  <c r="S19" i="29"/>
  <c r="S360" i="29" s="1"/>
  <c r="R24" i="19"/>
  <c r="W983" i="18"/>
  <c r="R20" i="29"/>
  <c r="R19" i="29"/>
  <c r="R984" i="18"/>
  <c r="W982" i="18"/>
  <c r="U20" i="29"/>
  <c r="U24" i="19"/>
  <c r="L16" i="19" l="1"/>
  <c r="L16" i="30" s="1"/>
  <c r="S21" i="29"/>
  <c r="S324" i="29"/>
  <c r="S308" i="29"/>
  <c r="R313" i="29"/>
  <c r="W984" i="18"/>
  <c r="L984" i="18" s="1" a="1"/>
  <c r="L984" i="18" s="1"/>
  <c r="S307" i="29"/>
  <c r="V313" i="29"/>
  <c r="S315" i="29"/>
  <c r="V314" i="29"/>
  <c r="T360" i="29"/>
  <c r="T21" i="29"/>
  <c r="T324" i="29"/>
  <c r="T316" i="29"/>
  <c r="S314" i="29"/>
  <c r="V308" i="29"/>
  <c r="U316" i="29"/>
  <c r="R324" i="29"/>
  <c r="R360" i="29"/>
  <c r="W19" i="29"/>
  <c r="R21" i="29"/>
  <c r="R307" i="29"/>
  <c r="S313" i="29"/>
  <c r="V309" i="29"/>
  <c r="R315" i="29"/>
  <c r="V307" i="29"/>
  <c r="W20" i="29"/>
  <c r="R314" i="29"/>
  <c r="V21" i="29"/>
  <c r="V360" i="29"/>
  <c r="V324" i="29"/>
  <c r="S309" i="29"/>
  <c r="V315" i="29"/>
  <c r="U324" i="29"/>
  <c r="U360" i="29"/>
  <c r="U21" i="29"/>
  <c r="R309" i="29"/>
  <c r="W24" i="19"/>
  <c r="R308" i="29"/>
  <c r="T310" i="29"/>
  <c r="U310" i="29"/>
  <c r="U323" i="29" s="1"/>
  <c r="T323" i="29" l="1"/>
  <c r="T328" i="29" s="1"/>
  <c r="W21" i="29"/>
  <c r="W309" i="29"/>
  <c r="V310" i="29"/>
  <c r="U328" i="29"/>
  <c r="U325" i="29"/>
  <c r="R316" i="29"/>
  <c r="W313" i="29"/>
  <c r="W314" i="29"/>
  <c r="W360" i="29"/>
  <c r="V316" i="29"/>
  <c r="L183" i="30"/>
  <c r="I4" i="18"/>
  <c r="J91" i="1" s="1"/>
  <c r="R310" i="29"/>
  <c r="W307" i="29"/>
  <c r="W315" i="29"/>
  <c r="W308" i="29"/>
  <c r="S316" i="29"/>
  <c r="S310" i="29"/>
  <c r="S39" i="36"/>
  <c r="S19" i="36" s="1"/>
  <c r="S28" i="36" s="1"/>
  <c r="S31" i="36" s="1"/>
  <c r="T325" i="29" l="1"/>
  <c r="R323" i="29"/>
  <c r="R328" i="29" s="1"/>
  <c r="V323" i="29"/>
  <c r="V328" i="29" s="1"/>
  <c r="W310" i="29"/>
  <c r="W316" i="29"/>
  <c r="S323" i="29"/>
  <c r="T337" i="29"/>
  <c r="T331" i="29"/>
  <c r="T338" i="29"/>
  <c r="T332" i="29"/>
  <c r="T333" i="29"/>
  <c r="T336" i="29"/>
  <c r="U337" i="29"/>
  <c r="U333" i="29"/>
  <c r="U336" i="29"/>
  <c r="U331" i="29"/>
  <c r="U332" i="29"/>
  <c r="U338" i="29"/>
  <c r="V39" i="36"/>
  <c r="V19" i="36" s="1"/>
  <c r="V28" i="36" s="1"/>
  <c r="V31" i="36" s="1"/>
  <c r="T39" i="36"/>
  <c r="T19" i="36" s="1"/>
  <c r="T28" i="36" s="1"/>
  <c r="T31" i="36" s="1"/>
  <c r="R39" i="36"/>
  <c r="R325" i="29" l="1"/>
  <c r="V325" i="29"/>
  <c r="S328" i="29"/>
  <c r="L328" i="29" s="1"/>
  <c r="L195" i="30" s="1"/>
  <c r="S325" i="29"/>
  <c r="U21" i="20"/>
  <c r="AD23" i="21" s="1"/>
  <c r="U23" i="21" s="1"/>
  <c r="U348" i="29"/>
  <c r="T348" i="29"/>
  <c r="T21" i="20"/>
  <c r="AC23" i="21" s="1"/>
  <c r="U20" i="20"/>
  <c r="U347" i="29"/>
  <c r="T343" i="29"/>
  <c r="T17" i="20"/>
  <c r="AC19" i="21" s="1"/>
  <c r="R333" i="29"/>
  <c r="R332" i="29"/>
  <c r="R338" i="29"/>
  <c r="R337" i="29"/>
  <c r="R336" i="29"/>
  <c r="R331" i="29"/>
  <c r="T20" i="20"/>
  <c r="AC22" i="21" s="1"/>
  <c r="T347" i="29"/>
  <c r="U349" i="29"/>
  <c r="U22" i="20"/>
  <c r="AD24" i="21" s="1"/>
  <c r="U24" i="21" s="1"/>
  <c r="T16" i="20"/>
  <c r="AC18" i="21" s="1"/>
  <c r="T18" i="21" s="1"/>
  <c r="T342" i="29"/>
  <c r="U343" i="29"/>
  <c r="U17" i="20"/>
  <c r="AD19" i="21" s="1"/>
  <c r="U19" i="21" s="1"/>
  <c r="U342" i="29"/>
  <c r="U16" i="20"/>
  <c r="AD18" i="21" s="1"/>
  <c r="U18" i="21" s="1"/>
  <c r="T349" i="29"/>
  <c r="T22" i="20"/>
  <c r="AC24" i="21" s="1"/>
  <c r="T24" i="21" s="1"/>
  <c r="U15" i="20"/>
  <c r="AD17" i="21" s="1"/>
  <c r="U17" i="21" s="1"/>
  <c r="U341" i="29"/>
  <c r="T341" i="29"/>
  <c r="T15" i="20"/>
  <c r="AC17" i="21" s="1"/>
  <c r="V338" i="29"/>
  <c r="V337" i="29"/>
  <c r="V336" i="29"/>
  <c r="V333" i="29"/>
  <c r="V332" i="29"/>
  <c r="V331" i="29"/>
  <c r="R19" i="36"/>
  <c r="R28" i="36" s="1"/>
  <c r="U39" i="36"/>
  <c r="U19" i="36" s="1"/>
  <c r="U28" i="36" s="1"/>
  <c r="U31" i="36" s="1"/>
  <c r="U22" i="21" l="1"/>
  <c r="AD22" i="21"/>
  <c r="T354" i="29"/>
  <c r="T22" i="19" s="1"/>
  <c r="T350" i="29"/>
  <c r="U354" i="29"/>
  <c r="U22" i="19" s="1"/>
  <c r="U350" i="29"/>
  <c r="V16" i="20"/>
  <c r="AE18" i="21" s="1"/>
  <c r="V18" i="21" s="1"/>
  <c r="V342" i="29"/>
  <c r="R349" i="29"/>
  <c r="R22" i="20"/>
  <c r="AA24" i="21" s="1"/>
  <c r="R24" i="21" s="1"/>
  <c r="R342" i="29"/>
  <c r="R16" i="20"/>
  <c r="AA18" i="21" s="1"/>
  <c r="R18" i="21" s="1"/>
  <c r="T344" i="29"/>
  <c r="T353" i="29"/>
  <c r="V17" i="20"/>
  <c r="AE19" i="21" s="1"/>
  <c r="V19" i="21" s="1"/>
  <c r="V343" i="29"/>
  <c r="V347" i="29"/>
  <c r="V20" i="20"/>
  <c r="AE22" i="21" s="1"/>
  <c r="V22" i="21" s="1"/>
  <c r="R17" i="20"/>
  <c r="AA19" i="21" s="1"/>
  <c r="R19" i="21" s="1"/>
  <c r="R343" i="29"/>
  <c r="V341" i="29"/>
  <c r="V15" i="20"/>
  <c r="AE17" i="21" s="1"/>
  <c r="V17" i="21" s="1"/>
  <c r="R348" i="29"/>
  <c r="R21" i="20"/>
  <c r="AA23" i="21" s="1"/>
  <c r="R23" i="21" s="1"/>
  <c r="R347" i="29"/>
  <c r="R20" i="20"/>
  <c r="AA22" i="21" s="1"/>
  <c r="R22" i="21" s="1"/>
  <c r="V21" i="20"/>
  <c r="AE23" i="21" s="1"/>
  <c r="V23" i="21" s="1"/>
  <c r="V348" i="29"/>
  <c r="V22" i="20"/>
  <c r="AE24" i="21" s="1"/>
  <c r="V24" i="21" s="1"/>
  <c r="V349" i="29"/>
  <c r="U355" i="29"/>
  <c r="U23" i="19" s="1"/>
  <c r="U353" i="29"/>
  <c r="U344" i="29"/>
  <c r="R15" i="20"/>
  <c r="AA17" i="21" s="1"/>
  <c r="R17" i="21" s="1"/>
  <c r="R341" i="29"/>
  <c r="T355" i="29"/>
  <c r="T23" i="19" s="1"/>
  <c r="S338" i="29"/>
  <c r="S331" i="29"/>
  <c r="S336" i="29"/>
  <c r="S333" i="29"/>
  <c r="S337" i="29"/>
  <c r="S332" i="29"/>
  <c r="W28" i="36"/>
  <c r="W31" i="36" s="1"/>
  <c r="R31" i="36"/>
  <c r="R355" i="29" l="1"/>
  <c r="R23" i="19" s="1"/>
  <c r="T21" i="19"/>
  <c r="T356" i="29"/>
  <c r="T359" i="29" s="1"/>
  <c r="T361" i="29" s="1"/>
  <c r="S342" i="29"/>
  <c r="S16" i="20"/>
  <c r="AB18" i="21" s="1"/>
  <c r="S18" i="21" s="1"/>
  <c r="S343" i="29"/>
  <c r="S17" i="20"/>
  <c r="AB19" i="21" s="1"/>
  <c r="S19" i="21" s="1"/>
  <c r="R354" i="29"/>
  <c r="R350" i="29"/>
  <c r="R344" i="29"/>
  <c r="R353" i="29"/>
  <c r="U21" i="19"/>
  <c r="U356" i="29"/>
  <c r="U359" i="29" s="1"/>
  <c r="U361" i="29" s="1"/>
  <c r="S20" i="20"/>
  <c r="AB22" i="21" s="1"/>
  <c r="S22" i="21" s="1"/>
  <c r="S347" i="29"/>
  <c r="W347" i="29" s="1"/>
  <c r="S341" i="29"/>
  <c r="S15" i="20"/>
  <c r="AB17" i="21" s="1"/>
  <c r="S17" i="21" s="1"/>
  <c r="V350" i="29"/>
  <c r="S22" i="20"/>
  <c r="AB24" i="21" s="1"/>
  <c r="S24" i="21" s="1"/>
  <c r="S349" i="29"/>
  <c r="W349" i="29" s="1"/>
  <c r="V355" i="29"/>
  <c r="V23" i="19" s="1"/>
  <c r="V354" i="29"/>
  <c r="V22" i="19" s="1"/>
  <c r="V353" i="29"/>
  <c r="V344" i="29"/>
  <c r="S348" i="29"/>
  <c r="W348" i="29" s="1"/>
  <c r="S21" i="20"/>
  <c r="AB23" i="21" s="1"/>
  <c r="S23" i="21" s="1"/>
  <c r="I4" i="36"/>
  <c r="J80" i="1" s="1"/>
  <c r="G2" i="20"/>
  <c r="G2" i="19"/>
  <c r="G2" i="2"/>
  <c r="G2" i="21"/>
  <c r="H2" i="2"/>
  <c r="H2" i="20"/>
  <c r="H2" i="21"/>
  <c r="H2" i="19"/>
  <c r="I7" i="21" l="1"/>
  <c r="I7" i="39" s="1"/>
  <c r="U27" i="19"/>
  <c r="U15" i="19" s="1"/>
  <c r="U43" i="36" s="1"/>
  <c r="U46" i="36" s="1"/>
  <c r="U36" i="20"/>
  <c r="T27" i="19"/>
  <c r="T15" i="19" s="1"/>
  <c r="T43" i="36" s="1"/>
  <c r="T46" i="36" s="1"/>
  <c r="T36" i="20"/>
  <c r="V21" i="19"/>
  <c r="V356" i="29"/>
  <c r="V359" i="29" s="1"/>
  <c r="V361" i="29" s="1"/>
  <c r="W350" i="29"/>
  <c r="S354" i="29"/>
  <c r="S22" i="19" s="1"/>
  <c r="S355" i="29"/>
  <c r="S353" i="29"/>
  <c r="S344" i="29"/>
  <c r="R21" i="19"/>
  <c r="R356" i="29"/>
  <c r="R359" i="29" s="1"/>
  <c r="S350" i="29"/>
  <c r="W342" i="29"/>
  <c r="W343" i="29"/>
  <c r="R22" i="19"/>
  <c r="W341" i="29"/>
  <c r="K77" i="1"/>
  <c r="T18" i="19" l="1"/>
  <c r="U18" i="19"/>
  <c r="R36" i="20"/>
  <c r="V27" i="19"/>
  <c r="V15" i="19" s="1"/>
  <c r="V43" i="36" s="1"/>
  <c r="V46" i="36" s="1"/>
  <c r="V36" i="20"/>
  <c r="W22" i="19"/>
  <c r="I7" i="33"/>
  <c r="I7" i="4"/>
  <c r="J66" i="1" s="1"/>
  <c r="I7" i="11"/>
  <c r="I7" i="5"/>
  <c r="I7" i="29"/>
  <c r="I7" i="30"/>
  <c r="I7" i="16"/>
  <c r="I7" i="38"/>
  <c r="I7" i="20"/>
  <c r="I7" i="36"/>
  <c r="I7" i="18"/>
  <c r="I7" i="19"/>
  <c r="I7" i="17"/>
  <c r="W344" i="29"/>
  <c r="S23" i="19"/>
  <c r="W23" i="19" s="1"/>
  <c r="W355" i="29"/>
  <c r="S21" i="19"/>
  <c r="S356" i="29"/>
  <c r="S359" i="29" s="1"/>
  <c r="S361" i="29" s="1"/>
  <c r="W353" i="29"/>
  <c r="R361" i="29"/>
  <c r="W354" i="29"/>
  <c r="R27" i="19"/>
  <c r="R15" i="19" s="1"/>
  <c r="F2" i="2"/>
  <c r="F2" i="19"/>
  <c r="F2" i="20"/>
  <c r="V18" i="19" l="1"/>
  <c r="W21" i="19"/>
  <c r="W27" i="19" s="1"/>
  <c r="S36" i="20"/>
  <c r="W359" i="29"/>
  <c r="W361" i="29" s="1"/>
  <c r="W356" i="29"/>
  <c r="S27" i="19"/>
  <c r="S15" i="19" s="1"/>
  <c r="S43" i="36" s="1"/>
  <c r="S46" i="36" s="1"/>
  <c r="R43" i="36"/>
  <c r="R18" i="19"/>
  <c r="L18" i="5"/>
  <c r="L23" i="19" l="1"/>
  <c r="L19" i="30" s="1"/>
  <c r="L361" i="29" a="1"/>
  <c r="L361" i="29" s="1"/>
  <c r="L196" i="30" s="1"/>
  <c r="S18" i="19"/>
  <c r="L85" i="19" s="1"/>
  <c r="W15" i="19"/>
  <c r="R46" i="36"/>
  <c r="W43" i="36"/>
  <c r="W46" i="36" s="1"/>
  <c r="L114" i="30"/>
  <c r="I4" i="5"/>
  <c r="J89" i="1" s="1"/>
  <c r="I4" i="29" l="1"/>
  <c r="J92" i="1" s="1"/>
  <c r="L87" i="19"/>
  <c r="L24" i="30" s="1"/>
  <c r="W18" i="19"/>
  <c r="L18" i="19" s="1"/>
  <c r="L18" i="30" s="1"/>
  <c r="L15" i="19"/>
  <c r="I6" i="38" s="1"/>
  <c r="L23" i="30"/>
  <c r="I6" i="18"/>
  <c r="I6" i="16"/>
  <c r="C98" i="30"/>
  <c r="C83" i="30"/>
  <c r="I6" i="4" l="1"/>
  <c r="J65" i="1" s="1"/>
  <c r="I6" i="29"/>
  <c r="I6" i="19"/>
  <c r="I4" i="19"/>
  <c r="J77" i="1" s="1"/>
  <c r="I6" i="5"/>
  <c r="L15" i="30"/>
  <c r="I6" i="30" s="1"/>
  <c r="I6" i="39"/>
  <c r="I6" i="11"/>
  <c r="I6" i="33"/>
  <c r="I6" i="20"/>
  <c r="I6" i="40"/>
  <c r="I6" i="17"/>
  <c r="I6" i="36"/>
  <c r="I6" i="21"/>
  <c r="C88" i="30"/>
  <c r="C102"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<sst xmlns="http://schemas.openxmlformats.org/spreadsheetml/2006/main" count="4544" uniqueCount="688">
  <si>
    <t>&amp;</t>
  </si>
  <si>
    <t>é</t>
  </si>
  <si>
    <t>Checks</t>
  </si>
  <si>
    <t>#</t>
  </si>
  <si>
    <t>%</t>
  </si>
  <si>
    <t>Ja</t>
  </si>
  <si>
    <t>Nej</t>
  </si>
  <si>
    <t>DKKt</t>
  </si>
  <si>
    <t>Tekst</t>
  </si>
  <si>
    <t xml:space="preserve"> </t>
  </si>
  <si>
    <t>Målerpriser (enhed)</t>
  </si>
  <si>
    <t>A-høj</t>
  </si>
  <si>
    <t>A-lav</t>
  </si>
  <si>
    <t>B-høj</t>
  </si>
  <si>
    <t>B-lav</t>
  </si>
  <si>
    <t>C</t>
  </si>
  <si>
    <t>Total</t>
  </si>
  <si>
    <t>Levetid for måler</t>
  </si>
  <si>
    <t>År</t>
  </si>
  <si>
    <t>Enhedspriser for drift og vedligeholdelse af målere</t>
  </si>
  <si>
    <t>Enhedspriser for indhentning og validering af målerdata</t>
  </si>
  <si>
    <t>Værdi af målere</t>
  </si>
  <si>
    <t>Værdi af ledningsnet</t>
  </si>
  <si>
    <t>Værdi af transformerstationer</t>
  </si>
  <si>
    <t>kWh</t>
  </si>
  <si>
    <t>Indtægtsramme</t>
  </si>
  <si>
    <t>Justeringer til indtægtsramme</t>
  </si>
  <si>
    <t>Differencer fra tidligere år</t>
  </si>
  <si>
    <t>Midlertidig tarifnedsættelse</t>
  </si>
  <si>
    <t>Omkostninger til overliggende net</t>
  </si>
  <si>
    <t>Andre korrektioner</t>
  </si>
  <si>
    <t>Særtariffer</t>
  </si>
  <si>
    <t>Tilslutningsbidrag</t>
  </si>
  <si>
    <t>Gebyrer</t>
  </si>
  <si>
    <t>Øvrige indtægter</t>
  </si>
  <si>
    <t>Andel af omkostnings-/forrentningsgruppe, der skal hentes som effekt provenu</t>
  </si>
  <si>
    <t>Priselement (tarif/effekt eller abonnement)</t>
  </si>
  <si>
    <t>List.tarifeffekt</t>
  </si>
  <si>
    <t>Tarif/effekt</t>
  </si>
  <si>
    <t>Abonnement</t>
  </si>
  <si>
    <t>Forbrug</t>
  </si>
  <si>
    <t>Liste</t>
  </si>
  <si>
    <t>Tarif</t>
  </si>
  <si>
    <t>Allokeringsmæssig differentiering</t>
  </si>
  <si>
    <t>List.HøjLav</t>
  </si>
  <si>
    <t>Høj</t>
  </si>
  <si>
    <t>Lav</t>
  </si>
  <si>
    <t>Effektblokke for højspændingskunder</t>
  </si>
  <si>
    <t>Antal effektblokke</t>
  </si>
  <si>
    <t>Budgetterede omkostninger</t>
  </si>
  <si>
    <t>Valg af fordelingsnøgle</t>
  </si>
  <si>
    <t>List.Fordelingsnøgle</t>
  </si>
  <si>
    <t>Måler-drift</t>
  </si>
  <si>
    <t>Måler-data</t>
  </si>
  <si>
    <t>Antal kWh</t>
  </si>
  <si>
    <t>Målerafskrivning</t>
  </si>
  <si>
    <t>Valg 1:</t>
  </si>
  <si>
    <t>Valg 2:</t>
  </si>
  <si>
    <t>Valg 3:</t>
  </si>
  <si>
    <t>Valg 4:</t>
  </si>
  <si>
    <t>Valg 5:</t>
  </si>
  <si>
    <t>Valg 6:</t>
  </si>
  <si>
    <t>Valg 7:</t>
  </si>
  <si>
    <t>Valg 8:</t>
  </si>
  <si>
    <t xml:space="preserve">Antal målere </t>
  </si>
  <si>
    <t>Antal installationer</t>
  </si>
  <si>
    <t>Enhedspriser for indhetning og validering af målerdata, total</t>
  </si>
  <si>
    <t>Enhedspriser for drift og vedligeholdelse af målere, total</t>
  </si>
  <si>
    <t>Justeret værdi af transformerstationer</t>
  </si>
  <si>
    <t>Tariferingsgrundlag</t>
  </si>
  <si>
    <t>Forrentning</t>
  </si>
  <si>
    <t>Forrentning (eksklusiv tilslutningsbidrag)</t>
  </si>
  <si>
    <t>Forrentning (inklusiv tilslutningsbidrag)</t>
  </si>
  <si>
    <t>- Justeringer til indtægtsramme</t>
  </si>
  <si>
    <t>Indtægter fra bevillingsmæssige aktiviteter</t>
  </si>
  <si>
    <t>- Indtægter fra bevillingsmæssige aktiviteter</t>
  </si>
  <si>
    <t>Værdi af målere af samlet aktivværdi</t>
  </si>
  <si>
    <t>Justeret værdi af transformerstationer af samlet aktiv værdi</t>
  </si>
  <si>
    <t>Forrentning fordelt til målere</t>
  </si>
  <si>
    <t>Forrentning fordelt til transformerstationer</t>
  </si>
  <si>
    <t>Tilslutningsbidrag pr. kundekategori</t>
  </si>
  <si>
    <t>Fordeling af forrentning på aktivtyper</t>
  </si>
  <si>
    <t>Tilslutningsbidrag fordelt på aktivtyper</t>
  </si>
  <si>
    <t>Tilslutningsbidrag fordelt til transformerstationer</t>
  </si>
  <si>
    <t>Valgt fordelingsnøgle</t>
  </si>
  <si>
    <t>Omkostninger fordelt med fordelingsnøgle</t>
  </si>
  <si>
    <t>Tariferingsgrundlag til abonnement</t>
  </si>
  <si>
    <t>Indhold</t>
  </si>
  <si>
    <t>Formateringsnøgle</t>
  </si>
  <si>
    <t xml:space="preserve"> 1,000 | 10% | 10x | 1. Jan 15 | Tekst</t>
  </si>
  <si>
    <r>
      <rPr>
        <u/>
        <sz val="10"/>
        <color rgb="FF0000FF"/>
        <rFont val="Wingdings"/>
        <charset val="2"/>
      </rPr>
      <t>&amp;</t>
    </r>
    <r>
      <rPr>
        <u/>
        <sz val="10"/>
        <color rgb="FF0000FF"/>
        <rFont val="Arial"/>
        <family val="2"/>
      </rPr>
      <t xml:space="preserve"> </t>
    </r>
    <r>
      <rPr>
        <u/>
        <sz val="10"/>
        <color rgb="FF0000FF"/>
        <rFont val="Wingdings"/>
        <charset val="2"/>
      </rPr>
      <t>é</t>
    </r>
    <r>
      <rPr>
        <u/>
        <sz val="10"/>
        <color rgb="FF0000FF"/>
        <rFont val="Arial"/>
        <family val="2"/>
      </rPr>
      <t xml:space="preserve"> </t>
    </r>
    <r>
      <rPr>
        <u/>
        <sz val="10"/>
        <color rgb="FF0000FF"/>
        <rFont val="Wingdings"/>
        <charset val="2"/>
      </rPr>
      <t></t>
    </r>
    <r>
      <rPr>
        <u/>
        <sz val="10"/>
        <color rgb="FF0000FF"/>
        <rFont val="Arial"/>
        <family val="2"/>
      </rPr>
      <t xml:space="preserve"> </t>
    </r>
    <r>
      <rPr>
        <u/>
        <sz val="10"/>
        <color rgb="FF0000FF"/>
        <rFont val="Wingdings"/>
        <charset val="2"/>
      </rPr>
      <t>¤</t>
    </r>
    <r>
      <rPr>
        <u/>
        <sz val="10"/>
        <color rgb="FF0000FF"/>
        <rFont val="Arial"/>
        <family val="2"/>
      </rPr>
      <t xml:space="preserve"> | Gå Til Eksempel</t>
    </r>
  </si>
  <si>
    <t>= Hyperlinks</t>
  </si>
  <si>
    <t>= Beregninger (100% beregninger)</t>
  </si>
  <si>
    <t>Header</t>
  </si>
  <si>
    <t>List.JaNej</t>
  </si>
  <si>
    <t>Liste 1 - Ja/Nej</t>
  </si>
  <si>
    <t>Liste 2 - tarif/effekt eller abonnement</t>
  </si>
  <si>
    <t>Liste 3 - Høj/Lav</t>
  </si>
  <si>
    <t>Liste 4 - Fordelingsnøgle</t>
  </si>
  <si>
    <t>Fejl</t>
  </si>
  <si>
    <t>Kontrol</t>
  </si>
  <si>
    <t>Sektion</t>
  </si>
  <si>
    <t>Enhed</t>
  </si>
  <si>
    <t>Konstanter</t>
  </si>
  <si>
    <t>Ark slut</t>
  </si>
  <si>
    <t>Omkostnings-/forrentningsgruppe medtages i vandfald (ja/nej)</t>
  </si>
  <si>
    <t>Priselement (tarif/effekt eller abonnement) - forrentning</t>
  </si>
  <si>
    <t>Tariferingsgrundlag til abonnement - omkostninger</t>
  </si>
  <si>
    <t>Tariferingsgrundlag til abonnement - forrentning</t>
  </si>
  <si>
    <t>Byggeklodser (DKK/installation)</t>
  </si>
  <si>
    <t>Abonnementspriser</t>
  </si>
  <si>
    <t>Gearing</t>
  </si>
  <si>
    <t>Gearing af A-høj</t>
  </si>
  <si>
    <t>Gearing af A-lav</t>
  </si>
  <si>
    <t>Gearing af B-høj</t>
  </si>
  <si>
    <t>Gearing af B-lav</t>
  </si>
  <si>
    <t>Faktor</t>
  </si>
  <si>
    <t>Omkostninger og forrentning, der dækkes over tarif</t>
  </si>
  <si>
    <t>Omkostninger og forrentning, der dækkes over effekt</t>
  </si>
  <si>
    <t>Antal installationer for egenproducenter u. produktionsmåler</t>
  </si>
  <si>
    <t>Rådighedstarif</t>
  </si>
  <si>
    <t>Egenproducent u. produktionsmåler</t>
  </si>
  <si>
    <t xml:space="preserve"> DKK</t>
  </si>
  <si>
    <t>Forbrug af egenproduktion, egenproducenter m. produktionsmåler</t>
  </si>
  <si>
    <t>Egetforbrug - egenproducenter</t>
  </si>
  <si>
    <t>Tariffer</t>
  </si>
  <si>
    <t>Basis tarif</t>
  </si>
  <si>
    <t>Tarifresidual</t>
  </si>
  <si>
    <t>Provenu ved de tidsdifferentierede tariffer</t>
  </si>
  <si>
    <t>Selskabsspecifikt tarifresidual</t>
  </si>
  <si>
    <t>Skaleringsfaktor</t>
  </si>
  <si>
    <t>Tarifresidual (check)</t>
  </si>
  <si>
    <t>0 / 1</t>
  </si>
  <si>
    <t>kWh fordelingsnøgle til allokeringsmæssig differentiering</t>
  </si>
  <si>
    <t>DKK</t>
  </si>
  <si>
    <t>Valutaskalering</t>
  </si>
  <si>
    <t>tDKK til DKK</t>
  </si>
  <si>
    <t>tDKK til øre</t>
  </si>
  <si>
    <t>DKK til øre</t>
  </si>
  <si>
    <t>tDKKtilDKK</t>
  </si>
  <si>
    <t>tDKKtiløre</t>
  </si>
  <si>
    <t>DKKtiløre</t>
  </si>
  <si>
    <t>Navn</t>
  </si>
  <si>
    <t>Disclaimer</t>
  </si>
  <si>
    <t>Personligt &amp; fortroligt</t>
  </si>
  <si>
    <t>Boksene nedenfor er hyperlinket, klik på en af dem for at skifte til det relevante ark.</t>
  </si>
  <si>
    <t>Indholdsfortegnelsen opdateres automatisk.</t>
  </si>
  <si>
    <t>Model information</t>
  </si>
  <si>
    <t>Beskrivelse</t>
  </si>
  <si>
    <t>Navn på ark</t>
  </si>
  <si>
    <t>Model ark</t>
  </si>
  <si>
    <t>Beregninger</t>
  </si>
  <si>
    <t>00-01</t>
  </si>
  <si>
    <t>01-02</t>
  </si>
  <si>
    <t>02-03</t>
  </si>
  <si>
    <t>03-04</t>
  </si>
  <si>
    <t>04-05</t>
  </si>
  <si>
    <t>05-06</t>
  </si>
  <si>
    <t>06-07</t>
  </si>
  <si>
    <t>07-08</t>
  </si>
  <si>
    <t>08-09</t>
  </si>
  <si>
    <t>09-10</t>
  </si>
  <si>
    <t>10-11</t>
  </si>
  <si>
    <t>11-12</t>
  </si>
  <si>
    <t>12-13</t>
  </si>
  <si>
    <t>13-14</t>
  </si>
  <si>
    <t>14-15</t>
  </si>
  <si>
    <t>15-16</t>
  </si>
  <si>
    <t>16-17</t>
  </si>
  <si>
    <t>17-18</t>
  </si>
  <si>
    <t>18-19</t>
  </si>
  <si>
    <t>19-20</t>
  </si>
  <si>
    <t>20-21</t>
  </si>
  <si>
    <t>21-22</t>
  </si>
  <si>
    <t>22-23</t>
  </si>
  <si>
    <t>23-24</t>
  </si>
  <si>
    <t xml:space="preserve">Valg 2: </t>
  </si>
  <si>
    <t>List.Last</t>
  </si>
  <si>
    <t>Lastzoner (hverdage - vinter)</t>
  </si>
  <si>
    <t>Lastzoner (hverdage - sommer)</t>
  </si>
  <si>
    <t>Lastzoner (weekender og helligdage - vinter)</t>
  </si>
  <si>
    <t>Lastzoner (weekender og helligdage - sommer)</t>
  </si>
  <si>
    <t>Lavlast</t>
  </si>
  <si>
    <t>Residual</t>
  </si>
  <si>
    <t>Højlast</t>
  </si>
  <si>
    <t>Spidslast</t>
  </si>
  <si>
    <t>Hverdage - vinter</t>
  </si>
  <si>
    <t>Hverdage - sommer</t>
  </si>
  <si>
    <t>Weekender og helligdage - vinter</t>
  </si>
  <si>
    <t>Weekender og helligdage - sommer</t>
  </si>
  <si>
    <t>Omkostninger og forrentning, der dækkes over basis tarif</t>
  </si>
  <si>
    <t>Rådighedsbetaling, egenproducent uden måler</t>
  </si>
  <si>
    <t>Effekt</t>
  </si>
  <si>
    <t>Effektprovenu</t>
  </si>
  <si>
    <t>Rådighedsbetaling</t>
  </si>
  <si>
    <t>Betaling for egenproducent u. produktionsmåler</t>
  </si>
  <si>
    <t>Oversigt</t>
  </si>
  <si>
    <t>Omkostninger og forrentning fra eget niveau, der dækkes over tarif</t>
  </si>
  <si>
    <t>Skaleringsfaktorer - vinter</t>
  </si>
  <si>
    <t>Skaleringsfaktorer - sommer</t>
  </si>
  <si>
    <t>Tidsdifferentieret tariffer (før korrektion for residual) - sommer</t>
  </si>
  <si>
    <t>Tidsdifferentieret tariffer (før korrektion for residual) - vinter</t>
  </si>
  <si>
    <t>Budgetteret forbrug - vinter</t>
  </si>
  <si>
    <t>Budgetteret forbrug - sommer</t>
  </si>
  <si>
    <t>Provenu - vinter</t>
  </si>
  <si>
    <t>Provenu - sommer</t>
  </si>
  <si>
    <t>Tidsdifferentieret tariffer (efter korrektion for residual) - vinter</t>
  </si>
  <si>
    <t xml:space="preserve">Højlast </t>
  </si>
  <si>
    <t>Provenu (efter korrektion) - vinter</t>
  </si>
  <si>
    <t>Provenu (efter korrektion) - sommer</t>
  </si>
  <si>
    <t>Provenu (efter korrektion) - total</t>
  </si>
  <si>
    <t>Tidsdifferentieret tariffer (efter korrektion for residual) - sommer</t>
  </si>
  <si>
    <t xml:space="preserve">Spidslast </t>
  </si>
  <si>
    <t>Budgetteret forbrug - spidslast</t>
  </si>
  <si>
    <t>Budgetteret forbrug - lavlast</t>
  </si>
  <si>
    <t>Budgetteret forbrug - højlast</t>
  </si>
  <si>
    <t>Øre/kWh</t>
  </si>
  <si>
    <t>Effektbetaling</t>
  </si>
  <si>
    <t>DKK/Installation</t>
  </si>
  <si>
    <t>Pris. pr. effektblok</t>
  </si>
  <si>
    <t>Rådighedstarif, egenproducent med måler</t>
  </si>
  <si>
    <t>Rådighedstarif, egenproducent m. måler</t>
  </si>
  <si>
    <t>Rådighedsbetaling, egenproducent u. måler</t>
  </si>
  <si>
    <t>Egenproducentabonnement</t>
  </si>
  <si>
    <t>Effekt: Omkostninger og forrentning fra eget niveau</t>
  </si>
  <si>
    <t>Omkostninger og forrentning fra eget niveau, der dækkes over effekt</t>
  </si>
  <si>
    <t>Konverting af enhedspriser til total</t>
  </si>
  <si>
    <t>Samlet aktiv værdi (check)</t>
  </si>
  <si>
    <t>Priselement (tarif/effekt eller abonnement) - omkostninger</t>
  </si>
  <si>
    <t>Omkostninger og forrentning (check)</t>
  </si>
  <si>
    <t>Omkostninger og forrentning fra eget niveau</t>
  </si>
  <si>
    <t>Nye tariffer</t>
  </si>
  <si>
    <t>Gamle tariffer</t>
  </si>
  <si>
    <t>Procentvis udvikling (%)</t>
  </si>
  <si>
    <t>Budgetteret forbrug - total (check)</t>
  </si>
  <si>
    <t>Ej relevant</t>
  </si>
  <si>
    <t>Varsling</t>
  </si>
  <si>
    <t>Sektion 3: Beregninger</t>
  </si>
  <si>
    <t>I alle ark, klik på bogikonet i F2 for at returnere hertil.</t>
  </si>
  <si>
    <t>Samlet aktiv værdi</t>
  </si>
  <si>
    <t>Forbrugsabonnementer</t>
  </si>
  <si>
    <t>Egenproducentabonnementer</t>
  </si>
  <si>
    <t>Producentabonnementer</t>
  </si>
  <si>
    <t>Producentabonnement uden bidrag til måler</t>
  </si>
  <si>
    <t>Antal byggeklodser - producentabonnement uden bidrag til måler</t>
  </si>
  <si>
    <t>Antal byggeklodser - egenproducentabonnementer</t>
  </si>
  <si>
    <t>Antal byggeklodser - producentabonnementer</t>
  </si>
  <si>
    <t>Antal byggeklodser - forbrugsabonnementer</t>
  </si>
  <si>
    <t>1.1 Drift og vedligeholdelse af transformerstationer</t>
  </si>
  <si>
    <t>1.2 Drift og vedligeholdelse af ledningsnet</t>
  </si>
  <si>
    <t>2.1 Drift og vedligeholdelse af målere</t>
  </si>
  <si>
    <t>2.2 Indhentning og validering af målerdata</t>
  </si>
  <si>
    <t>3.1 Generel administration</t>
  </si>
  <si>
    <t>4.1 Omkostninger vedrørende nettab i transformerstationer</t>
  </si>
  <si>
    <t>4.2 Omkostninger vedrørende nettab i ledningsnettet</t>
  </si>
  <si>
    <t>6.1 Afskrivninger på transformerstationer</t>
  </si>
  <si>
    <t>6.3 Afskrivninger på målere</t>
  </si>
  <si>
    <t>7.1 Transformerstationer (forrentning)</t>
  </si>
  <si>
    <t>7.3 Målere (forrentning)</t>
  </si>
  <si>
    <t>Fordeling af forrentning på kundekategorier (justeret for tilslutningsbidrag)</t>
  </si>
  <si>
    <t>Antal installationer - egenproducenter</t>
  </si>
  <si>
    <t>Egenproducenter u. produktionsmåler</t>
  </si>
  <si>
    <t>Egenproducenter m. produktionsmåler</t>
  </si>
  <si>
    <t>Forbrugsabonnement</t>
  </si>
  <si>
    <t>Producentabonnement</t>
  </si>
  <si>
    <t>Antal byggeklodser - forbrugstariffer</t>
  </si>
  <si>
    <t>Antal byggeklodser - rådighedstariffer</t>
  </si>
  <si>
    <t>Effektpriser</t>
  </si>
  <si>
    <t>Forbrugstarif - lavlast</t>
  </si>
  <si>
    <t>Forbrugstarif - højlast</t>
  </si>
  <si>
    <t>Forbrugstarif - spidslast</t>
  </si>
  <si>
    <t>Forbrugstarif - vinter</t>
  </si>
  <si>
    <t>Forbrugstarif - sommer</t>
  </si>
  <si>
    <t>Forbrugstarif  - vinter</t>
  </si>
  <si>
    <t>Fejl, ark</t>
  </si>
  <si>
    <t>Kontrol, ark</t>
  </si>
  <si>
    <t>Fejl, model</t>
  </si>
  <si>
    <t>1) Modelintroduktion</t>
  </si>
  <si>
    <t>Antal fejl i model</t>
  </si>
  <si>
    <t>Varsling advarsel</t>
  </si>
  <si>
    <t>3) Formatering</t>
  </si>
  <si>
    <t>Tariferingsgrundlag til tarif/effekt - forrentning</t>
  </si>
  <si>
    <t>Tariferingsgrundlag til tarif/effekt - omkostninger (fordelingsnøgle)</t>
  </si>
  <si>
    <t>Tariferingsgrundlag til tarif/effekt - omkostninger (direkte)</t>
  </si>
  <si>
    <t>Reallokerede omkostninger</t>
  </si>
  <si>
    <t xml:space="preserve">Oversigt </t>
  </si>
  <si>
    <t>Alle omkostninger fordelt på kundekategorier</t>
  </si>
  <si>
    <t>Indtægtsramme beregnet i indtægtsrammemodel</t>
  </si>
  <si>
    <t>Rådighedstarif - egenproducent m. måler</t>
  </si>
  <si>
    <t>Fordeling af forrentning på kundekategorier (før tilslutningsbidrag)</t>
  </si>
  <si>
    <t>Tariferingsgrundlag fordelt (før rådighedsbetaling) - check</t>
  </si>
  <si>
    <t>Tariferingsgrundlag til tarif/effekt (før rådighedsbetaling) - andele</t>
  </si>
  <si>
    <t>Tariferingsgrundlag til tarif/effekt (efter justering for rådighedsbetaling) - fordelt ved fordelingsnøgle</t>
  </si>
  <si>
    <t>Tariferingsgrundlag til tarif/effekt - omkostninger fordelt ved fordelingsnøgle</t>
  </si>
  <si>
    <t>Tariferingsgrundlag til tarif/effekt - omkostninger direkte fordelt</t>
  </si>
  <si>
    <t>Fordelingsnøgle anvendt - hjælpeflag</t>
  </si>
  <si>
    <t>Tariferingsgrundlag til tarif/effekt (efter allokeringsmæssig differentiering)</t>
  </si>
  <si>
    <t>Omkostninger og forrentning - eget niveau</t>
  </si>
  <si>
    <t>Omkostninger og forrenting, der dækkes over tarif/effekt (check)</t>
  </si>
  <si>
    <t>Provenu (check)</t>
  </si>
  <si>
    <t>Provenu fra effekt</t>
  </si>
  <si>
    <t>Provenu (Check)</t>
  </si>
  <si>
    <t>Provenu, der dækkes over tarif</t>
  </si>
  <si>
    <t>Forbrugsabon.</t>
  </si>
  <si>
    <t>Producentabon.</t>
  </si>
  <si>
    <t>Producentabon., ej måler</t>
  </si>
  <si>
    <t>Egenproducentabon.</t>
  </si>
  <si>
    <t>Provenu</t>
  </si>
  <si>
    <t>Rådighedstarif/-betaling</t>
  </si>
  <si>
    <t>¤</t>
  </si>
  <si>
    <t>Hvis navnet på et ark ændres, er det nødvendigt at opdatere diagrammet nedenfor.</t>
  </si>
  <si>
    <t>Total (eksklusiv rådighedsbetaling)</t>
  </si>
  <si>
    <t>Valg 9:</t>
  </si>
  <si>
    <t>Valg 10:</t>
  </si>
  <si>
    <t>Valg 11:</t>
  </si>
  <si>
    <t>Valg 12:</t>
  </si>
  <si>
    <t>Valg 13:</t>
  </si>
  <si>
    <t>Valg 14:</t>
  </si>
  <si>
    <t>List.Figur1</t>
  </si>
  <si>
    <t>List.Figur2</t>
  </si>
  <si>
    <t>Effektpris pr. blok</t>
  </si>
  <si>
    <t>Information om modellen og en hyperlinket indholdsfortegnelse</t>
  </si>
  <si>
    <t>Vilkår og betingelser som modellen er omfattet af</t>
  </si>
  <si>
    <t>Tarifelementer for forbrugskunder, producenter og egenproducenter (ekskl. moms), pr. kundekategori</t>
  </si>
  <si>
    <t>Oversigt over udvikling (%) i tarifelementer. Varsling ved stigning på mere end 10%</t>
  </si>
  <si>
    <t>Beregning af almindeligt og supplerende abonnementer</t>
  </si>
  <si>
    <t>Beregning af pris på effektblok samt basis tarif</t>
  </si>
  <si>
    <t>Beregning af tidsdifferentierede tariffer</t>
  </si>
  <si>
    <t>2) Modelindhold og -status</t>
  </si>
  <si>
    <t>= Låste input, som ikke må ændres</t>
  </si>
  <si>
    <t>Output</t>
  </si>
  <si>
    <t>Input</t>
  </si>
  <si>
    <t>Overordnede input/antagelser vedrørende modellen, herunder ift. enheder og navnelister</t>
  </si>
  <si>
    <t>Selskabsspecifikke input/antagelser, der skal fastsættes af brugeren</t>
  </si>
  <si>
    <t>= Input</t>
  </si>
  <si>
    <t>Sektion 1: Output</t>
  </si>
  <si>
    <t>Sektion 2: Input</t>
  </si>
  <si>
    <t>Input til fordelingsnøgler</t>
  </si>
  <si>
    <t>Input til fordelingsnøgler (prefilled, mulighed for selskabsspecifik justering af input)</t>
  </si>
  <si>
    <t>Input til fordelingsnøgler, selskabsspecifikt input</t>
  </si>
  <si>
    <t>Input til fordelingsnøgler, samlet</t>
  </si>
  <si>
    <t>List.Omk</t>
  </si>
  <si>
    <t>Valg 15:</t>
  </si>
  <si>
    <t>Valg 16:</t>
  </si>
  <si>
    <t>Modelstatus</t>
  </si>
  <si>
    <t>Modelbeskrivelse</t>
  </si>
  <si>
    <t>Modelnavn</t>
  </si>
  <si>
    <t>Modelsetup</t>
  </si>
  <si>
    <t>Modelejer</t>
  </si>
  <si>
    <t>Modelenheder (energi)</t>
  </si>
  <si>
    <t>Modelversion</t>
  </si>
  <si>
    <t>Headerbeskrivelse</t>
  </si>
  <si>
    <t>Headernavne</t>
  </si>
  <si>
    <t>Tarif, lavlast</t>
  </si>
  <si>
    <t>Tarif, højlast</t>
  </si>
  <si>
    <t>Tarif, spidslast</t>
  </si>
  <si>
    <t>Tarif, højlast - vinter</t>
  </si>
  <si>
    <t>Tarif, spidslast - vinter</t>
  </si>
  <si>
    <t>Tarif, højlast - sommer</t>
  </si>
  <si>
    <t>Tarif, spidslast - sommer</t>
  </si>
  <si>
    <t></t>
  </si>
  <si>
    <t>Fordelingsnøgle</t>
  </si>
  <si>
    <t>Kommentar:</t>
  </si>
  <si>
    <t>Egen kommentar</t>
  </si>
  <si>
    <t>Medtages i vandfald (ja/nej)</t>
  </si>
  <si>
    <t>Sektion 4: Fejl- og kontrolark</t>
  </si>
  <si>
    <t>Fejl og kontrol</t>
  </si>
  <si>
    <t>Oversigt over fejl og kontrolchecks fra input-, beregnings- og outputark.</t>
  </si>
  <si>
    <t>Kontrolchecks vedrørende allokeringsmæssig differentiering. Se ark for vejledning omkring årsagen.</t>
  </si>
  <si>
    <t>Kontrolchecks vedrørende om post medtages i vandfald. Se ark for vejledning omkring årsagen.</t>
  </si>
  <si>
    <t>Fejl- og kontrolchecks vedrørende forbrugsabon. Se ark for vejledning omkring årsagen.</t>
  </si>
  <si>
    <t>Fejl- og kontrolchecks vedrørende producentabon. Se ark for vejledning omkring årsagen.</t>
  </si>
  <si>
    <t>Fejl- og kontrolchecks vedrørende producentabon. u. måler. Se ark for vejledning omkring årsagen.</t>
  </si>
  <si>
    <t>Fejl- og kontrolchecks vedrørende egenproducentabon. Se ark for vejledning omkring årsagen.</t>
  </si>
  <si>
    <t>Fejl- og kontrolchecks vedrørende forbrugstariffer. Se ark for vejledning omkring årsagen.</t>
  </si>
  <si>
    <t>Fejl- og kontrolchecks vedrørende rådighedstariffer. Se ark for vejledning omkring årsagen.</t>
  </si>
  <si>
    <t>Fejl- og kontrolchecks vedrørende gearing. Se ark for vejledning omkring årsagen.</t>
  </si>
  <si>
    <t>Fejl- og kontrolchecks vedrørende rådighedsbetaling. Se ark for vejledning omkring årsagen.</t>
  </si>
  <si>
    <t>Fejl- og kontrolchecks vedrørende fordelingsnøgler. Se ark for vejledning omkring årsagen.</t>
  </si>
  <si>
    <t>Fejl- og kontrolchecks vedrørende fordeling til effekt. Se ark for vejledning omkring årsagen.</t>
  </si>
  <si>
    <t>Fejl- og kontrolchecks vedrørende tilslutningsbidrag. Se ark for vejledning omkring årsagen.</t>
  </si>
  <si>
    <t>Fejl- og kontrolchecks vedrørende indtægtsramme. Se ark for vejledning omkring årsagen.</t>
  </si>
  <si>
    <t>Fejl- og kontrolchecks vedrørende justeringer til indtægtsramme. Se ark for vejledning omkring årsagen.</t>
  </si>
  <si>
    <t>Fejl- og kontrolchecks vedrørende indtægter fra bevillingsmæssige aktiviteter. Se ark for vejledning omkring årsagen.</t>
  </si>
  <si>
    <t>Fejl- og kontrolchecks vedrørende budgetterede omkostninger. Se ark for vejledning omkring årsagen.</t>
  </si>
  <si>
    <t>Fejl- og kontrolchecks vedrørende egetforbrug. Se ark for vejledning omkring årsagen.</t>
  </si>
  <si>
    <t>Fejl- og kontrolchecks vedrørende egenproducenter. Se ark for vejledning omkring årsagen.</t>
  </si>
  <si>
    <t>Fejl- og kontrolchecks vedrørende fordelingsnøgler, prefilled. Se ark for vejledning omkring årsagen.</t>
  </si>
  <si>
    <t>Fejl- og kontrolchecks vedrørende fordelingsnøgler, ej prefilled. Se ark for vejledning omkring årsagen.</t>
  </si>
  <si>
    <t>Fejl- og kontrolchecks vedrørende effektblokke. Se ark for vejledning omkring årsagen.</t>
  </si>
  <si>
    <t>Fejl- og kontrolchecks vedrørende effektbetaling. Se ark for vejledning omkring årsagen.</t>
  </si>
  <si>
    <t>Fejl- og kontrolchecks vedrørende abonnementer. Se ark for vejledning omkring årsagen.</t>
  </si>
  <si>
    <t>Fordelingsnøgler summer ikke til 100%</t>
  </si>
  <si>
    <t>Aktivværdier summer ikke til 100%</t>
  </si>
  <si>
    <t>Samlet provenu stemmer ikke med tariferingsgrundlaget</t>
  </si>
  <si>
    <t>Provenu fra omkostningsopsplitning stemmer ikke med provenuet opsplittet på tarifelementer (ekskl. rådighedsbetaling)</t>
  </si>
  <si>
    <t>Provenu fra omkostningsopsplitning stemmer ikke med provenuet opsplittet på tarifelementer (inkl. rådighedsbetaling)</t>
  </si>
  <si>
    <t>Forrentning fordelt på aktiver summer ikke til samlet forrentning</t>
  </si>
  <si>
    <t>Forrentning fordelt på kundekategorier summer ikke til forrentning fordelt på aktiver</t>
  </si>
  <si>
    <t>Fordelt forrentning fratrukket tilslutningsbidrag er negativ</t>
  </si>
  <si>
    <t>Fordelingsnøgler på omkostningskategorier summer ikke til 100%</t>
  </si>
  <si>
    <t>Tariferingsgrundlag fordelt på kundekategorier og tariftyper stemmer ikke med samlet tariferingsgrundlag</t>
  </si>
  <si>
    <t>Andele til fordeling af rådighedsbetaling summer ikke til 100% pr. kundekategori</t>
  </si>
  <si>
    <t>Samlet provenu fra de forskellige abon. stemmer ikke med samlet tariferingsgrundlag til abon.</t>
  </si>
  <si>
    <t>Samlet tariferingsgrundlag til tarif/effekt fordelt med fordelingsnøgle stemmer ikke med tariferingsgrundlag fra omkostninger og forrentning, justeret for rådighedsbetaling</t>
  </si>
  <si>
    <t>Procenter til allokeringsmæssig differentiering summer ikke til 100%</t>
  </si>
  <si>
    <t>Andele til gearet forbrug summer ikke til 100%</t>
  </si>
  <si>
    <t>Reallokerede omkostninger stemmer ikke med omkostningen, som de allokeres fra</t>
  </si>
  <si>
    <t>Sum af omkostninger fra overliggende og eget niveau stemmer ikke med samlet tariferingsgrundlag til tarif/effekt</t>
  </si>
  <si>
    <t>Sum af omkostninger fra tarif og effekt stemmer ikke med samlet tariferingsgrundlag til tarif/effekt</t>
  </si>
  <si>
    <t>Budgetteret forbrug stemmer ikke med summen af det budgetterede forbrug pr. time</t>
  </si>
  <si>
    <t>Budgetteret forbrug for vinter stemmer ikke med sum af forbrug for vinter fordelt på hverdage og helligdage/weekender</t>
  </si>
  <si>
    <t>Budgetteret forbrug for sommer stemmer ikke med sum af forbrug for sommer fordelt på hverdage og helligdage/weekender</t>
  </si>
  <si>
    <t>Provenu fra tidsdifferentierede tariffer er forskelligt fra omkostninger og forrentning, der dækkes over tarif</t>
  </si>
  <si>
    <t>Fejl- og kontrolchecks vedrørende skaleringsfaktorer. Se ark for vejledning omkring årsagen.</t>
  </si>
  <si>
    <t>Kontrolchecks vedrørende lastperioder. Se ark for vejledning omkring årsagen.</t>
  </si>
  <si>
    <t>Kontrolchecks vedrørende forudsætninger. Se ark for vejledning omkring årsagen.</t>
  </si>
  <si>
    <t>Forrentning (eksklusiv tilslutningsbidrag) er negativ</t>
  </si>
  <si>
    <t>Forrentning (inklusiv tilslutningsbidrag) er negativ</t>
  </si>
  <si>
    <t>Fordelt forrentning fratrukket tilslutningsbidrag stemmer ikke med tilslutningsbidrag + forrentning ej fratrukket tilslutningsbidrag</t>
  </si>
  <si>
    <t>Omkostninger og forrentning til underliggende transformerstationer er ikke 0 efter allokeringsmæssig differentiering</t>
  </si>
  <si>
    <t>Provenu fra effekt stemmer ikke med tariferingsgrundlag til effekt</t>
  </si>
  <si>
    <t>Skaleringsfaktorer er negative</t>
  </si>
  <si>
    <t>Samlet provenu fra tidsdifferentieret tariffer stemmer ikke med tariferingsgrundlag, der skal opkræves over basistarif</t>
  </si>
  <si>
    <t>Provenu fra basistariffer og rådighedstariffer stemmer ikke med tariferingsgrudlag til tarif</t>
  </si>
  <si>
    <t>Fejl- og kontrolchecks vedrørende alle typer af abonnementer. Se ark for vejledning omkring årsagen.</t>
  </si>
  <si>
    <t>Samlet aktiv værdi efter fordeling af øvrige netaktiver stemmer ikke med samlet indtastet værdi af aktiver</t>
  </si>
  <si>
    <t>Omkostningsgruppe fordelt på kundekategorier stemmer ikke med total indtastet for omkostningsgruppe</t>
  </si>
  <si>
    <t>Samlet tariferingsgrundlag til abon. stemmer ikke med tariferingsgrundlag fra omkostninger til abon. + forrentning til abon.</t>
  </si>
  <si>
    <t>Samlet tariferingsgrundlag til tarif/effekt efter allokeringsmæssig differentiering stemmer ikke med tariferingsgrundlag til tarif/effekt fordelt på omkostninger (direkte og fordelingsnøgle) + forrentning og fratrukket rådighedsbetaling</t>
  </si>
  <si>
    <t>Byggeklodser (øre/kWh) - check</t>
  </si>
  <si>
    <t>Andele af samlet aktiv værdi (til fordeling af forrentning)</t>
  </si>
  <si>
    <t>Andele af samlet aktiv værdi (til fordeling af tilsutningsbidrag)</t>
  </si>
  <si>
    <t>Fejl- og kontrolchecks vedrørende forbrug for forbrugskunder pr. time. Se ark for vejledning omkring årsagen.</t>
  </si>
  <si>
    <t>Levetid for måler (default)</t>
  </si>
  <si>
    <t>Målerpriser (default)</t>
  </si>
  <si>
    <t>Enhedspriser for indhentning og validering af målerdata (default)</t>
  </si>
  <si>
    <t>Enhedspriser for drift og vedligeholdelse af målere (default)</t>
  </si>
  <si>
    <t>A-høj omkostninger og forrentning allokeret via vandfald</t>
  </si>
  <si>
    <t>A-lav omkostninger og forrentning allokeret via vandfald</t>
  </si>
  <si>
    <t>B-høj omkostninger og forrentning allokeret via vandfald</t>
  </si>
  <si>
    <t>B-lav omkostninger og forrentning allokeret via vandfald</t>
  </si>
  <si>
    <t>Samlede omkostninger og forrentning allokeret via vandfald</t>
  </si>
  <si>
    <t>Omkostninger og forrentning - overliggende niveauer</t>
  </si>
  <si>
    <t>Omkostninger og forrentning, overliggende niveauer</t>
  </si>
  <si>
    <t>Omkostninger og forrentning fra overliggende niveauer, der dækkes over tarif - check</t>
  </si>
  <si>
    <t>Omkostninger og forrentning fra overliggende niveauer, der dækkes over effekt</t>
  </si>
  <si>
    <t>Allokerede A-lav omkostninger og forrentning, der dækkes over tarif</t>
  </si>
  <si>
    <t>Allokerede A-høj omkostninger og forrentning, der dækkes over tarif</t>
  </si>
  <si>
    <t>Allokerede B-høj omkostninger og forrentning, der dækkes over tarif</t>
  </si>
  <si>
    <t>Allokerede B-lav omkostninger og forrentning, der dækkes over tarif</t>
  </si>
  <si>
    <t>Samlede omkostninger og forrentning, der dækkes over tarif</t>
  </si>
  <si>
    <t>Samlede omkostninger og forrentning, der dækkes over effekt</t>
  </si>
  <si>
    <t>Andele til fordeling af tilslutningsbidrag summer ikke til 100%</t>
  </si>
  <si>
    <t>Fordelt tilslutningsbidrag stemmer ikke med det indtastede tilslutningsbidrag</t>
  </si>
  <si>
    <t>Effekt: Omkostninger og forrentning fra overliggende niveauer</t>
  </si>
  <si>
    <t>Modelenheder</t>
  </si>
  <si>
    <t>Liste 5 - Lastperioder</t>
  </si>
  <si>
    <t>Årets indregnede indtægter fra tilslutningsbidrag</t>
  </si>
  <si>
    <t>+ Årets indregnede indtægter fra tilslutningsbidrag</t>
  </si>
  <si>
    <t>Fordelingsnøgler, antal målere</t>
  </si>
  <si>
    <t>Fordelingsnøgler på omkostningskategorier, antal målere</t>
  </si>
  <si>
    <t>Fordelingsnøgler, samlet</t>
  </si>
  <si>
    <t>Fordelingsnøgler, målerafskrivning</t>
  </si>
  <si>
    <t>Fordelingsnøgler på omkostningskategorier, målerafskrivning</t>
  </si>
  <si>
    <t>Fordelingsnøgler, måler-drift</t>
  </si>
  <si>
    <t>Fordelingsnøgler, måler-data</t>
  </si>
  <si>
    <t>Fordelingsnøgler på omkostningskategorier, uden korrektion</t>
  </si>
  <si>
    <t>Fordelingsnøgler på omkostningskategorier, måler-data</t>
  </si>
  <si>
    <t>Fordelingsnøgler på omkostningskategorier, måler-drift</t>
  </si>
  <si>
    <t>Målerafskrivninger</t>
  </si>
  <si>
    <t>Antallet af priselementer, der kræver varsling</t>
  </si>
  <si>
    <t>Indtastes værdi af målere på total ("Total") eller pr. kundekategori ("Kundekat.")</t>
  </si>
  <si>
    <t>Kundekat.</t>
  </si>
  <si>
    <t>Værdi af målere fordelt, hvis "Total" valgt</t>
  </si>
  <si>
    <t>List.Målere</t>
  </si>
  <si>
    <t>Byggeklodser (øre/kWh) - A-høj</t>
  </si>
  <si>
    <t>Byggeklodser (øre/kWh) - A-lav</t>
  </si>
  <si>
    <t>Byggeklodser (øre/kWh) - B-høj</t>
  </si>
  <si>
    <t>Byggeklodser (øre/kWh) - B-lav</t>
  </si>
  <si>
    <t>Byggeklodser (øre/kWh) - C</t>
  </si>
  <si>
    <t>Målerpriser, total</t>
  </si>
  <si>
    <t>Tariferingsgrundlag stemmer ikke med det, der er beregnet i input-ark</t>
  </si>
  <si>
    <t>Samlet aktiv værdi efter fordeling stemmer ikke med samlet indtastet værdi af aktiver</t>
  </si>
  <si>
    <t>Sum af omkostninger fra overliggende niveauer stemmer ikke med total fra overliggende niveauer</t>
  </si>
  <si>
    <t>Sum fra byggeklodser opsplittet på niveau stemmer ikke med byggeklodser på samlet niveau</t>
  </si>
  <si>
    <t>Indtastes værdi af målere som total ("Total") eller pr. kundekategori ("Kundekat.")</t>
  </si>
  <si>
    <t>Totalt forbrug</t>
  </si>
  <si>
    <t>kWh, total</t>
  </si>
  <si>
    <t>Fordelingsnøgler på omkostningskategorier, kWh</t>
  </si>
  <si>
    <t>Fordelingsnøgler (ej korrigeret for antal installationer og kWh)</t>
  </si>
  <si>
    <t>Fordelingsnøgler, kWh</t>
  </si>
  <si>
    <t>Forbrug justeret</t>
  </si>
  <si>
    <t>Gearet forbrug, A-høj</t>
  </si>
  <si>
    <t>Gearet forbrug, A-lav</t>
  </si>
  <si>
    <t>Gearet forbrug, B-høj</t>
  </si>
  <si>
    <t>Gearet forbrug, B-lav</t>
  </si>
  <si>
    <t>Gearet forbrugsandele, A-høj</t>
  </si>
  <si>
    <t>Gearet forbrugsandele, A-lav</t>
  </si>
  <si>
    <t>Gearet forbrugsandele, B-høj</t>
  </si>
  <si>
    <t>Gearet forbrugsandele, B-lav</t>
  </si>
  <si>
    <t>Minimum effekt, der skal abonneres på</t>
  </si>
  <si>
    <t>kW</t>
  </si>
  <si>
    <t>kW/blok</t>
  </si>
  <si>
    <t>Budgetteret leveret mængde (hverdage - vinter)</t>
  </si>
  <si>
    <t>Budgetteret leveret mængde (hverdage - sommer)</t>
  </si>
  <si>
    <t>Budgetteret leveret mængde (weekender og helligdage - vinter)</t>
  </si>
  <si>
    <t>Budgetteret leveret mængde (weekender og helligdage - sommer)</t>
  </si>
  <si>
    <t>Budgetteret leveret mængde</t>
  </si>
  <si>
    <t>I alt</t>
  </si>
  <si>
    <t>5.2 Øvrige omkostninger</t>
  </si>
  <si>
    <t>Valg 17:</t>
  </si>
  <si>
    <t>5.1 Omkostninger til overliggende net</t>
  </si>
  <si>
    <t>Effektblokke tilkøbes i blokke af</t>
  </si>
  <si>
    <t>2.3 Måleradministration og kundehåndtering</t>
  </si>
  <si>
    <t>1.3 Øvrige omkostninger til drift, styring og kontrol af elnettet</t>
  </si>
  <si>
    <t>Værdi af netaktiver ekskl. transformerstationer og målere</t>
  </si>
  <si>
    <t xml:space="preserve">Total budgetteret leveret mængde </t>
  </si>
  <si>
    <t>Samlet provenu fra abonnement stemmer ikke med provenuet, der er beregnet i beregningsark</t>
  </si>
  <si>
    <t>6.2 Afskrivninger på netaktiver ekskl. målere og transformerstationer</t>
  </si>
  <si>
    <t>Hjælpeark</t>
  </si>
  <si>
    <t>Den (vægtede) gennemsnitlige tarif</t>
  </si>
  <si>
    <t>Basistarif</t>
  </si>
  <si>
    <t>Dato</t>
  </si>
  <si>
    <t>Installationer</t>
  </si>
  <si>
    <t>Oversigt over hoveddata (kWh, installationer og provenu) pr. kundekategori</t>
  </si>
  <si>
    <t>Ark</t>
  </si>
  <si>
    <t>Celle</t>
  </si>
  <si>
    <t>1) Interne modeltilpasninger (opdateres af netselskabet)</t>
  </si>
  <si>
    <t>7.2 Netaktiver ekskl. målere og transformerstationer (forrentning)</t>
  </si>
  <si>
    <t>Forskel mellem anvendt forbrugsfordeling og branches fordeling</t>
  </si>
  <si>
    <t>Fordeling på lastzoner</t>
  </si>
  <si>
    <t>Fordeling på lastzoner - Hverdage, vinter (branchefordeling)</t>
  </si>
  <si>
    <t>Fordeling på lastzoner - Hverdage, sommer (branchefordeling)</t>
  </si>
  <si>
    <t>Fordeling på lastzoner - weekender og helligdage, vinter (branchefordeling)</t>
  </si>
  <si>
    <t>Fordeling på lastzoner - weekender og helligdage, sommer (branchefordeling)</t>
  </si>
  <si>
    <t>Fordeling på lastzoner (branchefordeling)</t>
  </si>
  <si>
    <t>Fordeling på lastzoner - Hverdage, vinter</t>
  </si>
  <si>
    <t>Fordeling på lastzoner - Hverdage, sommer</t>
  </si>
  <si>
    <t>Fordeling på lastzoner - weekender og helligdage, vinter</t>
  </si>
  <si>
    <t>Fordeling på lastzoner - weekender og helligdage, sommer</t>
  </si>
  <si>
    <t>Forskel mellem anvendt forbrugsfordeling og branchens fordeling</t>
  </si>
  <si>
    <t>Justeret værdi af netaktiver ekskl. transformerstationer og målere</t>
  </si>
  <si>
    <t>Forrentning fordelt til netaktiver ekskl. transformerstationer og målere</t>
  </si>
  <si>
    <t>Justeret værdi af netaktiver ekskl. transformerstationer og målere af samlet aktiv værdi</t>
  </si>
  <si>
    <t>Tilslutningsbidrag fordelt til netaktiver ekskl. transformerstationer og målere</t>
  </si>
  <si>
    <t>A0</t>
  </si>
  <si>
    <t>Se arket "Fejl- og kontroloversigt" for et mere detaljeret overblik over fejlchecks</t>
  </si>
  <si>
    <t>Opdateringslog til brug for det enkelte netselskab</t>
  </si>
  <si>
    <t>Beregning af tariferingsgrundlaget fordelt på abonnement og effekt/tarif</t>
  </si>
  <si>
    <t>Basis- og vægtet gennemsnitlig tarif</t>
  </si>
  <si>
    <t>Opdateringslog til brug for Green Power Denmark</t>
  </si>
  <si>
    <t>Generelle input/antagelser fastsat af Green Power Denmark</t>
  </si>
  <si>
    <t>Opdeling af forbruget efter Green Power Denmarks standard</t>
  </si>
  <si>
    <t>Green Power Denmark fraskriver sig ethvert ansvar for tab, skader eller ulempe, både direkte og indirekte af enhver art, der skyldes eller er en følge af brugen af denne model inklusive brugervejledningen. Green Power Denmark fraskriver sig ethvert ansvar for fejl, udeladelser og mangelfulde opdateringer, der måtte være i teksten i modellen såvel som brugervejledningen. Green Power Denmark påtager sig intet ansvar for indholdet af hjemmesider, hvor der henvises eller linkes til modellen og brugervejledningen. Green Power Denmark påtager sig ikke ansvar for eventuelt misbrug af indholdet i modellen og brugervejledningen.</t>
  </si>
  <si>
    <t xml:space="preserve">Green Power Denmark stiller gratis modellen og brugervejledningen til rådighed uden garanti af nogen art, heller ikke for anvendelighed eller egnethed til et bestemt formål. Anvendelsen heraf sker på brugerens eget initiativ og skaber i intet tilfælde et retsforhold mellem Green Power Denmark og brugeren. Anvendelse af modellen og brugervejledningen kan ikke træde i stedet for brugerens egen vurdering af, hvorledes der skal disponeres i en given situation, og brugeren opfordres i alle tilfælde til at undersøge, om professionel rådgivning er nødvendig. </t>
  </si>
  <si>
    <t>Modellen og vejledningen opdateres løbende af Green Power Denmark. Seneste dato for opdatering vil fremgår af de enkelte dokumenter. Regler og praksis på området kan imidlertid skifte hurtigt, og der kan opstå perioder, hvor indholdet i modellen og brugervejledningen ikke er fuldt opdateret.</t>
  </si>
  <si>
    <t>1) Modeltilpasninger udført af Green Power Denmark (opdateres af Green Power Denmark)</t>
  </si>
  <si>
    <t>Green Power Denmark</t>
  </si>
  <si>
    <t>Overskriv GPD</t>
  </si>
  <si>
    <t>A-høj+</t>
  </si>
  <si>
    <t>A-høj+,maske</t>
  </si>
  <si>
    <t>List.Skaleringsfaktor</t>
  </si>
  <si>
    <t>Valg 18:</t>
  </si>
  <si>
    <t>1.4 Omkostninger vedrørende 132-150/30-60 kV-stationer</t>
  </si>
  <si>
    <t>Tarifmodel 3.0 og producentbetaling</t>
  </si>
  <si>
    <t>1 / 1</t>
  </si>
  <si>
    <t>Totale mængde</t>
  </si>
  <si>
    <t>Realokerede omkostninger</t>
  </si>
  <si>
    <t>Alle omkostninger fordelt på kundekategorier, efter allokeringsmæssig differentiering</t>
  </si>
  <si>
    <t>Alle omkostninger fordelt på kundekategorier (check)</t>
  </si>
  <si>
    <t>De samlede leverede- og indfødte mængder</t>
  </si>
  <si>
    <t>Leverede mængder</t>
  </si>
  <si>
    <t>Indfødte mængder</t>
  </si>
  <si>
    <t>Fordelingsnøgle, kWh (Samlet)</t>
  </si>
  <si>
    <t>Omkostninger fordelt direkte</t>
  </si>
  <si>
    <t>kWh, total (justeret for rådighedstariffer)</t>
  </si>
  <si>
    <t xml:space="preserve">Totale indfødning </t>
  </si>
  <si>
    <t>Indfødt mængder, justeret via skaleringsfaktor</t>
  </si>
  <si>
    <t>Allokering af omkostninger til forbrug</t>
  </si>
  <si>
    <t>Allokering af omkostninger til indfødning</t>
  </si>
  <si>
    <t>Liste 8 - Værdi af målere</t>
  </si>
  <si>
    <t>Liste 9 - Liste til figurer i "1.1 Provenu"</t>
  </si>
  <si>
    <t>Liste 10 - Liste til figurer i "1.3 Varslingsanalyse"</t>
  </si>
  <si>
    <t>Liste 11 - Skaleringsfaktor</t>
  </si>
  <si>
    <t>Indfødningstarif</t>
  </si>
  <si>
    <t>Antal byggeklodser - indfødningstariffer</t>
  </si>
  <si>
    <t>Omkostningsgruppe medtages i vandfald (ja/nej)</t>
  </si>
  <si>
    <t>kWh, totale infødte mængder</t>
  </si>
  <si>
    <t>Samlede indfødte mængder, til brug for vandfald</t>
  </si>
  <si>
    <t>Omkostningspost anvendt - hjælpeflag</t>
  </si>
  <si>
    <t>Omkostningsgruppe medtages i vandfald (Ja/Nej)</t>
  </si>
  <si>
    <t>kWh, totale infødte mængder - til brug for vandfald</t>
  </si>
  <si>
    <t>A-høj+ omkostninger allokeret via vandfald</t>
  </si>
  <si>
    <t>A-høj omkostninger allokeret via vandfald</t>
  </si>
  <si>
    <t>A-lav omkostninger allokeret via vandfald</t>
  </si>
  <si>
    <t>B-høj omkostninger allokeret via vandfald</t>
  </si>
  <si>
    <t>Samlede omkostninger allokeret via vandfald</t>
  </si>
  <si>
    <t>Omkostninger - eget niveau</t>
  </si>
  <si>
    <t>Byggeklodser (øre/kWh) - A-høj+</t>
  </si>
  <si>
    <t>Indfødningstariffer</t>
  </si>
  <si>
    <t>Liste 12 - Vægtning af omkostningspost</t>
  </si>
  <si>
    <t>Flag</t>
  </si>
  <si>
    <t>Budgetteret indfødte mængde</t>
  </si>
  <si>
    <t>Indfødning</t>
  </si>
  <si>
    <t>Samlede omkostninger (check)</t>
  </si>
  <si>
    <t>Omkostningspost anvendt - hjælpeflag - til brug for vandfald</t>
  </si>
  <si>
    <t>Indfødning, A-høj+</t>
  </si>
  <si>
    <t>Indfødning, A-høj</t>
  </si>
  <si>
    <t>Indfødning, A-lav</t>
  </si>
  <si>
    <t>Indfødning, B-høj</t>
  </si>
  <si>
    <t>Indfødningandele, A-høj+</t>
  </si>
  <si>
    <t>Indfødningsandele, A-høj</t>
  </si>
  <si>
    <t>Indfødningsandele, A-lav</t>
  </si>
  <si>
    <t>Indfødningsandele, B-høj</t>
  </si>
  <si>
    <t xml:space="preserve">Liste 6 - Omkostnings- og forrentningsgrupper </t>
  </si>
  <si>
    <t>Beregning af indfødningstarif</t>
  </si>
  <si>
    <t>Indfødtingstarif</t>
  </si>
  <si>
    <t>Indfødt mængde</t>
  </si>
  <si>
    <t>Fejl- og kontrolchecks vedrørende indfødningstariffer. Se ark for vejledning omkring årsagen.</t>
  </si>
  <si>
    <t>- Budgetterede omkostninger til forbrug inkl. afskrivninger, i alt</t>
  </si>
  <si>
    <t>- Budgetterede omkostninger til indfødning, i alt</t>
  </si>
  <si>
    <t>List.Fall-back</t>
  </si>
  <si>
    <t>List.0/1</t>
  </si>
  <si>
    <t>Hjælpeflag</t>
  </si>
  <si>
    <t>Samlede mængder (kWh)</t>
  </si>
  <si>
    <t>Oversigt over indfødningstariffer (kWh og provenu) pr. kundekategori</t>
  </si>
  <si>
    <t>Fejl- og kontrolchecks vedrørende indfødte mængder. Se ark for vejledning omkring årsagen.</t>
  </si>
  <si>
    <t>Budgetteret indfødning stemmer ikke med det der er beregnet i input-ark</t>
  </si>
  <si>
    <t>Omkostninger fordelt med fordelingsnøgle stemmer ikke med residual angivet for omkostningsgruppe</t>
  </si>
  <si>
    <t>Omkostninger fordelt med allokeringsmæssig differentiering er kun fordelt på kundekategorier hvor dette er gældende</t>
  </si>
  <si>
    <t>Samlet omkostninger til indfødning efter allokeringsmæssig differentiering stemmer ikke med omkostninger fordelt på omkostninger (direkte og fordelingsnøgle) før allokeringsmæssig differentiering</t>
  </si>
  <si>
    <t>Provenu fra indfødningstariffer stemmer ikke med samlede omkostninger til indfødning</t>
  </si>
  <si>
    <t>Omkostninger - overliggende (og underliggende) niveauer</t>
  </si>
  <si>
    <t>Sum af omkostninger fra overliggende (og underliggende) og eget niveau stemmer ikke med de samlede omkostninger til indfødning</t>
  </si>
  <si>
    <t>Provenu nedbrudt pr. kundekategori for tariffer, abonnementer og effektbetalinger samt provenu nedbrudt på omkostnings-/forrentningsgrupper samt eget kontra overliggende (og underliggende) niveau</t>
  </si>
  <si>
    <t>Opdeling af de samlede omkostninger ud på hhv- forbrug og indfødning via fall-back-metoden</t>
  </si>
  <si>
    <t>Liste 7 - Omkostningsgrupper til "hjælpeark, fall-back-metoden"</t>
  </si>
  <si>
    <t>Valg vedrørende Fall-back-metoden og skaleringsfaktor</t>
  </si>
  <si>
    <t>Anvendte skaleringsfaktor til Fall-back-metoden</t>
  </si>
  <si>
    <t>Omkostninger fordelt på kundekategorier efter Fall-back-metoden, indfødning</t>
  </si>
  <si>
    <t>Omkostninger fordelt på kundekategorier efter Fall-back-metoden, forbrug</t>
  </si>
  <si>
    <t>Indfødning, A-høj+,maske</t>
  </si>
  <si>
    <t>Indfødningsandele, A-høj+,maske</t>
  </si>
  <si>
    <t>A-høj+,maske omkostninger allokeret via vandfald</t>
  </si>
  <si>
    <t>Byggeklodser (øre/kWh) - A-høj+,maske</t>
  </si>
  <si>
    <t>Forbrugstarif: Omkostninger og forrentning fra eget niveau</t>
  </si>
  <si>
    <t>Forbrugstarif: Omkostninger og forrentning fra overliggende niveauer</t>
  </si>
  <si>
    <t>Indfødningstarif: Omkostninger fra eget niveau</t>
  </si>
  <si>
    <t>Indfødningstarif: Omkostninger fra overliggende (og underliggende) niveauer</t>
  </si>
  <si>
    <t>A-høj+,maskes andel af A-højs bidrag til omkostningspost 1.2 og 4.2</t>
  </si>
  <si>
    <t>Andel</t>
  </si>
  <si>
    <t>Valg vedrørende Fall-back-metoden og leverede mængder</t>
  </si>
  <si>
    <t>Budgetteret leveret mængde (til brug for fall-back-metoden)</t>
  </si>
  <si>
    <t>Indfødte mængder (inkl. kWh fritaget fra indfødningstariffer)</t>
  </si>
  <si>
    <t>Indfødte mængder (eksl. kWh fritaget fra indfødningstariffer)</t>
  </si>
  <si>
    <t>Totale forbrug og indfødning (justeret via skalleringsfaktor)</t>
  </si>
  <si>
    <t>Indfødt mængde (eksl. kWh fritaget fra indfødningstariffer)</t>
  </si>
  <si>
    <t>Indfødte mængder (kWh fritaget fra indfødningstariffer)</t>
  </si>
  <si>
    <t>Benyttes modellen kun til beregning af indfødningstariffer</t>
  </si>
  <si>
    <t>Output til 2.3 Selskabsspecifikke input "Omkostninger til forbrug"</t>
  </si>
  <si>
    <t>Output til 2.3 Selskabsspecifikke input "Omkostninger til indfødning"</t>
  </si>
  <si>
    <t>Produktionsdomineret net (rød)</t>
  </si>
  <si>
    <t>Blandet net (gul)</t>
  </si>
  <si>
    <t>Forbrugsdomineret net (grøn)</t>
  </si>
  <si>
    <t>Liste 13 - Valg af indtastning i "2.3 Selskabsspecifikke input"</t>
  </si>
  <si>
    <t>Manuelt</t>
  </si>
  <si>
    <t>List.Automatisk/Manualt</t>
  </si>
  <si>
    <t>Valg vedrørende omkostninger til forbrug og indfødning (automatisk fra hjælpeark eller manuel indtastning)</t>
  </si>
  <si>
    <t>Budgetterede omkostninger ved manuel indtastning</t>
  </si>
  <si>
    <t>Valg 19:</t>
  </si>
  <si>
    <t>5.1 Omkostninger til overliggende net ifm. forbrug</t>
  </si>
  <si>
    <t>132-150/30-60kV transformer</t>
  </si>
  <si>
    <t>30-60kV kabel</t>
  </si>
  <si>
    <t>30-60/10-20kV transformer</t>
  </si>
  <si>
    <t>10-20kV kabel</t>
  </si>
  <si>
    <t>10-20/0,4kV transformer</t>
  </si>
  <si>
    <t>0,4kV kabel</t>
  </si>
  <si>
    <t>5.1 Omkostninger til overliggende net ifm. indfødning</t>
  </si>
  <si>
    <t>Producentabonnementer*</t>
  </si>
  <si>
    <t>Abonnement: Omkostninger og forrentning (*)</t>
  </si>
  <si>
    <t>Producentabonnement*</t>
  </si>
  <si>
    <t>05. december 2022</t>
  </si>
  <si>
    <t>Abonnement*</t>
  </si>
  <si>
    <t xml:space="preserve">* A-høj+ og A-høj+,maske er indeholdt i A-høj kolonnen. </t>
  </si>
  <si>
    <t>Diverse</t>
  </si>
  <si>
    <t>Fordelingen af omkostninger fra overliggende net (både indfødning til og levering fra) er blevet rettet, så bidraget pr. kWh er det samme uanset tilslutningsniveau. Bidraget er ikke nødvendigvis det samme mellem produceret og leveret strøm.</t>
  </si>
  <si>
    <t>V2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</si>
</sst>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 #,##0.00_-;_-* &quot;-&quot;??_-;_-@_-"/>
    <numFmt numFmtId="164" formatCode="_(* #,##0_);_(* \(#,##0\);_(* &quot;-&quot;_);@_)"/>
    <numFmt numFmtId="165" formatCode="#,##0_);\(#,##0\);&quot;-&quot;_);@_)"/>
    <numFmt numFmtId="166" formatCode="d\ mmm\ yy_);d\ mmm\ yy_);&quot;-&quot;_);@_)"/>
    <numFmt numFmtId="167" formatCode="&quot;$&quot;#,##0"/>
    <numFmt numFmtId="168" formatCode="0_);\(0\);&quot;-&quot;_);@_)"/>
    <numFmt numFmtId="169" formatCode="&quot;A &quot;;;&quot;F &quot;"/>
    <numFmt numFmtId="170" formatCode="0.0%"/>
    <numFmt numFmtId="171" formatCode="#,##0.00_);\(#,##0.00\);&quot;-&quot;_);@_)"/>
    <numFmt numFmtId="172" formatCode="0.0%_);\(0.0%\);&quot;-&quot;_);@_)"/>
    <numFmt numFmtId="173" formatCode="_ * #,##0.00_ ;_ * \-#,##0.00_ ;_ * &quot;-&quot;??_ ;_ @_ "/>
    <numFmt numFmtId="174" formatCode="0%_);\(0%\)"/>
    <numFmt numFmtId="175" formatCode="[$-406]d\.\ mmmm\ yyyy;@"/>
    <numFmt numFmtId="176" formatCode="_(* #,##0.0_);_(* \(#,##0.0\);_(* &quot;-&quot;?_);@_)"/>
    <numFmt numFmtId="177" formatCode="#,##0.0000_);\(#,##0.0000\);&quot;-&quot;_);@_)"/>
    <numFmt numFmtId="178" formatCode="#,##0.0_);\(#,##0.0\);&quot;-&quot;_);@_)"/>
    <numFmt numFmtId="179" formatCode="#,##0.000_);\(#,##0.000\);&quot;-&quot;_);@_)"/>
    <numFmt numFmtId="180" formatCode="#,##0.0000000_);\(#,##0.0000000\);&quot;-&quot;_);@_)"/>
  </numFmts>
  <fonts count="60">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i/>
      <sz val="10"/>
      <color theme="1"/>
      <name val="Arial"/>
      <family val="2"/>
    </font>
    <font>
      <u/>
      <sz val="10"/>
      <color theme="1"/>
      <name val="Arial"/>
      <family val="2"/>
    </font>
    <font>
      <b/>
      <sz val="10"/>
      <color theme="1"/>
      <name val="Arial"/>
      <family val="2"/>
    </font>
    <font>
      <u/>
      <sz val="16"/>
      <color rgb="FFFFFFFF"/>
      <name val="Arial"/>
      <family val="2"/>
    </font>
    <font>
      <b/>
      <i/>
      <sz val="10"/>
      <color rgb="FFFFFFFF"/>
      <name val="Arial"/>
      <family val="2"/>
    </font>
    <font>
      <i/>
      <u/>
      <sz val="10"/>
      <color rgb="FFFFFFFF"/>
      <name val="Arial"/>
      <family val="2"/>
    </font>
    <font>
      <i/>
      <sz val="10"/>
      <color rgb="FFFFFFFF"/>
      <name val="Arial"/>
      <family val="2"/>
    </font>
    <font>
      <b/>
      <sz val="12"/>
      <color rgb="FFFFFFFF"/>
      <name val="Arial"/>
      <family val="2"/>
    </font>
    <font>
      <sz val="10"/>
      <color theme="0"/>
      <name val="Arial"/>
      <family val="2"/>
    </font>
    <font>
      <b/>
      <sz val="10"/>
      <color theme="0"/>
      <name val="Arial"/>
      <family val="2"/>
    </font>
    <font>
      <u/>
      <sz val="10"/>
      <color rgb="FF0000FF"/>
      <name val="Wingdings"/>
      <charset val="2"/>
    </font>
    <font>
      <i/>
      <sz val="10"/>
      <color theme="1"/>
      <name val="Arial"/>
      <family val="2"/>
    </font>
    <font>
      <b/>
      <sz val="10"/>
      <color rgb="FFFFFFFF"/>
      <name val="Arial"/>
      <family val="2"/>
    </font>
    <font>
      <b/>
      <u/>
      <sz val="10"/>
      <color rgb="FFFFFFFF"/>
      <name val="Arial"/>
      <family val="2"/>
    </font>
    <font>
      <u/>
      <sz val="10"/>
      <color rgb="FF0000FF"/>
      <name val="Arial"/>
      <family val="2"/>
    </font>
    <font>
      <sz val="10"/>
      <name val="Arial"/>
      <family val="2"/>
    </font>
    <font>
      <sz val="10"/>
      <color rgb="FF5A8B25"/>
      <name val="Arial"/>
      <family val="2"/>
    </font>
    <font>
      <i/>
      <sz val="10"/>
      <color rgb="FF5A8B25"/>
      <name val="Arial"/>
      <family val="2"/>
    </font>
    <font>
      <b/>
      <i/>
      <sz val="10"/>
      <name val="Arial"/>
      <family val="2"/>
    </font>
    <font>
      <b/>
      <sz val="10"/>
      <name val="Arial"/>
      <family val="2"/>
    </font>
    <font>
      <i/>
      <sz val="10"/>
      <name val="Arial"/>
      <family val="2"/>
    </font>
    <font>
      <sz val="9"/>
      <color theme="1"/>
      <name val="Calibri"/>
      <family val="2"/>
      <scheme val="minor"/>
    </font>
    <font>
      <b/>
      <sz val="11"/>
      <color theme="3"/>
      <name val="Calibri"/>
      <family val="2"/>
      <scheme val="minor"/>
    </font>
    <font>
      <b/>
      <sz val="9"/>
      <color theme="3"/>
      <name val="Calibri"/>
      <family val="2"/>
      <scheme val="minor"/>
    </font>
    <font>
      <b/>
      <sz val="9"/>
      <color theme="1"/>
      <name val="Calibri"/>
      <family val="2"/>
      <scheme val="minor"/>
    </font>
    <font>
      <u/>
      <sz val="10"/>
      <color rgb="FF0000FF"/>
      <name val="Arial"/>
      <family val="2"/>
      <charset val="2"/>
    </font>
    <font>
      <b/>
      <u/>
      <sz val="10"/>
      <color theme="1"/>
      <name val="Arial"/>
      <family val="2"/>
    </font>
    <font>
      <b/>
      <sz val="28"/>
      <color indexed="8"/>
      <name val="Arial"/>
      <family val="2"/>
    </font>
    <font>
      <b/>
      <sz val="32"/>
      <color theme="1"/>
      <name val="Calibri"/>
      <family val="2"/>
      <scheme val="minor"/>
    </font>
    <font>
      <sz val="20"/>
      <color theme="1"/>
      <name val="Calibri"/>
      <family val="2"/>
      <scheme val="minor"/>
    </font>
    <font>
      <b/>
      <sz val="16"/>
      <color theme="1"/>
      <name val="Calibri"/>
      <family val="2"/>
      <scheme val="minor"/>
    </font>
    <font>
      <i/>
      <sz val="9"/>
      <color theme="1"/>
      <name val="Calibri"/>
      <family val="2"/>
      <scheme val="minor"/>
    </font>
    <font>
      <sz val="9"/>
      <color rgb="FF9C0006"/>
      <name val="Arial"/>
      <family val="2"/>
    </font>
    <font>
      <b/>
      <sz val="9"/>
      <color rgb="FFFA7D00"/>
      <name val="Arial"/>
      <family val="2"/>
    </font>
    <font>
      <b/>
      <sz val="9"/>
      <color theme="0"/>
      <name val="Calibri"/>
      <family val="2"/>
      <scheme val="minor"/>
    </font>
    <font>
      <i/>
      <sz val="9"/>
      <color rgb="FF7F7F7F"/>
      <name val="Calibri"/>
      <family val="2"/>
      <scheme val="minor"/>
    </font>
    <font>
      <sz val="9"/>
      <color rgb="FF006100"/>
      <name val="Arial"/>
      <family val="2"/>
    </font>
    <font>
      <b/>
      <sz val="9"/>
      <color theme="3"/>
      <name val="Arial"/>
      <family val="2"/>
    </font>
    <font>
      <b/>
      <sz val="9"/>
      <color theme="3"/>
      <name val="Calibri Light"/>
      <family val="2"/>
      <scheme val="major"/>
    </font>
    <font>
      <sz val="9"/>
      <color theme="3"/>
      <name val="Calibri Light"/>
      <family val="2"/>
      <scheme val="major"/>
    </font>
    <font>
      <sz val="9"/>
      <color rgb="FF3F3F76"/>
      <name val="Calibri"/>
      <family val="2"/>
      <scheme val="minor"/>
    </font>
    <font>
      <sz val="9"/>
      <color rgb="FFFA7D00"/>
      <name val="Calibri"/>
      <family val="2"/>
      <scheme val="minor"/>
    </font>
    <font>
      <sz val="9"/>
      <color rgb="FF9C6500"/>
      <name val="Arial"/>
      <family val="2"/>
    </font>
    <font>
      <b/>
      <sz val="9"/>
      <color rgb="FF3F3F3F"/>
      <name val="Calibri"/>
      <family val="2"/>
      <scheme val="minor"/>
    </font>
    <font>
      <sz val="8"/>
      <color theme="1"/>
      <name val="Calibri"/>
      <family val="2"/>
      <scheme val="minor"/>
    </font>
    <font>
      <b/>
      <sz val="11"/>
      <color theme="3"/>
      <name val="Calibri Light"/>
      <family val="2"/>
      <scheme val="major"/>
    </font>
    <font>
      <b/>
      <sz val="9"/>
      <color theme="1"/>
      <name val="Calibri Light"/>
      <family val="2"/>
      <scheme val="major"/>
    </font>
    <font>
      <b/>
      <sz val="7"/>
      <color theme="1"/>
      <name val="Calibri (Body)"/>
    </font>
    <font>
      <b/>
      <sz val="10"/>
      <color rgb="FF222221"/>
      <name val="Arial"/>
      <family val="2"/>
    </font>
    <font>
      <sz val="9"/>
      <color rgb="FFFF0000"/>
      <name val="Calibri"/>
      <family val="2"/>
      <scheme val="minor"/>
    </font>
    <font>
      <b/>
      <u/>
      <sz val="12"/>
      <color rgb="FFFFFFFF"/>
      <name val="Arial"/>
      <family val="2"/>
    </font>
    <font>
      <b/>
      <i/>
      <u/>
      <sz val="10"/>
      <color theme="1"/>
      <name val="Arial"/>
      <family val="2"/>
    </font>
    <font>
      <i/>
      <u/>
      <sz val="10"/>
      <color theme="1"/>
      <name val="Arial"/>
      <family val="2"/>
    </font>
    <font>
      <sz val="8"/>
      <name val="Calibri"/>
      <family val="2"/>
      <scheme val="minor"/>
    </font>
    <font>
      <sz val="9"/>
      <name val="Arial"/>
      <family val="2"/>
    </font>
  </fonts>
  <fills count="25">
    <fill>
      <patternFill patternType="none"/>
    </fill>
    <fill>
      <patternFill patternType="gray125"/>
    </fill>
    <fill>
      <patternFill patternType="solid">
        <fgColor rgb="FFFF0000"/>
        <bgColor indexed="64"/>
      </patternFill>
    </fill>
    <fill>
      <patternFill patternType="solid">
        <fgColor rgb="FFFFF1CC"/>
        <bgColor indexed="64"/>
      </patternFill>
    </fill>
    <fill>
      <patternFill patternType="solid">
        <fgColor rgb="FFD6A300"/>
        <bgColor indexed="64"/>
      </patternFill>
    </fill>
    <fill>
      <patternFill patternType="solid">
        <fgColor rgb="FFD9D9D9"/>
        <bgColor indexed="64"/>
      </patternFill>
    </fill>
    <fill>
      <patternFill patternType="solid">
        <fgColor theme="0"/>
        <bgColor indexed="64"/>
      </patternFill>
    </fill>
    <fill>
      <patternFill patternType="solid">
        <fgColor rgb="FFFFFFFF"/>
        <bgColor indexed="64"/>
      </patternFill>
    </fill>
    <fill>
      <patternFill patternType="lightUp">
        <bgColor rgb="FFD9D9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FCD4B6"/>
        <bgColor indexed="64"/>
      </patternFill>
    </fill>
    <fill>
      <patternFill patternType="solid">
        <fgColor rgb="FFE8E6DF"/>
        <bgColor indexed="64"/>
      </patternFill>
    </fill>
    <fill>
      <patternFill patternType="solid">
        <fgColor theme="4" tint="0.79998168889431442"/>
        <bgColor indexed="64"/>
      </patternFill>
    </fill>
    <fill>
      <patternFill patternType="lightUp"/>
    </fill>
    <fill>
      <patternFill patternType="solid">
        <fgColor rgb="FF222221"/>
        <bgColor indexed="64"/>
      </patternFill>
    </fill>
    <fill>
      <patternFill patternType="solid">
        <fgColor indexed="65"/>
        <bgColor indexed="64"/>
      </patternFill>
    </fill>
    <fill>
      <patternFill patternType="solid">
        <fgColor rgb="FF307675"/>
        <bgColor indexed="64"/>
      </patternFill>
    </fill>
    <fill>
      <patternFill patternType="solid">
        <fgColor theme="7" tint="0.79998168889431442"/>
        <bgColor indexed="64"/>
      </patternFill>
    </fill>
    <fill>
      <patternFill patternType="solid">
        <fgColor rgb="FFFFF2CC"/>
        <bgColor indexed="64"/>
      </patternFill>
    </fill>
  </fills>
  <borders count="83">
    <border>
      <left/>
      <right/>
      <top/>
      <bottom/>
      <diagonal/>
    </border>
    <border>
      <left style="thin">
        <color theme="0"/>
      </left>
      <right/>
      <top/>
      <bottom style="thin">
        <color auto="1"/>
      </bottom>
      <diagonal/>
    </border>
    <border>
      <left/>
      <right/>
      <top/>
      <bottom style="thin">
        <color indexed="64"/>
      </bottom>
      <diagonal/>
    </border>
    <border>
      <left style="thin">
        <color theme="0"/>
      </left>
      <right style="thin">
        <color theme="0"/>
      </right>
      <top/>
      <bottom/>
      <diagonal/>
    </border>
    <border>
      <left/>
      <right/>
      <top style="thin">
        <color indexed="64"/>
      </top>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top/>
      <bottom/>
      <diagonal/>
    </border>
    <border>
      <left/>
      <right style="thin">
        <color theme="0"/>
      </right>
      <top/>
      <bottom/>
      <diagonal/>
    </border>
    <border>
      <left style="thin">
        <color rgb="FFA6A6A6"/>
      </left>
      <right style="thin">
        <color rgb="FFA6A6A6"/>
      </right>
      <top style="thin">
        <color rgb="FFA6A6A6"/>
      </top>
      <bottom style="thin">
        <color rgb="FFA6A6A6"/>
      </bottom>
      <diagonal/>
    </border>
    <border>
      <left/>
      <right/>
      <top style="thin">
        <color indexed="64"/>
      </top>
      <bottom style="thin">
        <color indexed="64"/>
      </bottom>
      <diagonal/>
    </border>
    <border>
      <left style="thin">
        <color rgb="FFA6A6A6"/>
      </left>
      <right style="thin">
        <color rgb="FFA6A6A6"/>
      </right>
      <top style="thin">
        <color indexed="64"/>
      </top>
      <bottom style="thin">
        <color indexed="64"/>
      </bottom>
      <diagonal/>
    </border>
    <border>
      <left style="thin">
        <color rgb="FFA6A6A6"/>
      </left>
      <right style="thin">
        <color rgb="FFA6A6A6"/>
      </right>
      <top style="thin">
        <color indexed="64"/>
      </top>
      <bottom style="thin">
        <color rgb="FFA6A6A6"/>
      </bottom>
      <diagonal/>
    </border>
    <border>
      <left/>
      <right/>
      <top/>
      <bottom style="medium">
        <color theme="4"/>
      </bottom>
      <diagonal/>
    </border>
    <border>
      <left/>
      <right/>
      <top style="thin">
        <color theme="4"/>
      </top>
      <bottom style="medium">
        <color theme="4"/>
      </bottom>
      <diagonal/>
    </border>
    <border>
      <left/>
      <right/>
      <top style="thin">
        <color theme="4"/>
      </top>
      <bottom/>
      <diagonal/>
    </border>
    <border>
      <left style="thin">
        <color rgb="FFA6A6A6"/>
      </left>
      <right style="thin">
        <color rgb="FFA6A6A6"/>
      </right>
      <top/>
      <bottom style="thin">
        <color rgb="FFA6A6A6"/>
      </bottom>
      <diagonal/>
    </border>
    <border>
      <left style="thin">
        <color rgb="FFA6A6A6"/>
      </left>
      <right style="thin">
        <color rgb="FFA6A6A6"/>
      </right>
      <top style="thin">
        <color rgb="FFA6A6A6"/>
      </top>
      <bottom style="thin">
        <color indexed="64"/>
      </bottom>
      <diagonal/>
    </border>
    <border>
      <left style="thin">
        <color rgb="FFA6A6A6"/>
      </left>
      <right/>
      <top style="thin">
        <color rgb="FFA6A6A6"/>
      </top>
      <bottom/>
      <diagonal/>
    </border>
    <border>
      <left style="thin">
        <color rgb="FFA6A6A6"/>
      </left>
      <right/>
      <top style="thin">
        <color rgb="FFA6A6A6"/>
      </top>
      <bottom style="thin">
        <color indexed="64"/>
      </bottom>
      <diagonal/>
    </border>
    <border>
      <left style="thin">
        <color rgb="FFA6A6A6"/>
      </left>
      <right/>
      <top style="thin">
        <color rgb="FFA6A6A6"/>
      </top>
      <bottom style="thin">
        <color rgb="FFA6A6A6"/>
      </bottom>
      <diagonal/>
    </border>
    <border>
      <left style="thin">
        <color rgb="FFA6A6A6"/>
      </left>
      <right/>
      <top style="thin">
        <color indexed="64"/>
      </top>
      <bottom style="thin">
        <color rgb="FFA6A6A6"/>
      </bottom>
      <diagonal/>
    </border>
    <border>
      <left style="thin">
        <color rgb="FFA6A6A6"/>
      </left>
      <right style="thin">
        <color rgb="FFA6A6A6"/>
      </right>
      <top style="thin">
        <color rgb="FFA6A6A6"/>
      </top>
      <bottom/>
      <diagonal/>
    </border>
    <border>
      <left style="thin">
        <color rgb="FFA6A6A6"/>
      </left>
      <right/>
      <top/>
      <bottom style="thin">
        <color rgb="FFA6A6A6"/>
      </bottom>
      <diagonal/>
    </border>
    <border>
      <left/>
      <right/>
      <top style="thin">
        <color indexed="64"/>
      </top>
      <bottom style="thin">
        <color rgb="FFA6A6A6"/>
      </bottom>
      <diagonal/>
    </border>
    <border>
      <left style="thin">
        <color theme="2" tint="-0.499984740745262"/>
      </left>
      <right/>
      <top style="thin">
        <color rgb="FFA6A6A6"/>
      </top>
      <bottom/>
      <diagonal/>
    </border>
    <border>
      <left/>
      <right/>
      <top style="thin">
        <color rgb="FFA6A6A6"/>
      </top>
      <bottom/>
      <diagonal/>
    </border>
    <border>
      <left/>
      <right style="thin">
        <color theme="2" tint="-0.499984740745262"/>
      </right>
      <top style="thin">
        <color rgb="FFA6A6A6"/>
      </top>
      <bottom/>
      <diagonal/>
    </border>
    <border>
      <left style="thin">
        <color rgb="FFA6A6A6"/>
      </left>
      <right style="thin">
        <color rgb="FFA6A6A6"/>
      </right>
      <top style="thin">
        <color indexed="64"/>
      </top>
      <bottom/>
      <diagonal/>
    </border>
    <border>
      <left/>
      <right style="thin">
        <color rgb="FFA6A6A6"/>
      </right>
      <top style="thin">
        <color indexed="64"/>
      </top>
      <bottom style="thin">
        <color rgb="FFA6A6A6"/>
      </bottom>
      <diagonal/>
    </border>
    <border>
      <left/>
      <right style="thin">
        <color rgb="FFA6A6A6"/>
      </right>
      <top style="thin">
        <color rgb="FFA6A6A6"/>
      </top>
      <bottom style="thin">
        <color rgb="FFA6A6A6"/>
      </bottom>
      <diagonal/>
    </border>
    <border>
      <left/>
      <right style="thin">
        <color rgb="FFA6A6A6"/>
      </right>
      <top style="thin">
        <color rgb="FFA6A6A6"/>
      </top>
      <bottom/>
      <diagonal/>
    </border>
    <border>
      <left style="thin">
        <color rgb="FFA6A6A6"/>
      </left>
      <right style="thin">
        <color rgb="FFA6A6A6"/>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top/>
      <bottom style="thin">
        <color theme="4"/>
      </bottom>
      <diagonal/>
    </border>
    <border>
      <left/>
      <right/>
      <top style="medium">
        <color theme="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A6A6A6"/>
      </left>
      <right/>
      <top/>
      <bottom style="thin">
        <color indexed="64"/>
      </bottom>
      <diagonal/>
    </border>
    <border>
      <left/>
      <right style="thin">
        <color rgb="FFA6A6A6"/>
      </right>
      <top style="thin">
        <color indexed="64"/>
      </top>
      <bottom/>
      <diagonal/>
    </border>
    <border>
      <left/>
      <right style="thin">
        <color rgb="FFA6A6A6"/>
      </right>
      <top/>
      <bottom/>
      <diagonal/>
    </border>
    <border>
      <left/>
      <right style="thin">
        <color rgb="FFA6A6A6"/>
      </right>
      <top/>
      <bottom style="thin">
        <color indexed="64"/>
      </bottom>
      <diagonal/>
    </border>
    <border>
      <left/>
      <right style="thin">
        <color rgb="FFA6A6A6"/>
      </right>
      <top/>
      <bottom style="thin">
        <color rgb="FFA6A6A6"/>
      </bottom>
      <diagonal/>
    </border>
    <border>
      <left style="thin">
        <color rgb="FFA6A6A6"/>
      </left>
      <right/>
      <top style="thin">
        <color indexed="64"/>
      </top>
      <bottom style="thin">
        <color indexed="64"/>
      </bottom>
      <diagonal/>
    </border>
    <border>
      <left/>
      <right/>
      <top style="dashed">
        <color auto="1"/>
      </top>
      <bottom/>
      <diagonal/>
    </border>
    <border>
      <left/>
      <right/>
      <top/>
      <bottom style="dashed">
        <color auto="1"/>
      </bottom>
      <diagonal/>
    </border>
    <border>
      <left style="thin">
        <color rgb="FFA6A6A6"/>
      </left>
      <right style="thin">
        <color theme="2" tint="-0.499984740745262"/>
      </right>
      <top style="thin">
        <color rgb="FFA6A6A6"/>
      </top>
      <bottom style="thin">
        <color rgb="FFA6A6A6"/>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dashed">
        <color indexed="64"/>
      </left>
      <right style="dashed">
        <color indexed="64"/>
      </right>
      <top style="thin">
        <color indexed="64"/>
      </top>
      <bottom/>
      <diagonal/>
    </border>
    <border>
      <left style="dashed">
        <color indexed="64"/>
      </left>
      <right style="dashed">
        <color indexed="64"/>
      </right>
      <top/>
      <bottom/>
      <diagonal/>
    </border>
    <border>
      <left style="dashed">
        <color indexed="64"/>
      </left>
      <right style="dashed">
        <color indexed="64"/>
      </right>
      <top/>
      <bottom style="thin">
        <color indexed="64"/>
      </bottom>
      <diagonal/>
    </border>
    <border>
      <left/>
      <right/>
      <top style="dashed">
        <color indexed="64"/>
      </top>
      <bottom style="thin">
        <color indexed="64"/>
      </bottom>
      <diagonal/>
    </border>
    <border>
      <left/>
      <right/>
      <top/>
      <bottom style="thin">
        <color rgb="FFA6A6A6"/>
      </bottom>
      <diagonal/>
    </border>
    <border>
      <left style="thin">
        <color rgb="FFA6A6A6"/>
      </left>
      <right style="thin">
        <color rgb="FFA6A6A6"/>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right/>
      <top style="dotted">
        <color auto="1"/>
      </top>
      <bottom/>
      <diagonal/>
    </border>
    <border>
      <left/>
      <right style="thin">
        <color rgb="FFA6A6A6"/>
      </right>
      <top style="thin">
        <color indexed="64"/>
      </top>
      <bottom style="thin">
        <color indexed="64"/>
      </bottom>
      <diagonal/>
    </border>
    <border>
      <left/>
      <right style="thin">
        <color rgb="FFA6A6A6"/>
      </right>
      <top style="thin">
        <color rgb="FFA6A6A6"/>
      </top>
      <bottom style="thin">
        <color indexed="64"/>
      </bottom>
      <diagonal/>
    </border>
    <border>
      <left/>
      <right/>
      <top style="thin">
        <color rgb="FFA6A6A6"/>
      </top>
      <bottom style="thin">
        <color rgb="FFA6A6A6"/>
      </bottom>
      <diagonal/>
    </border>
    <border>
      <left style="thin">
        <color theme="2" tint="-0.499984740745262"/>
      </left>
      <right/>
      <top style="thin">
        <color rgb="FFA6A6A6"/>
      </top>
      <bottom style="thin">
        <color rgb="FFA6A6A6"/>
      </bottom>
      <diagonal/>
    </border>
    <border>
      <left style="thin">
        <color rgb="FFA6A6A6"/>
      </left>
      <right/>
      <top style="thin">
        <color indexed="64"/>
      </top>
      <bottom/>
      <diagonal/>
    </border>
    <border>
      <left style="thin">
        <color rgb="FFA6A6A6"/>
      </left>
      <right/>
      <top/>
      <bottom/>
      <diagonal/>
    </border>
    <border>
      <left style="thin">
        <color rgb="FFA6A6A6"/>
      </left>
      <right style="thin">
        <color indexed="64"/>
      </right>
      <top style="thin">
        <color rgb="FFA6A6A6"/>
      </top>
      <bottom style="thin">
        <color indexed="64"/>
      </bottom>
      <diagonal/>
    </border>
    <border>
      <left style="thin">
        <color rgb="FFA6A6A6"/>
      </left>
      <right style="thin">
        <color indexed="64"/>
      </right>
      <top style="thin">
        <color rgb="FFA6A6A6"/>
      </top>
      <bottom style="thin">
        <color rgb="FFA6A6A6"/>
      </bottom>
      <diagonal/>
    </border>
  </borders>
  <cellStyleXfs count="59">
    <xf numFmtId="164" fontId="0" fillId="0" borderId="0"/>
    <xf numFmtId="9" fontId="3" fillId="0" borderId="0" applyFont="0" applyFill="0" applyBorder="0" applyAlignment="0" applyProtection="0"/>
    <xf numFmtId="9" fontId="26" fillId="0" borderId="0" applyFont="0" applyFill="0" applyBorder="0" applyAlignment="0" applyProtection="0"/>
    <xf numFmtId="0" fontId="27" fillId="0" borderId="0" applyAlignment="0" applyProtection="0"/>
    <xf numFmtId="0" fontId="28" fillId="0" borderId="23" applyFill="0" applyProtection="0">
      <alignment horizontal="right" wrapText="1"/>
    </xf>
    <xf numFmtId="0" fontId="29" fillId="0" borderId="24" applyNumberFormat="0" applyFill="0" applyAlignment="0" applyProtection="0"/>
    <xf numFmtId="164" fontId="29" fillId="0" borderId="25" applyNumberFormat="0" applyFill="0" applyAlignment="0" applyProtection="0"/>
    <xf numFmtId="164" fontId="26" fillId="0" borderId="0"/>
    <xf numFmtId="49" fontId="50" fillId="0" borderId="0" applyAlignment="0" applyProtection="0"/>
    <xf numFmtId="49" fontId="42" fillId="0" borderId="23" applyFill="0" applyProtection="0">
      <alignment horizontal="right" wrapText="1"/>
    </xf>
    <xf numFmtId="49" fontId="43" fillId="0" borderId="0" applyProtection="0">
      <alignment wrapText="1"/>
    </xf>
    <xf numFmtId="49" fontId="44" fillId="0" borderId="49" applyFill="0" applyProtection="0">
      <alignment horizontal="right" wrapText="1"/>
    </xf>
    <xf numFmtId="49" fontId="44" fillId="0" borderId="0" applyProtection="0">
      <alignment wrapText="1"/>
    </xf>
    <xf numFmtId="175" fontId="41" fillId="9" borderId="0" applyNumberFormat="0" applyBorder="0" applyAlignment="0" applyProtection="0"/>
    <xf numFmtId="175" fontId="37" fillId="10" borderId="0" applyNumberFormat="0" applyBorder="0" applyAlignment="0" applyProtection="0"/>
    <xf numFmtId="175" fontId="47" fillId="11" borderId="0" applyNumberFormat="0" applyBorder="0" applyAlignment="0" applyProtection="0"/>
    <xf numFmtId="175" fontId="45" fillId="12" borderId="43" applyNumberFormat="0" applyAlignment="0" applyProtection="0"/>
    <xf numFmtId="175" fontId="48" fillId="13" borderId="44" applyNumberFormat="0" applyAlignment="0" applyProtection="0"/>
    <xf numFmtId="175" fontId="38" fillId="13" borderId="43" applyNumberFormat="0" applyAlignment="0" applyProtection="0"/>
    <xf numFmtId="175" fontId="46" fillId="0" borderId="45" applyNumberFormat="0" applyFill="0" applyAlignment="0" applyProtection="0"/>
    <xf numFmtId="175" fontId="39" fillId="14" borderId="46" applyNumberFormat="0" applyAlignment="0" applyProtection="0"/>
    <xf numFmtId="175" fontId="26" fillId="15" borderId="47" applyNumberFormat="0" applyAlignment="0" applyProtection="0"/>
    <xf numFmtId="175" fontId="40" fillId="0" borderId="0" applyNumberFormat="0" applyFill="0" applyBorder="0" applyAlignment="0" applyProtection="0"/>
    <xf numFmtId="175" fontId="51" fillId="0" borderId="24" applyNumberFormat="0" applyFill="0" applyAlignment="0" applyProtection="0"/>
    <xf numFmtId="164" fontId="28" fillId="0" borderId="0" applyNumberFormat="0" applyFill="0" applyBorder="0" applyAlignment="0" applyProtection="0"/>
    <xf numFmtId="164" fontId="26" fillId="16" borderId="0" applyNumberFormat="0" applyFont="0" applyBorder="0" applyAlignment="0" applyProtection="0"/>
    <xf numFmtId="175" fontId="26" fillId="0" borderId="0" applyFill="0" applyBorder="0" applyProtection="0"/>
    <xf numFmtId="164" fontId="26" fillId="17" borderId="0" applyNumberFormat="0" applyFont="0" applyBorder="0" applyAlignment="0" applyProtection="0"/>
    <xf numFmtId="174" fontId="26" fillId="0" borderId="0" applyFill="0" applyBorder="0" applyAlignment="0" applyProtection="0"/>
    <xf numFmtId="175" fontId="49" fillId="0" borderId="0" applyNumberFormat="0" applyAlignment="0" applyProtection="0"/>
    <xf numFmtId="175" fontId="28" fillId="0" borderId="23" applyFill="0" applyProtection="0">
      <alignment horizontal="right" wrapText="1"/>
    </xf>
    <xf numFmtId="175" fontId="28" fillId="0" borderId="0" applyFill="0" applyProtection="0">
      <alignment wrapText="1"/>
    </xf>
    <xf numFmtId="175" fontId="27" fillId="0" borderId="0" applyAlignment="0" applyProtection="0"/>
    <xf numFmtId="175" fontId="29" fillId="0" borderId="24" applyNumberFormat="0" applyFill="0" applyAlignment="0" applyProtection="0"/>
    <xf numFmtId="175" fontId="28" fillId="0" borderId="50" applyFill="0" applyProtection="0">
      <alignment wrapText="1"/>
    </xf>
    <xf numFmtId="43" fontId="26" fillId="0" borderId="0" applyFont="0" applyFill="0" applyBorder="0" applyAlignment="0" applyProtection="0"/>
    <xf numFmtId="9" fontId="2" fillId="0" borderId="0" applyFont="0" applyFill="0" applyBorder="0" applyAlignment="0" applyProtection="0"/>
    <xf numFmtId="175" fontId="2" fillId="0" borderId="0"/>
    <xf numFmtId="173" fontId="2" fillId="0" borderId="0" applyFont="0" applyFill="0" applyBorder="0" applyAlignment="0" applyProtection="0"/>
    <xf numFmtId="9" fontId="2" fillId="0" borderId="0" applyFont="0" applyFill="0" applyBorder="0" applyAlignment="0" applyProtection="0"/>
    <xf numFmtId="175" fontId="2" fillId="0" borderId="0"/>
    <xf numFmtId="173" fontId="2" fillId="0" borderId="0" applyFont="0" applyFill="0" applyBorder="0" applyAlignment="0" applyProtection="0"/>
    <xf numFmtId="9" fontId="2" fillId="0" borderId="0" applyFont="0" applyFill="0" applyBorder="0" applyAlignment="0" applyProtection="0"/>
    <xf numFmtId="175" fontId="2" fillId="0" borderId="0"/>
    <xf numFmtId="173" fontId="2" fillId="0" borderId="0" applyFont="0" applyFill="0" applyBorder="0" applyAlignment="0" applyProtection="0"/>
    <xf numFmtId="9" fontId="2" fillId="0" borderId="0" applyFont="0" applyFill="0" applyBorder="0" applyAlignment="0" applyProtection="0"/>
    <xf numFmtId="175" fontId="2" fillId="0" borderId="0"/>
    <xf numFmtId="0" fontId="28" fillId="0" borderId="0" applyProtection="0">
      <alignment wrapText="1"/>
    </xf>
    <xf numFmtId="0" fontId="2" fillId="0" borderId="0"/>
    <xf numFmtId="173" fontId="2" fillId="0" borderId="0" applyFont="0" applyFill="0" applyBorder="0" applyAlignment="0" applyProtection="0"/>
    <xf numFmtId="9" fontId="2" fillId="0" borderId="0" applyFont="0" applyFill="0" applyBorder="0" applyAlignment="0" applyProtection="0"/>
    <xf numFmtId="0" fontId="27" fillId="0" borderId="0" applyAlignment="0" applyProtection="0"/>
    <xf numFmtId="176" fontId="26" fillId="0" borderId="0"/>
    <xf numFmtId="0" fontId="28" fillId="0" borderId="0" applyFill="0" applyProtection="0">
      <alignment wrapText="1"/>
    </xf>
    <xf numFmtId="0" fontId="28" fillId="0" borderId="23" applyFill="0" applyProtection="0">
      <alignment horizontal="right" wrapText="1"/>
    </xf>
    <xf numFmtId="164" fontId="26" fillId="18" borderId="0" applyNumberFormat="0" applyFon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662">
    <xf numFmtId="164" fontId="0" fillId="0" borderId="0" xfId="0"/>
    <xf numFmtId="165" fontId="4" fillId="0" borderId="0" xfId="0" applyNumberFormat="1" applyFont="1" applyAlignment="1">
      <alignment vertical="center"/>
    </xf>
    <xf numFmtId="165" fontId="5" fillId="0" borderId="0" xfId="0" applyNumberFormat="1" applyFont="1" applyAlignment="1">
      <alignment vertical="center"/>
    </xf>
    <xf numFmtId="165" fontId="6" fillId="0" borderId="0" xfId="0" applyNumberFormat="1" applyFont="1" applyAlignment="1">
      <alignment vertical="center"/>
    </xf>
    <xf numFmtId="165" fontId="7" fillId="0" borderId="0" xfId="0" applyNumberFormat="1" applyFont="1" applyAlignment="1">
      <alignment vertical="center"/>
    </xf>
    <xf numFmtId="165" fontId="4" fillId="0" borderId="0" xfId="0" applyNumberFormat="1" applyFont="1" applyAlignment="1">
      <alignment horizontal="center" vertical="center"/>
    </xf>
    <xf numFmtId="165" fontId="8" fillId="2" borderId="0" xfId="0" applyNumberFormat="1" applyFont="1" applyFill="1" applyAlignment="1">
      <alignment vertical="center"/>
    </xf>
    <xf numFmtId="165" fontId="9" fillId="2" borderId="0" xfId="0" applyNumberFormat="1" applyFont="1" applyFill="1" applyAlignment="1">
      <alignment vertical="center"/>
    </xf>
    <xf numFmtId="165" fontId="10" fillId="2" borderId="0" xfId="0" applyNumberFormat="1" applyFont="1" applyFill="1" applyAlignment="1">
      <alignment vertical="center"/>
    </xf>
    <xf numFmtId="165" fontId="11" fillId="2" borderId="0" xfId="0" applyNumberFormat="1" applyFont="1" applyFill="1" applyAlignment="1">
      <alignment vertical="center"/>
    </xf>
    <xf numFmtId="165" fontId="12" fillId="2" borderId="0" xfId="0" applyNumberFormat="1" applyFont="1" applyFill="1" applyAlignment="1">
      <alignment vertical="center"/>
    </xf>
    <xf numFmtId="165" fontId="11" fillId="0" borderId="0" xfId="0" applyNumberFormat="1" applyFont="1" applyAlignment="1">
      <alignment horizontal="center" vertical="center"/>
    </xf>
    <xf numFmtId="0" fontId="15" fillId="0" borderId="0" xfId="0" applyNumberFormat="1" applyFont="1" applyAlignment="1">
      <alignment horizontal="center" vertical="center"/>
    </xf>
    <xf numFmtId="166" fontId="4" fillId="0" borderId="0" xfId="0" applyNumberFormat="1" applyFont="1" applyAlignment="1">
      <alignment vertical="center"/>
    </xf>
    <xf numFmtId="165" fontId="16" fillId="0" borderId="0" xfId="0" applyNumberFormat="1" applyFont="1" applyAlignment="1">
      <alignment horizontal="right" vertical="center"/>
    </xf>
    <xf numFmtId="165" fontId="4" fillId="0" borderId="4" xfId="0" applyNumberFormat="1" applyFont="1" applyBorder="1" applyAlignment="1">
      <alignment vertical="center"/>
    </xf>
    <xf numFmtId="165" fontId="5" fillId="0" borderId="4" xfId="0" applyNumberFormat="1" applyFont="1" applyBorder="1" applyAlignment="1">
      <alignment vertical="center"/>
    </xf>
    <xf numFmtId="165" fontId="6" fillId="0" borderId="4" xfId="0" applyNumberFormat="1" applyFont="1" applyBorder="1" applyAlignment="1">
      <alignment vertical="center"/>
    </xf>
    <xf numFmtId="165" fontId="7" fillId="0" borderId="4" xfId="0" applyNumberFormat="1" applyFont="1" applyBorder="1" applyAlignment="1">
      <alignment vertical="center"/>
    </xf>
    <xf numFmtId="165" fontId="4" fillId="0" borderId="4" xfId="0" applyNumberFormat="1" applyFont="1" applyBorder="1" applyAlignment="1">
      <alignment horizontal="center" vertical="center"/>
    </xf>
    <xf numFmtId="165" fontId="16" fillId="0" borderId="0" xfId="0" applyNumberFormat="1" applyFont="1" applyAlignment="1">
      <alignment vertical="center"/>
    </xf>
    <xf numFmtId="164" fontId="19" fillId="0" borderId="0" xfId="0" quotePrefix="1" applyFont="1" applyAlignment="1">
      <alignment vertical="center"/>
    </xf>
    <xf numFmtId="165" fontId="4" fillId="2" borderId="0" xfId="0" applyNumberFormat="1" applyFont="1" applyFill="1" applyAlignment="1">
      <alignment vertical="center"/>
    </xf>
    <xf numFmtId="165" fontId="4" fillId="2" borderId="0" xfId="0" applyNumberFormat="1" applyFont="1" applyFill="1" applyAlignment="1">
      <alignment horizontal="center" vertical="center"/>
    </xf>
    <xf numFmtId="165" fontId="11" fillId="2" borderId="0" xfId="0" applyNumberFormat="1" applyFont="1" applyFill="1" applyAlignment="1">
      <alignment horizontal="center" vertical="center"/>
    </xf>
    <xf numFmtId="165" fontId="11" fillId="2" borderId="14" xfId="0" applyNumberFormat="1" applyFont="1" applyFill="1" applyBorder="1" applyAlignment="1">
      <alignment horizontal="center" vertical="center"/>
    </xf>
    <xf numFmtId="165" fontId="5" fillId="0" borderId="2" xfId="0" applyNumberFormat="1" applyFont="1" applyBorder="1" applyAlignment="1">
      <alignment vertical="center"/>
    </xf>
    <xf numFmtId="165" fontId="4" fillId="0" borderId="2" xfId="0" applyNumberFormat="1" applyFont="1" applyBorder="1" applyAlignment="1">
      <alignment vertical="center"/>
    </xf>
    <xf numFmtId="169" fontId="4" fillId="0" borderId="0" xfId="0" applyNumberFormat="1" applyFont="1" applyAlignment="1">
      <alignment vertical="center"/>
    </xf>
    <xf numFmtId="165" fontId="21" fillId="0" borderId="0" xfId="0" applyNumberFormat="1" applyFont="1" applyAlignment="1">
      <alignment vertical="center"/>
    </xf>
    <xf numFmtId="165" fontId="22" fillId="0" borderId="0" xfId="0" applyNumberFormat="1" applyFont="1" applyAlignment="1">
      <alignment vertical="center"/>
    </xf>
    <xf numFmtId="166" fontId="5" fillId="0" borderId="0" xfId="0" applyNumberFormat="1" applyFont="1" applyAlignment="1">
      <alignment vertical="center"/>
    </xf>
    <xf numFmtId="165" fontId="4" fillId="0" borderId="2" xfId="0" applyNumberFormat="1" applyFont="1" applyBorder="1" applyAlignment="1">
      <alignment horizontal="center" vertical="center"/>
    </xf>
    <xf numFmtId="165" fontId="4" fillId="0" borderId="20" xfId="0" applyNumberFormat="1" applyFont="1" applyBorder="1" applyAlignment="1">
      <alignment vertical="center"/>
    </xf>
    <xf numFmtId="165" fontId="4" fillId="0" borderId="20" xfId="0" applyNumberFormat="1" applyFont="1" applyBorder="1" applyAlignment="1">
      <alignment horizontal="center" vertical="center"/>
    </xf>
    <xf numFmtId="165" fontId="7" fillId="0" borderId="2" xfId="0" applyNumberFormat="1" applyFont="1" applyBorder="1" applyAlignment="1">
      <alignment vertical="center"/>
    </xf>
    <xf numFmtId="167" fontId="20" fillId="0" borderId="0" xfId="0" quotePrefix="1" applyNumberFormat="1" applyFont="1" applyAlignment="1">
      <alignment horizontal="left" vertical="center"/>
    </xf>
    <xf numFmtId="0" fontId="20" fillId="0" borderId="0" xfId="0" quotePrefix="1" applyNumberFormat="1" applyFont="1" applyAlignment="1">
      <alignment vertical="center"/>
    </xf>
    <xf numFmtId="167" fontId="20" fillId="3" borderId="35" xfId="0" quotePrefix="1" applyNumberFormat="1" applyFont="1" applyFill="1" applyBorder="1" applyAlignment="1">
      <alignment horizontal="left" vertical="center"/>
    </xf>
    <xf numFmtId="0" fontId="20" fillId="3" borderId="36" xfId="0" quotePrefix="1" applyNumberFormat="1" applyFont="1" applyFill="1" applyBorder="1" applyAlignment="1">
      <alignment vertical="center"/>
    </xf>
    <xf numFmtId="0" fontId="20" fillId="3" borderId="37" xfId="0" quotePrefix="1" applyNumberFormat="1" applyFont="1" applyFill="1" applyBorder="1" applyAlignment="1">
      <alignment vertical="center"/>
    </xf>
    <xf numFmtId="166" fontId="4" fillId="0" borderId="20" xfId="0" applyNumberFormat="1" applyFont="1" applyBorder="1" applyAlignment="1">
      <alignment vertical="center"/>
    </xf>
    <xf numFmtId="166" fontId="4" fillId="0" borderId="20" xfId="0" applyNumberFormat="1" applyFont="1" applyBorder="1" applyAlignment="1">
      <alignment horizontal="center" vertical="center"/>
    </xf>
    <xf numFmtId="168" fontId="4" fillId="0" borderId="20" xfId="0" applyNumberFormat="1" applyFont="1" applyBorder="1" applyAlignment="1">
      <alignment vertical="center"/>
    </xf>
    <xf numFmtId="165" fontId="16" fillId="0" borderId="2" xfId="0" applyNumberFormat="1" applyFont="1" applyBorder="1" applyAlignment="1">
      <alignment vertical="center"/>
    </xf>
    <xf numFmtId="165" fontId="16" fillId="0" borderId="4" xfId="0" applyNumberFormat="1" applyFont="1" applyBorder="1" applyAlignment="1">
      <alignment vertical="center"/>
    </xf>
    <xf numFmtId="165" fontId="4" fillId="5" borderId="27" xfId="0" applyNumberFormat="1" applyFont="1" applyFill="1" applyBorder="1" applyAlignment="1">
      <alignment horizontal="center" vertical="center"/>
    </xf>
    <xf numFmtId="165" fontId="4" fillId="5" borderId="22" xfId="0" applyNumberFormat="1" applyFont="1" applyFill="1" applyBorder="1" applyAlignment="1">
      <alignment horizontal="center" vertical="center"/>
    </xf>
    <xf numFmtId="165" fontId="4" fillId="5" borderId="19" xfId="0" applyNumberFormat="1" applyFont="1" applyFill="1" applyBorder="1" applyAlignment="1">
      <alignment horizontal="center" vertical="center"/>
    </xf>
    <xf numFmtId="165" fontId="4" fillId="0" borderId="4" xfId="0" quotePrefix="1" applyNumberFormat="1" applyFont="1" applyBorder="1" applyAlignment="1">
      <alignment vertical="center"/>
    </xf>
    <xf numFmtId="165" fontId="4" fillId="0" borderId="0" xfId="0" quotePrefix="1" applyNumberFormat="1" applyFont="1" applyAlignment="1">
      <alignment vertical="center"/>
    </xf>
    <xf numFmtId="0" fontId="7" fillId="0" borderId="0" xfId="0" applyNumberFormat="1" applyFont="1" applyAlignment="1">
      <alignment vertical="center"/>
    </xf>
    <xf numFmtId="0" fontId="4" fillId="0" borderId="0" xfId="0" applyNumberFormat="1" applyFont="1" applyAlignment="1">
      <alignment vertical="center"/>
    </xf>
    <xf numFmtId="0" fontId="4" fillId="0" borderId="0" xfId="0" applyNumberFormat="1" applyFont="1" applyAlignment="1">
      <alignment vertical="center" wrapText="1"/>
    </xf>
    <xf numFmtId="165" fontId="16" fillId="0" borderId="0" xfId="0" applyNumberFormat="1" applyFont="1" applyAlignment="1">
      <alignment horizontal="center" vertical="center"/>
    </xf>
    <xf numFmtId="164" fontId="0" fillId="0" borderId="11" xfId="0" applyBorder="1"/>
    <xf numFmtId="164" fontId="0" fillId="0" borderId="4" xfId="0" applyBorder="1"/>
    <xf numFmtId="164" fontId="0" fillId="0" borderId="12" xfId="0" applyBorder="1"/>
    <xf numFmtId="164" fontId="32" fillId="0" borderId="0" xfId="0" applyFont="1"/>
    <xf numFmtId="164" fontId="0" fillId="0" borderId="15" xfId="0" applyBorder="1"/>
    <xf numFmtId="164" fontId="0" fillId="0" borderId="2" xfId="0" applyBorder="1"/>
    <xf numFmtId="164" fontId="0" fillId="0" borderId="16" xfId="0" applyBorder="1"/>
    <xf numFmtId="164" fontId="33" fillId="0" borderId="0" xfId="0" applyFont="1"/>
    <xf numFmtId="164" fontId="34" fillId="0" borderId="0" xfId="0" applyFont="1"/>
    <xf numFmtId="164" fontId="36" fillId="0" borderId="0" xfId="0" applyFont="1"/>
    <xf numFmtId="0" fontId="7" fillId="0" borderId="51" xfId="0" applyNumberFormat="1" applyFont="1" applyBorder="1" applyAlignment="1">
      <alignment vertical="center"/>
    </xf>
    <xf numFmtId="0" fontId="4" fillId="0" borderId="48" xfId="0" applyNumberFormat="1" applyFont="1" applyBorder="1" applyAlignment="1">
      <alignment vertical="center" wrapText="1"/>
    </xf>
    <xf numFmtId="0" fontId="4" fillId="0" borderId="48" xfId="0" applyNumberFormat="1" applyFont="1" applyBorder="1" applyAlignment="1">
      <alignment vertical="center"/>
    </xf>
    <xf numFmtId="0" fontId="4" fillId="0" borderId="52" xfId="0" applyNumberFormat="1" applyFont="1" applyBorder="1" applyAlignment="1">
      <alignment vertical="center" wrapText="1"/>
    </xf>
    <xf numFmtId="165" fontId="21" fillId="0" borderId="4" xfId="0" applyNumberFormat="1" applyFont="1" applyBorder="1" applyAlignment="1">
      <alignment vertical="center"/>
    </xf>
    <xf numFmtId="165" fontId="22" fillId="0" borderId="4" xfId="0" applyNumberFormat="1" applyFont="1" applyBorder="1" applyAlignment="1">
      <alignment vertical="center"/>
    </xf>
    <xf numFmtId="165" fontId="21" fillId="0" borderId="2" xfId="0" applyNumberFormat="1" applyFont="1" applyBorder="1" applyAlignment="1">
      <alignment vertical="center"/>
    </xf>
    <xf numFmtId="165" fontId="22" fillId="0" borderId="2" xfId="0" applyNumberFormat="1" applyFont="1" applyBorder="1" applyAlignment="1">
      <alignment vertical="center"/>
    </xf>
    <xf numFmtId="165" fontId="7" fillId="6" borderId="0" xfId="0" applyNumberFormat="1" applyFont="1" applyFill="1" applyAlignment="1">
      <alignment vertical="center"/>
    </xf>
    <xf numFmtId="165" fontId="4" fillId="0" borderId="13" xfId="0" applyNumberFormat="1" applyFont="1" applyBorder="1" applyAlignment="1">
      <alignment vertical="center"/>
    </xf>
    <xf numFmtId="165" fontId="4" fillId="0" borderId="15" xfId="0" applyNumberFormat="1" applyFont="1" applyBorder="1" applyAlignment="1">
      <alignment vertical="center"/>
    </xf>
    <xf numFmtId="165" fontId="4" fillId="19" borderId="14" xfId="0" applyNumberFormat="1" applyFont="1" applyFill="1" applyBorder="1" applyAlignment="1">
      <alignment vertical="center"/>
    </xf>
    <xf numFmtId="165" fontId="5" fillId="0" borderId="0" xfId="0" applyNumberFormat="1" applyFont="1" applyAlignment="1">
      <alignment horizontal="center" vertical="center"/>
    </xf>
    <xf numFmtId="165" fontId="7" fillId="0" borderId="0" xfId="0" applyNumberFormat="1" applyFont="1" applyAlignment="1">
      <alignment horizontal="center" vertical="center"/>
    </xf>
    <xf numFmtId="165" fontId="11" fillId="4" borderId="0" xfId="0" applyNumberFormat="1" applyFont="1" applyFill="1" applyAlignment="1">
      <alignment horizontal="center" vertical="center"/>
    </xf>
    <xf numFmtId="164" fontId="4" fillId="19" borderId="0" xfId="0" quotePrefix="1" applyFont="1" applyFill="1" applyAlignment="1">
      <alignment horizontal="right" vertical="center"/>
    </xf>
    <xf numFmtId="164" fontId="19" fillId="19" borderId="0" xfId="0" quotePrefix="1" applyFont="1" applyFill="1" applyAlignment="1">
      <alignment vertical="center"/>
    </xf>
    <xf numFmtId="165" fontId="56" fillId="0" borderId="11" xfId="0" applyNumberFormat="1" applyFont="1" applyBorder="1" applyAlignment="1">
      <alignment vertical="center"/>
    </xf>
    <xf numFmtId="165" fontId="7" fillId="0" borderId="12" xfId="0" applyNumberFormat="1" applyFont="1" applyBorder="1" applyAlignment="1">
      <alignment vertical="center"/>
    </xf>
    <xf numFmtId="165" fontId="11" fillId="4" borderId="14" xfId="0" applyNumberFormat="1" applyFont="1" applyFill="1" applyBorder="1" applyAlignment="1">
      <alignment horizontal="center" vertical="center"/>
    </xf>
    <xf numFmtId="165" fontId="20" fillId="0" borderId="0" xfId="0" applyNumberFormat="1" applyFont="1" applyAlignment="1">
      <alignment vertical="center"/>
    </xf>
    <xf numFmtId="170" fontId="25" fillId="0" borderId="0" xfId="1" applyNumberFormat="1" applyFont="1" applyFill="1" applyBorder="1" applyAlignment="1" applyProtection="1">
      <alignment horizontal="right" vertical="center" wrapText="1"/>
    </xf>
    <xf numFmtId="165" fontId="20" fillId="0" borderId="0" xfId="0" applyNumberFormat="1" applyFont="1" applyAlignment="1">
      <alignment horizontal="center" vertical="center"/>
    </xf>
    <xf numFmtId="165" fontId="24" fillId="0" borderId="0" xfId="0" applyNumberFormat="1" applyFont="1" applyAlignment="1">
      <alignment vertical="center"/>
    </xf>
    <xf numFmtId="165" fontId="7" fillId="0" borderId="0" xfId="0" applyNumberFormat="1" applyFont="1" applyAlignment="1">
      <alignment horizontal="right" vertical="center"/>
    </xf>
    <xf numFmtId="165" fontId="20" fillId="0" borderId="20" xfId="0" applyNumberFormat="1" applyFont="1" applyBorder="1" applyAlignment="1">
      <alignment vertical="center"/>
    </xf>
    <xf numFmtId="170" fontId="25" fillId="0" borderId="20" xfId="1" applyNumberFormat="1" applyFont="1" applyFill="1" applyBorder="1" applyAlignment="1" applyProtection="1">
      <alignment horizontal="right" vertical="center" wrapText="1"/>
    </xf>
    <xf numFmtId="165" fontId="20" fillId="0" borderId="20" xfId="0" applyNumberFormat="1" applyFont="1" applyBorder="1" applyAlignment="1">
      <alignment horizontal="center" vertical="center"/>
    </xf>
    <xf numFmtId="165" fontId="20" fillId="6" borderId="20" xfId="0" applyNumberFormat="1" applyFont="1" applyFill="1" applyBorder="1" applyAlignment="1">
      <alignment vertical="center"/>
    </xf>
    <xf numFmtId="171" fontId="4" fillId="3" borderId="21" xfId="0" applyNumberFormat="1" applyFont="1" applyFill="1" applyBorder="1" applyAlignment="1">
      <alignment vertical="center"/>
    </xf>
    <xf numFmtId="171" fontId="7" fillId="0" borderId="20" xfId="0" applyNumberFormat="1" applyFont="1" applyBorder="1" applyAlignment="1">
      <alignment vertical="center"/>
    </xf>
    <xf numFmtId="171" fontId="25" fillId="0" borderId="20" xfId="1" applyNumberFormat="1" applyFont="1" applyFill="1" applyBorder="1" applyAlignment="1" applyProtection="1">
      <alignment horizontal="right" vertical="center" wrapText="1"/>
    </xf>
    <xf numFmtId="165" fontId="24" fillId="0" borderId="2" xfId="0" applyNumberFormat="1" applyFont="1" applyBorder="1" applyAlignment="1">
      <alignment vertical="center"/>
    </xf>
    <xf numFmtId="165" fontId="20" fillId="0" borderId="2" xfId="0" applyNumberFormat="1" applyFont="1" applyBorder="1" applyAlignment="1">
      <alignment horizontal="center" vertical="center"/>
    </xf>
    <xf numFmtId="165" fontId="20" fillId="0" borderId="2" xfId="0" applyNumberFormat="1" applyFont="1" applyBorder="1" applyAlignment="1">
      <alignment vertical="center"/>
    </xf>
    <xf numFmtId="171" fontId="25" fillId="0" borderId="4" xfId="1" applyNumberFormat="1" applyFont="1" applyFill="1" applyBorder="1" applyAlignment="1" applyProtection="1">
      <alignment horizontal="right" vertical="center" wrapText="1"/>
    </xf>
    <xf numFmtId="165" fontId="20" fillId="6" borderId="4" xfId="0" applyNumberFormat="1" applyFont="1" applyFill="1" applyBorder="1" applyAlignment="1">
      <alignment vertical="center"/>
    </xf>
    <xf numFmtId="171" fontId="25" fillId="0" borderId="0" xfId="1" applyNumberFormat="1" applyFont="1" applyFill="1" applyBorder="1" applyAlignment="1" applyProtection="1">
      <alignment horizontal="right" vertical="center" wrapText="1"/>
    </xf>
    <xf numFmtId="165" fontId="20" fillId="6" borderId="0" xfId="0" applyNumberFormat="1" applyFont="1" applyFill="1" applyAlignment="1">
      <alignment vertical="center"/>
    </xf>
    <xf numFmtId="171" fontId="25" fillId="0" borderId="2" xfId="1" applyNumberFormat="1" applyFont="1" applyFill="1" applyBorder="1" applyAlignment="1" applyProtection="1">
      <alignment horizontal="right" vertical="center" wrapText="1"/>
    </xf>
    <xf numFmtId="165" fontId="24" fillId="0" borderId="20" xfId="0" applyNumberFormat="1" applyFont="1" applyBorder="1" applyAlignment="1">
      <alignment vertical="center"/>
    </xf>
    <xf numFmtId="165" fontId="24" fillId="0" borderId="20" xfId="0" applyNumberFormat="1" applyFont="1" applyBorder="1" applyAlignment="1">
      <alignment horizontal="center" vertical="center"/>
    </xf>
    <xf numFmtId="170" fontId="23" fillId="0" borderId="0" xfId="1" applyNumberFormat="1" applyFont="1" applyFill="1" applyBorder="1" applyAlignment="1" applyProtection="1">
      <alignment horizontal="right" vertical="center" wrapText="1"/>
    </xf>
    <xf numFmtId="164" fontId="52" fillId="0" borderId="0" xfId="0" applyFont="1"/>
    <xf numFmtId="164" fontId="54" fillId="0" borderId="0" xfId="0" applyFont="1"/>
    <xf numFmtId="171" fontId="4" fillId="3" borderId="19" xfId="0" applyNumberFormat="1" applyFont="1" applyFill="1" applyBorder="1" applyAlignment="1">
      <alignment vertical="center"/>
    </xf>
    <xf numFmtId="171" fontId="7" fillId="0" borderId="0" xfId="0" applyNumberFormat="1" applyFont="1" applyAlignment="1">
      <alignment vertical="center"/>
    </xf>
    <xf numFmtId="171" fontId="4" fillId="3" borderId="27" xfId="0" applyNumberFormat="1" applyFont="1" applyFill="1" applyBorder="1" applyAlignment="1">
      <alignment vertical="center"/>
    </xf>
    <xf numFmtId="171" fontId="7" fillId="0" borderId="2" xfId="0" applyNumberFormat="1" applyFont="1" applyBorder="1" applyAlignment="1">
      <alignment vertical="center"/>
    </xf>
    <xf numFmtId="165" fontId="24" fillId="0" borderId="0" xfId="0" applyNumberFormat="1" applyFont="1" applyAlignment="1">
      <alignment horizontal="center" vertical="center"/>
    </xf>
    <xf numFmtId="170" fontId="23" fillId="0" borderId="2" xfId="1" applyNumberFormat="1" applyFont="1" applyFill="1" applyBorder="1" applyAlignment="1" applyProtection="1">
      <alignment horizontal="right" vertical="center" wrapText="1"/>
    </xf>
    <xf numFmtId="170" fontId="23" fillId="0" borderId="4" xfId="1" applyNumberFormat="1" applyFont="1" applyFill="1" applyBorder="1" applyAlignment="1" applyProtection="1">
      <alignment horizontal="right" vertical="center" wrapText="1"/>
    </xf>
    <xf numFmtId="165" fontId="20" fillId="0" borderId="4" xfId="0" applyNumberFormat="1" applyFont="1" applyBorder="1" applyAlignment="1">
      <alignment horizontal="center" vertical="center"/>
    </xf>
    <xf numFmtId="171" fontId="4" fillId="3" borderId="22" xfId="0" applyNumberFormat="1" applyFont="1" applyFill="1" applyBorder="1" applyAlignment="1">
      <alignment vertical="center"/>
    </xf>
    <xf numFmtId="165" fontId="20" fillId="7" borderId="0" xfId="0" applyNumberFormat="1" applyFont="1" applyFill="1" applyAlignment="1">
      <alignment vertical="center"/>
    </xf>
    <xf numFmtId="170" fontId="23" fillId="0" borderId="20" xfId="1" applyNumberFormat="1" applyFont="1" applyFill="1" applyBorder="1" applyAlignment="1" applyProtection="1">
      <alignment horizontal="right" vertical="center" wrapText="1"/>
    </xf>
    <xf numFmtId="171" fontId="4" fillId="0" borderId="0" xfId="0" applyNumberFormat="1" applyFont="1" applyAlignment="1">
      <alignment vertical="center"/>
    </xf>
    <xf numFmtId="165" fontId="20" fillId="0" borderId="4" xfId="0" quotePrefix="1" applyNumberFormat="1" applyFont="1" applyBorder="1" applyAlignment="1">
      <alignment vertical="center"/>
    </xf>
    <xf numFmtId="165" fontId="20" fillId="0" borderId="4" xfId="0" applyNumberFormat="1" applyFont="1" applyBorder="1" applyAlignment="1">
      <alignment vertical="center"/>
    </xf>
    <xf numFmtId="165" fontId="20" fillId="0" borderId="0" xfId="0" quotePrefix="1" applyNumberFormat="1" applyFont="1" applyAlignment="1">
      <alignment vertical="center"/>
    </xf>
    <xf numFmtId="165" fontId="20" fillId="0" borderId="2" xfId="0" quotePrefix="1" applyNumberFormat="1" applyFont="1" applyBorder="1" applyAlignment="1">
      <alignment vertical="center"/>
    </xf>
    <xf numFmtId="165" fontId="4" fillId="3" borderId="22" xfId="0" applyNumberFormat="1" applyFont="1" applyFill="1" applyBorder="1" applyAlignment="1">
      <alignment vertical="center"/>
    </xf>
    <xf numFmtId="165" fontId="24" fillId="0" borderId="2" xfId="0" applyNumberFormat="1" applyFont="1" applyBorder="1" applyAlignment="1">
      <alignment horizontal="center" vertical="center"/>
    </xf>
    <xf numFmtId="165" fontId="4" fillId="3" borderId="27" xfId="0" applyNumberFormat="1" applyFont="1" applyFill="1" applyBorder="1" applyAlignment="1">
      <alignment vertical="center"/>
    </xf>
    <xf numFmtId="165" fontId="4" fillId="3" borderId="38" xfId="0" applyNumberFormat="1" applyFont="1" applyFill="1" applyBorder="1" applyAlignment="1">
      <alignment vertical="center"/>
    </xf>
    <xf numFmtId="165" fontId="4" fillId="3" borderId="19" xfId="0" applyNumberFormat="1" applyFont="1" applyFill="1" applyBorder="1" applyAlignment="1">
      <alignment vertical="center"/>
    </xf>
    <xf numFmtId="171" fontId="4" fillId="0" borderId="2" xfId="0" applyNumberFormat="1" applyFont="1" applyBorder="1" applyAlignment="1">
      <alignment vertical="center"/>
    </xf>
    <xf numFmtId="165" fontId="25" fillId="0" borderId="0" xfId="0" applyNumberFormat="1" applyFont="1" applyAlignment="1">
      <alignment vertical="center"/>
    </xf>
    <xf numFmtId="170" fontId="20" fillId="5" borderId="31" xfId="1" applyNumberFormat="1" applyFont="1" applyFill="1" applyBorder="1" applyAlignment="1" applyProtection="1">
      <alignment horizontal="right" vertical="center"/>
    </xf>
    <xf numFmtId="170" fontId="20" fillId="5" borderId="30" xfId="1" applyNumberFormat="1" applyFont="1" applyFill="1" applyBorder="1" applyAlignment="1" applyProtection="1">
      <alignment horizontal="right" vertical="center"/>
    </xf>
    <xf numFmtId="170" fontId="20" fillId="3" borderId="42" xfId="1" applyNumberFormat="1" applyFont="1" applyFill="1" applyBorder="1" applyAlignment="1" applyProtection="1">
      <alignment horizontal="right" vertical="center"/>
    </xf>
    <xf numFmtId="165" fontId="4" fillId="8" borderId="19" xfId="0" applyNumberFormat="1" applyFont="1" applyFill="1" applyBorder="1" applyAlignment="1">
      <alignment vertical="center"/>
    </xf>
    <xf numFmtId="165" fontId="4" fillId="8" borderId="32" xfId="0" applyNumberFormat="1" applyFont="1" applyFill="1" applyBorder="1" applyAlignment="1">
      <alignment vertical="center"/>
    </xf>
    <xf numFmtId="170" fontId="20" fillId="5" borderId="29" xfId="1" applyNumberFormat="1" applyFont="1" applyFill="1" applyBorder="1" applyAlignment="1" applyProtection="1">
      <alignment horizontal="right" vertical="center"/>
    </xf>
    <xf numFmtId="165" fontId="20" fillId="7" borderId="20" xfId="0" applyNumberFormat="1" applyFont="1" applyFill="1" applyBorder="1" applyAlignment="1">
      <alignment vertical="center"/>
    </xf>
    <xf numFmtId="171" fontId="4" fillId="19" borderId="58" xfId="0" applyNumberFormat="1" applyFont="1" applyFill="1" applyBorder="1" applyAlignment="1">
      <alignment vertical="center"/>
    </xf>
    <xf numFmtId="171" fontId="4" fillId="19" borderId="20" xfId="0" applyNumberFormat="1" applyFont="1" applyFill="1" applyBorder="1" applyAlignment="1">
      <alignment vertical="center"/>
    </xf>
    <xf numFmtId="165" fontId="20" fillId="7" borderId="4" xfId="0" applyNumberFormat="1" applyFont="1" applyFill="1" applyBorder="1" applyAlignment="1">
      <alignment vertical="center"/>
    </xf>
    <xf numFmtId="165" fontId="17" fillId="6" borderId="0" xfId="0" applyNumberFormat="1" applyFont="1" applyFill="1" applyAlignment="1">
      <alignment vertical="center"/>
    </xf>
    <xf numFmtId="165" fontId="9" fillId="6" borderId="0" xfId="0" applyNumberFormat="1" applyFont="1" applyFill="1" applyAlignment="1">
      <alignment vertical="center"/>
    </xf>
    <xf numFmtId="165" fontId="18" fillId="6" borderId="0" xfId="0" applyNumberFormat="1" applyFont="1" applyFill="1" applyAlignment="1">
      <alignment vertical="center"/>
    </xf>
    <xf numFmtId="165" fontId="17" fillId="6" borderId="0" xfId="0" applyNumberFormat="1" applyFont="1" applyFill="1" applyAlignment="1">
      <alignment horizontal="center" vertical="center"/>
    </xf>
    <xf numFmtId="165" fontId="17" fillId="7" borderId="0" xfId="0" applyNumberFormat="1" applyFont="1" applyFill="1" applyAlignment="1">
      <alignment vertical="center"/>
    </xf>
    <xf numFmtId="165" fontId="20" fillId="0" borderId="20" xfId="0" quotePrefix="1" applyNumberFormat="1" applyFont="1" applyBorder="1" applyAlignment="1">
      <alignment horizontal="center" vertical="center"/>
    </xf>
    <xf numFmtId="171" fontId="4" fillId="5" borderId="21" xfId="0" applyNumberFormat="1" applyFont="1" applyFill="1" applyBorder="1" applyAlignment="1">
      <alignment vertical="center"/>
    </xf>
    <xf numFmtId="171" fontId="4" fillId="0" borderId="4" xfId="0" applyNumberFormat="1" applyFont="1" applyBorder="1" applyAlignment="1">
      <alignment vertical="center"/>
    </xf>
    <xf numFmtId="165" fontId="20" fillId="7" borderId="2" xfId="0" applyNumberFormat="1" applyFont="1" applyFill="1" applyBorder="1" applyAlignment="1">
      <alignment vertical="center"/>
    </xf>
    <xf numFmtId="172" fontId="4" fillId="5" borderId="22" xfId="0" applyNumberFormat="1" applyFont="1" applyFill="1" applyBorder="1" applyAlignment="1">
      <alignment vertical="center"/>
    </xf>
    <xf numFmtId="172" fontId="4" fillId="5" borderId="19" xfId="0" applyNumberFormat="1" applyFont="1" applyFill="1" applyBorder="1" applyAlignment="1">
      <alignment vertical="center"/>
    </xf>
    <xf numFmtId="172" fontId="4" fillId="5" borderId="27" xfId="0" applyNumberFormat="1" applyFont="1" applyFill="1" applyBorder="1" applyAlignment="1">
      <alignment vertical="center"/>
    </xf>
    <xf numFmtId="170" fontId="25" fillId="0" borderId="4" xfId="1" applyNumberFormat="1" applyFont="1" applyFill="1" applyBorder="1" applyAlignment="1" applyProtection="1">
      <alignment horizontal="right" vertical="center" wrapText="1"/>
    </xf>
    <xf numFmtId="170" fontId="25" fillId="0" borderId="2" xfId="1" applyNumberFormat="1" applyFont="1" applyFill="1" applyBorder="1" applyAlignment="1" applyProtection="1">
      <alignment horizontal="right" vertical="center" wrapText="1"/>
    </xf>
    <xf numFmtId="165" fontId="4" fillId="5" borderId="31" xfId="0" applyNumberFormat="1" applyFont="1" applyFill="1" applyBorder="1" applyAlignment="1">
      <alignment vertical="center"/>
    </xf>
    <xf numFmtId="165" fontId="4" fillId="5" borderId="30" xfId="0" applyNumberFormat="1" applyFont="1" applyFill="1" applyBorder="1" applyAlignment="1">
      <alignment vertical="center"/>
    </xf>
    <xf numFmtId="165" fontId="4" fillId="5" borderId="29" xfId="0" applyNumberFormat="1" applyFont="1" applyFill="1" applyBorder="1" applyAlignment="1">
      <alignment vertical="center"/>
    </xf>
    <xf numFmtId="165" fontId="20" fillId="7" borderId="54" xfId="0" applyNumberFormat="1" applyFont="1" applyFill="1" applyBorder="1" applyAlignment="1">
      <alignment vertical="center"/>
    </xf>
    <xf numFmtId="165" fontId="20" fillId="7" borderId="55" xfId="0" applyNumberFormat="1" applyFont="1" applyFill="1" applyBorder="1" applyAlignment="1">
      <alignment vertical="center"/>
    </xf>
    <xf numFmtId="172" fontId="4" fillId="5" borderId="22" xfId="1" applyNumberFormat="1" applyFont="1" applyFill="1" applyBorder="1" applyAlignment="1" applyProtection="1">
      <alignment vertical="center"/>
    </xf>
    <xf numFmtId="172" fontId="4" fillId="5" borderId="19" xfId="1" applyNumberFormat="1" applyFont="1" applyFill="1" applyBorder="1" applyAlignment="1" applyProtection="1">
      <alignment vertical="center"/>
    </xf>
    <xf numFmtId="172" fontId="4" fillId="5" borderId="27" xfId="1" applyNumberFormat="1" applyFont="1" applyFill="1" applyBorder="1" applyAlignment="1" applyProtection="1">
      <alignment vertical="center"/>
    </xf>
    <xf numFmtId="172" fontId="4" fillId="5" borderId="4" xfId="1" applyNumberFormat="1" applyFont="1" applyFill="1" applyBorder="1" applyAlignment="1" applyProtection="1">
      <alignment vertical="center"/>
    </xf>
    <xf numFmtId="172" fontId="4" fillId="5" borderId="0" xfId="1" applyNumberFormat="1" applyFont="1" applyFill="1" applyBorder="1" applyAlignment="1" applyProtection="1">
      <alignment vertical="center"/>
    </xf>
    <xf numFmtId="172" fontId="4" fillId="5" borderId="2" xfId="1" applyNumberFormat="1" applyFont="1" applyFill="1" applyBorder="1" applyAlignment="1" applyProtection="1">
      <alignment vertical="center"/>
    </xf>
    <xf numFmtId="171" fontId="4" fillId="5" borderId="22" xfId="0" applyNumberFormat="1" applyFont="1" applyFill="1" applyBorder="1" applyAlignment="1">
      <alignment horizontal="right" vertical="center"/>
    </xf>
    <xf numFmtId="171" fontId="4" fillId="5" borderId="19" xfId="0" applyNumberFormat="1" applyFont="1" applyFill="1" applyBorder="1" applyAlignment="1">
      <alignment horizontal="right" vertical="center"/>
    </xf>
    <xf numFmtId="171" fontId="4" fillId="5" borderId="27" xfId="0" applyNumberFormat="1" applyFont="1" applyFill="1" applyBorder="1" applyAlignment="1">
      <alignment horizontal="right" vertical="center"/>
    </xf>
    <xf numFmtId="171" fontId="4" fillId="5" borderId="31" xfId="0" applyNumberFormat="1" applyFont="1" applyFill="1" applyBorder="1" applyAlignment="1">
      <alignment horizontal="right" vertical="center"/>
    </xf>
    <xf numFmtId="171" fontId="4" fillId="8" borderId="4" xfId="0" applyNumberFormat="1" applyFont="1" applyFill="1" applyBorder="1" applyAlignment="1">
      <alignment horizontal="right" vertical="center"/>
    </xf>
    <xf numFmtId="171" fontId="4" fillId="5" borderId="30" xfId="0" applyNumberFormat="1" applyFont="1" applyFill="1" applyBorder="1" applyAlignment="1">
      <alignment horizontal="right" vertical="center"/>
    </xf>
    <xf numFmtId="171" fontId="4" fillId="8" borderId="0" xfId="0" applyNumberFormat="1" applyFont="1" applyFill="1" applyAlignment="1">
      <alignment horizontal="right" vertical="center"/>
    </xf>
    <xf numFmtId="171" fontId="4" fillId="5" borderId="29" xfId="0" applyNumberFormat="1" applyFont="1" applyFill="1" applyBorder="1" applyAlignment="1">
      <alignment horizontal="right" vertical="center"/>
    </xf>
    <xf numFmtId="171" fontId="4" fillId="8" borderId="2" xfId="0" applyNumberFormat="1" applyFont="1" applyFill="1" applyBorder="1" applyAlignment="1">
      <alignment horizontal="right" vertical="center"/>
    </xf>
    <xf numFmtId="171" fontId="4" fillId="8" borderId="22" xfId="0" applyNumberFormat="1" applyFont="1" applyFill="1" applyBorder="1" applyAlignment="1">
      <alignment horizontal="right" vertical="center"/>
    </xf>
    <xf numFmtId="171" fontId="4" fillId="8" borderId="19" xfId="0" applyNumberFormat="1" applyFont="1" applyFill="1" applyBorder="1" applyAlignment="1">
      <alignment horizontal="right" vertical="center"/>
    </xf>
    <xf numFmtId="171" fontId="4" fillId="8" borderId="27" xfId="0" applyNumberFormat="1" applyFont="1" applyFill="1" applyBorder="1" applyAlignment="1">
      <alignment horizontal="right" vertical="center"/>
    </xf>
    <xf numFmtId="172" fontId="4" fillId="0" borderId="4" xfId="0" applyNumberFormat="1" applyFont="1" applyBorder="1" applyAlignment="1">
      <alignment vertical="center"/>
    </xf>
    <xf numFmtId="172" fontId="4" fillId="0" borderId="0" xfId="0" applyNumberFormat="1" applyFont="1" applyAlignment="1">
      <alignment vertical="center"/>
    </xf>
    <xf numFmtId="172" fontId="4" fillId="0" borderId="2" xfId="0" applyNumberFormat="1" applyFont="1" applyBorder="1" applyAlignment="1">
      <alignment vertical="center"/>
    </xf>
    <xf numFmtId="171" fontId="4" fillId="0" borderId="20" xfId="0" applyNumberFormat="1" applyFont="1" applyBorder="1" applyAlignment="1">
      <alignment vertical="center"/>
    </xf>
    <xf numFmtId="172" fontId="4" fillId="0" borderId="20" xfId="0" applyNumberFormat="1" applyFont="1" applyBorder="1" applyAlignment="1">
      <alignment vertical="center"/>
    </xf>
    <xf numFmtId="165" fontId="7" fillId="0" borderId="2" xfId="0" applyNumberFormat="1" applyFont="1" applyBorder="1" applyAlignment="1">
      <alignment horizontal="right" vertical="center"/>
    </xf>
    <xf numFmtId="165" fontId="7" fillId="0" borderId="20" xfId="0" applyNumberFormat="1" applyFont="1" applyBorder="1" applyAlignment="1">
      <alignment vertical="center"/>
    </xf>
    <xf numFmtId="165" fontId="7" fillId="0" borderId="20" xfId="0" applyNumberFormat="1" applyFont="1" applyBorder="1" applyAlignment="1">
      <alignment horizontal="center" vertical="center"/>
    </xf>
    <xf numFmtId="165" fontId="24" fillId="0" borderId="20" xfId="0" quotePrefix="1" applyNumberFormat="1" applyFont="1" applyBorder="1" applyAlignment="1">
      <alignment vertical="center"/>
    </xf>
    <xf numFmtId="165" fontId="7" fillId="0" borderId="20" xfId="0" quotePrefix="1" applyNumberFormat="1" applyFont="1" applyBorder="1" applyAlignment="1">
      <alignment vertical="center"/>
    </xf>
    <xf numFmtId="165" fontId="4" fillId="0" borderId="4" xfId="0" quotePrefix="1" applyNumberFormat="1" applyFont="1" applyBorder="1" applyAlignment="1">
      <alignment horizontal="center" vertical="center"/>
    </xf>
    <xf numFmtId="165" fontId="4" fillId="0" borderId="0" xfId="0" quotePrefix="1" applyNumberFormat="1" applyFont="1" applyAlignment="1">
      <alignment horizontal="center" vertical="center"/>
    </xf>
    <xf numFmtId="165" fontId="7" fillId="0" borderId="20" xfId="0" quotePrefix="1" applyNumberFormat="1" applyFont="1" applyBorder="1" applyAlignment="1">
      <alignment horizontal="center" vertical="center"/>
    </xf>
    <xf numFmtId="165" fontId="4" fillId="0" borderId="4" xfId="0" applyNumberFormat="1" applyFont="1" applyBorder="1" applyAlignment="1">
      <alignment horizontal="right" vertical="center"/>
    </xf>
    <xf numFmtId="165" fontId="4" fillId="0" borderId="0" xfId="0" applyNumberFormat="1" applyFont="1" applyAlignment="1">
      <alignment horizontal="right" vertical="center"/>
    </xf>
    <xf numFmtId="165" fontId="4" fillId="0" borderId="2" xfId="0" applyNumberFormat="1" applyFont="1" applyBorder="1" applyAlignment="1">
      <alignment horizontal="right" vertical="center"/>
    </xf>
    <xf numFmtId="171" fontId="7" fillId="0" borderId="4" xfId="0" applyNumberFormat="1" applyFont="1" applyBorder="1" applyAlignment="1">
      <alignment vertical="center"/>
    </xf>
    <xf numFmtId="171" fontId="4" fillId="19" borderId="0" xfId="0" applyNumberFormat="1" applyFont="1" applyFill="1" applyAlignment="1">
      <alignment vertical="center"/>
    </xf>
    <xf numFmtId="172" fontId="7" fillId="0" borderId="0" xfId="0" applyNumberFormat="1" applyFont="1" applyAlignment="1">
      <alignment vertical="center"/>
    </xf>
    <xf numFmtId="172" fontId="7" fillId="0" borderId="2" xfId="0" applyNumberFormat="1" applyFont="1" applyBorder="1" applyAlignment="1">
      <alignment vertical="center"/>
    </xf>
    <xf numFmtId="172" fontId="7" fillId="0" borderId="20" xfId="0" applyNumberFormat="1" applyFont="1" applyBorder="1" applyAlignment="1">
      <alignment vertical="center"/>
    </xf>
    <xf numFmtId="165" fontId="7" fillId="0" borderId="2" xfId="0" applyNumberFormat="1" applyFont="1" applyBorder="1" applyAlignment="1">
      <alignment horizontal="center" vertical="center"/>
    </xf>
    <xf numFmtId="165" fontId="4" fillId="19" borderId="0" xfId="0" applyNumberFormat="1" applyFont="1" applyFill="1" applyAlignment="1">
      <alignment vertical="center"/>
    </xf>
    <xf numFmtId="177" fontId="4" fillId="0" borderId="0" xfId="0" applyNumberFormat="1" applyFont="1" applyAlignment="1">
      <alignment vertical="center"/>
    </xf>
    <xf numFmtId="165" fontId="31" fillId="0" borderId="0" xfId="0" applyNumberFormat="1" applyFont="1" applyAlignment="1">
      <alignment vertical="center"/>
    </xf>
    <xf numFmtId="165" fontId="17" fillId="0" borderId="0" xfId="0" applyNumberFormat="1" applyFont="1" applyAlignment="1">
      <alignment vertical="center"/>
    </xf>
    <xf numFmtId="165" fontId="9" fillId="0" borderId="0" xfId="0" applyNumberFormat="1" applyFont="1" applyAlignment="1">
      <alignment vertical="center"/>
    </xf>
    <xf numFmtId="165" fontId="18" fillId="0" borderId="0" xfId="0" applyNumberFormat="1" applyFont="1" applyAlignment="1">
      <alignment vertical="center"/>
    </xf>
    <xf numFmtId="165" fontId="17" fillId="0" borderId="0" xfId="0" applyNumberFormat="1" applyFont="1" applyAlignment="1">
      <alignment horizontal="center" vertical="center"/>
    </xf>
    <xf numFmtId="165" fontId="24" fillId="0" borderId="0" xfId="0" quotePrefix="1" applyNumberFormat="1" applyFont="1" applyAlignment="1">
      <alignment vertical="center"/>
    </xf>
    <xf numFmtId="171" fontId="4" fillId="0" borderId="4" xfId="0" applyNumberFormat="1" applyFont="1" applyBorder="1" applyAlignment="1">
      <alignment horizontal="right" vertical="center"/>
    </xf>
    <xf numFmtId="171" fontId="4" fillId="0" borderId="2" xfId="0" applyNumberFormat="1" applyFont="1" applyBorder="1" applyAlignment="1">
      <alignment horizontal="right" vertical="center"/>
    </xf>
    <xf numFmtId="177" fontId="4" fillId="0" borderId="2" xfId="0" applyNumberFormat="1" applyFont="1" applyBorder="1" applyAlignment="1">
      <alignment vertical="center"/>
    </xf>
    <xf numFmtId="171" fontId="7" fillId="0" borderId="20" xfId="0" applyNumberFormat="1" applyFont="1" applyBorder="1" applyAlignment="1">
      <alignment horizontal="right" vertical="center"/>
    </xf>
    <xf numFmtId="165" fontId="4" fillId="3" borderId="32" xfId="0" applyNumberFormat="1" applyFont="1" applyFill="1" applyBorder="1" applyAlignment="1">
      <alignment vertical="center"/>
    </xf>
    <xf numFmtId="166" fontId="4" fillId="5" borderId="21" xfId="0" applyNumberFormat="1" applyFont="1" applyFill="1" applyBorder="1" applyAlignment="1">
      <alignment horizontal="right" vertical="center"/>
    </xf>
    <xf numFmtId="165" fontId="20" fillId="7" borderId="56" xfId="0" applyNumberFormat="1" applyFont="1" applyFill="1" applyBorder="1" applyAlignment="1">
      <alignment vertical="center"/>
    </xf>
    <xf numFmtId="165" fontId="20" fillId="0" borderId="59" xfId="0" applyNumberFormat="1" applyFont="1" applyBorder="1" applyAlignment="1">
      <alignment vertical="center"/>
    </xf>
    <xf numFmtId="165" fontId="4" fillId="0" borderId="59" xfId="0" applyNumberFormat="1" applyFont="1" applyBorder="1" applyAlignment="1">
      <alignment vertical="center"/>
    </xf>
    <xf numFmtId="165" fontId="4" fillId="0" borderId="59" xfId="0" applyNumberFormat="1" applyFont="1" applyBorder="1" applyAlignment="1">
      <alignment horizontal="center" vertical="center"/>
    </xf>
    <xf numFmtId="165" fontId="20" fillId="6" borderId="59" xfId="0" applyNumberFormat="1" applyFont="1" applyFill="1" applyBorder="1" applyAlignment="1">
      <alignment vertical="center"/>
    </xf>
    <xf numFmtId="165" fontId="14" fillId="0" borderId="0" xfId="0" applyNumberFormat="1" applyFont="1" applyAlignment="1">
      <alignment vertical="center"/>
    </xf>
    <xf numFmtId="165" fontId="13" fillId="0" borderId="0" xfId="0" applyNumberFormat="1" applyFont="1" applyAlignment="1">
      <alignment vertical="center"/>
    </xf>
    <xf numFmtId="165" fontId="13" fillId="0" borderId="0" xfId="0" applyNumberFormat="1" applyFont="1" applyAlignment="1">
      <alignment horizontal="center" vertical="center"/>
    </xf>
    <xf numFmtId="0" fontId="15" fillId="21" borderId="0" xfId="0" applyNumberFormat="1" applyFont="1" applyFill="1" applyAlignment="1">
      <alignment horizontal="center" vertical="center"/>
    </xf>
    <xf numFmtId="165" fontId="56" fillId="21" borderId="11" xfId="0" applyNumberFormat="1" applyFont="1" applyFill="1" applyBorder="1" applyAlignment="1">
      <alignment vertical="center"/>
    </xf>
    <xf numFmtId="165" fontId="5" fillId="21" borderId="4" xfId="0" applyNumberFormat="1" applyFont="1" applyFill="1" applyBorder="1" applyAlignment="1">
      <alignment vertical="center"/>
    </xf>
    <xf numFmtId="165" fontId="6" fillId="21" borderId="4" xfId="0" applyNumberFormat="1" applyFont="1" applyFill="1" applyBorder="1" applyAlignment="1">
      <alignment vertical="center"/>
    </xf>
    <xf numFmtId="165" fontId="7" fillId="21" borderId="12" xfId="0" applyNumberFormat="1" applyFont="1" applyFill="1" applyBorder="1" applyAlignment="1">
      <alignment vertical="center"/>
    </xf>
    <xf numFmtId="165" fontId="4" fillId="21" borderId="13" xfId="0" applyNumberFormat="1" applyFont="1" applyFill="1" applyBorder="1" applyAlignment="1">
      <alignment vertical="center"/>
    </xf>
    <xf numFmtId="165" fontId="5" fillId="21" borderId="0" xfId="0" applyNumberFormat="1" applyFont="1" applyFill="1" applyAlignment="1">
      <alignment vertical="center"/>
    </xf>
    <xf numFmtId="165" fontId="4" fillId="21" borderId="0" xfId="0" applyNumberFormat="1" applyFont="1" applyFill="1" applyAlignment="1">
      <alignment vertical="center"/>
    </xf>
    <xf numFmtId="0" fontId="20" fillId="5" borderId="61" xfId="0" quotePrefix="1" applyNumberFormat="1" applyFont="1" applyFill="1" applyBorder="1" applyAlignment="1">
      <alignment vertical="center"/>
    </xf>
    <xf numFmtId="0" fontId="30" fillId="0" borderId="8" xfId="0" applyNumberFormat="1" applyFont="1" applyBorder="1" applyAlignment="1">
      <alignment horizontal="left" vertical="center"/>
    </xf>
    <xf numFmtId="164" fontId="19" fillId="0" borderId="9" xfId="0" quotePrefix="1" applyFont="1" applyBorder="1" applyAlignment="1">
      <alignment vertical="center"/>
    </xf>
    <xf numFmtId="164" fontId="19" fillId="0" borderId="10" xfId="0" quotePrefix="1" applyFont="1" applyBorder="1" applyAlignment="1">
      <alignment vertical="center"/>
    </xf>
    <xf numFmtId="167" fontId="4" fillId="0" borderId="35" xfId="0" quotePrefix="1" applyNumberFormat="1" applyFont="1" applyBorder="1" applyAlignment="1">
      <alignment horizontal="left" vertical="center"/>
    </xf>
    <xf numFmtId="164" fontId="4" fillId="0" borderId="36" xfId="0" quotePrefix="1" applyFont="1" applyBorder="1" applyAlignment="1">
      <alignment vertical="center"/>
    </xf>
    <xf numFmtId="164" fontId="4" fillId="0" borderId="37" xfId="0" quotePrefix="1" applyFont="1" applyBorder="1" applyAlignment="1">
      <alignment vertical="center"/>
    </xf>
    <xf numFmtId="165" fontId="4" fillId="5" borderId="27" xfId="0" applyNumberFormat="1" applyFont="1" applyFill="1" applyBorder="1" applyAlignment="1">
      <alignment horizontal="right" vertical="center"/>
    </xf>
    <xf numFmtId="165" fontId="4" fillId="5" borderId="22" xfId="0" applyNumberFormat="1" applyFont="1" applyFill="1" applyBorder="1" applyAlignment="1">
      <alignment horizontal="right" vertical="center"/>
    </xf>
    <xf numFmtId="165" fontId="4" fillId="5" borderId="19" xfId="0" applyNumberFormat="1" applyFont="1" applyFill="1" applyBorder="1" applyAlignment="1">
      <alignment horizontal="right" vertical="center"/>
    </xf>
    <xf numFmtId="172" fontId="4" fillId="8" borderId="22" xfId="0" applyNumberFormat="1" applyFont="1" applyFill="1" applyBorder="1" applyAlignment="1">
      <alignment vertical="center"/>
    </xf>
    <xf numFmtId="172" fontId="4" fillId="8" borderId="19" xfId="0" applyNumberFormat="1" applyFont="1" applyFill="1" applyBorder="1" applyAlignment="1">
      <alignment vertical="center"/>
    </xf>
    <xf numFmtId="172" fontId="4" fillId="8" borderId="27" xfId="0" applyNumberFormat="1" applyFont="1" applyFill="1" applyBorder="1" applyAlignment="1">
      <alignment vertical="center"/>
    </xf>
    <xf numFmtId="165" fontId="4" fillId="5" borderId="26" xfId="0" applyNumberFormat="1" applyFont="1" applyFill="1" applyBorder="1" applyAlignment="1">
      <alignment horizontal="left" vertical="center"/>
    </xf>
    <xf numFmtId="165" fontId="4" fillId="5" borderId="32" xfId="0" applyNumberFormat="1" applyFont="1" applyFill="1" applyBorder="1" applyAlignment="1">
      <alignment horizontal="left" vertical="center"/>
    </xf>
    <xf numFmtId="165" fontId="4" fillId="5" borderId="19" xfId="0" applyNumberFormat="1" applyFont="1" applyFill="1" applyBorder="1" applyAlignment="1">
      <alignment horizontal="left" vertical="center"/>
    </xf>
    <xf numFmtId="165" fontId="4" fillId="5" borderId="27" xfId="0" applyNumberFormat="1" applyFont="1" applyFill="1" applyBorder="1" applyAlignment="1">
      <alignment horizontal="left" vertical="center"/>
    </xf>
    <xf numFmtId="165" fontId="4" fillId="5" borderId="22" xfId="0" applyNumberFormat="1" applyFont="1" applyFill="1" applyBorder="1" applyAlignment="1">
      <alignment horizontal="left" vertical="center"/>
    </xf>
    <xf numFmtId="165" fontId="16" fillId="0" borderId="0" xfId="0" applyNumberFormat="1" applyFont="1" applyAlignment="1">
      <alignment horizontal="left" vertical="center"/>
    </xf>
    <xf numFmtId="165" fontId="4" fillId="0" borderId="0" xfId="0" applyNumberFormat="1" applyFont="1" applyAlignment="1">
      <alignment horizontal="left" vertical="center"/>
    </xf>
    <xf numFmtId="165" fontId="21" fillId="0" borderId="0" xfId="0" applyNumberFormat="1" applyFont="1" applyAlignment="1">
      <alignment horizontal="left" vertical="center"/>
    </xf>
    <xf numFmtId="165" fontId="16" fillId="0" borderId="2" xfId="0" applyNumberFormat="1" applyFont="1" applyBorder="1" applyAlignment="1">
      <alignment horizontal="left" vertical="center"/>
    </xf>
    <xf numFmtId="165" fontId="6" fillId="0" borderId="20" xfId="0" applyNumberFormat="1" applyFont="1" applyBorder="1" applyAlignment="1">
      <alignment vertical="center"/>
    </xf>
    <xf numFmtId="165" fontId="6" fillId="0" borderId="2" xfId="0" applyNumberFormat="1" applyFont="1" applyBorder="1" applyAlignment="1">
      <alignment vertical="center"/>
    </xf>
    <xf numFmtId="172" fontId="4" fillId="3" borderId="19" xfId="0" applyNumberFormat="1" applyFont="1" applyFill="1" applyBorder="1" applyAlignment="1">
      <alignment horizontal="right" vertical="center"/>
    </xf>
    <xf numFmtId="164" fontId="0" fillId="19" borderId="0" xfId="0" applyFill="1"/>
    <xf numFmtId="172" fontId="4" fillId="3" borderId="32" xfId="0" applyNumberFormat="1" applyFont="1" applyFill="1" applyBorder="1" applyAlignment="1">
      <alignment horizontal="right" vertical="center"/>
    </xf>
    <xf numFmtId="172" fontId="4" fillId="3" borderId="27" xfId="0" applyNumberFormat="1" applyFont="1" applyFill="1" applyBorder="1" applyAlignment="1">
      <alignment horizontal="right" vertical="center"/>
    </xf>
    <xf numFmtId="165" fontId="7" fillId="0" borderId="2" xfId="0" applyNumberFormat="1" applyFont="1" applyBorder="1" applyAlignment="1">
      <alignment horizontal="left" vertical="center"/>
    </xf>
    <xf numFmtId="164" fontId="35" fillId="0" borderId="0" xfId="0" applyFont="1"/>
    <xf numFmtId="9" fontId="4" fillId="0" borderId="4" xfId="1" applyFont="1" applyBorder="1" applyAlignment="1" applyProtection="1">
      <alignment vertical="center"/>
    </xf>
    <xf numFmtId="165" fontId="20" fillId="21" borderId="4" xfId="0" applyNumberFormat="1" applyFont="1" applyFill="1" applyBorder="1" applyAlignment="1">
      <alignment vertical="center"/>
    </xf>
    <xf numFmtId="165" fontId="20" fillId="21" borderId="0" xfId="0" applyNumberFormat="1" applyFont="1" applyFill="1" applyAlignment="1">
      <alignment vertical="center"/>
    </xf>
    <xf numFmtId="165" fontId="20" fillId="21" borderId="2" xfId="0" applyNumberFormat="1" applyFont="1" applyFill="1" applyBorder="1" applyAlignment="1">
      <alignment vertical="center"/>
    </xf>
    <xf numFmtId="9" fontId="4" fillId="0" borderId="20" xfId="1" applyFont="1" applyBorder="1" applyAlignment="1" applyProtection="1">
      <alignment vertical="center"/>
    </xf>
    <xf numFmtId="9" fontId="4" fillId="0" borderId="20" xfId="1" applyFont="1" applyFill="1" applyBorder="1" applyAlignment="1" applyProtection="1">
      <alignment vertical="center"/>
    </xf>
    <xf numFmtId="165" fontId="20" fillId="0" borderId="60" xfId="0" applyNumberFormat="1" applyFont="1" applyBorder="1" applyAlignment="1">
      <alignment vertical="center"/>
    </xf>
    <xf numFmtId="165" fontId="4" fillId="19" borderId="2" xfId="0" applyNumberFormat="1" applyFont="1" applyFill="1" applyBorder="1" applyAlignment="1">
      <alignment vertical="center"/>
    </xf>
    <xf numFmtId="171" fontId="4" fillId="19" borderId="2" xfId="0" applyNumberFormat="1" applyFont="1" applyFill="1" applyBorder="1" applyAlignment="1">
      <alignment vertical="center"/>
    </xf>
    <xf numFmtId="165" fontId="4" fillId="19" borderId="20" xfId="0" applyNumberFormat="1" applyFont="1" applyFill="1" applyBorder="1" applyAlignment="1">
      <alignment vertical="center"/>
    </xf>
    <xf numFmtId="164" fontId="0" fillId="19" borderId="4" xfId="0" applyFill="1" applyBorder="1"/>
    <xf numFmtId="164" fontId="0" fillId="19" borderId="2" xfId="0" applyFill="1" applyBorder="1"/>
    <xf numFmtId="165" fontId="4" fillId="19" borderId="4" xfId="0" applyNumberFormat="1" applyFont="1" applyFill="1" applyBorder="1" applyAlignment="1">
      <alignment vertical="center"/>
    </xf>
    <xf numFmtId="170" fontId="25" fillId="0" borderId="4" xfId="1" applyNumberFormat="1" applyFont="1" applyFill="1" applyBorder="1" applyAlignment="1" applyProtection="1">
      <alignment horizontal="right" vertical="center"/>
    </xf>
    <xf numFmtId="170" fontId="25" fillId="0" borderId="0" xfId="1" applyNumberFormat="1" applyFont="1" applyFill="1" applyBorder="1" applyAlignment="1" applyProtection="1">
      <alignment horizontal="right" vertical="center"/>
    </xf>
    <xf numFmtId="170" fontId="25" fillId="0" borderId="2" xfId="1" applyNumberFormat="1" applyFont="1" applyFill="1" applyBorder="1" applyAlignment="1" applyProtection="1">
      <alignment horizontal="right" vertical="center"/>
    </xf>
    <xf numFmtId="165" fontId="4" fillId="0" borderId="53" xfId="0" applyNumberFormat="1" applyFont="1" applyBorder="1" applyAlignment="1">
      <alignment vertical="center"/>
    </xf>
    <xf numFmtId="172" fontId="4" fillId="19" borderId="4" xfId="0" applyNumberFormat="1" applyFont="1" applyFill="1" applyBorder="1" applyAlignment="1">
      <alignment vertical="center"/>
    </xf>
    <xf numFmtId="172" fontId="4" fillId="19" borderId="0" xfId="0" applyNumberFormat="1" applyFont="1" applyFill="1" applyAlignment="1">
      <alignment vertical="center"/>
    </xf>
    <xf numFmtId="172" fontId="4" fillId="19" borderId="20" xfId="0" applyNumberFormat="1" applyFont="1" applyFill="1" applyBorder="1" applyAlignment="1">
      <alignment vertical="center"/>
    </xf>
    <xf numFmtId="9" fontId="4" fillId="19" borderId="0" xfId="1" applyFont="1" applyFill="1" applyAlignment="1" applyProtection="1">
      <alignment vertical="center"/>
    </xf>
    <xf numFmtId="165" fontId="4" fillId="0" borderId="68" xfId="0" applyNumberFormat="1" applyFont="1" applyBorder="1" applyAlignment="1">
      <alignment vertical="center"/>
    </xf>
    <xf numFmtId="165" fontId="4" fillId="0" borderId="68" xfId="0" applyNumberFormat="1" applyFont="1" applyBorder="1" applyAlignment="1">
      <alignment horizontal="center" vertical="center"/>
    </xf>
    <xf numFmtId="165" fontId="20" fillId="0" borderId="68" xfId="0" applyNumberFormat="1" applyFont="1" applyBorder="1" applyAlignment="1">
      <alignment vertical="center"/>
    </xf>
    <xf numFmtId="165" fontId="4" fillId="3" borderId="26" xfId="0" applyNumberFormat="1" applyFont="1" applyFill="1" applyBorder="1" applyAlignment="1">
      <alignment vertical="center"/>
    </xf>
    <xf numFmtId="165" fontId="4" fillId="3" borderId="21" xfId="0" applyNumberFormat="1" applyFont="1" applyFill="1" applyBorder="1" applyAlignment="1">
      <alignment vertical="center"/>
    </xf>
    <xf numFmtId="165" fontId="4" fillId="3" borderId="33" xfId="0" applyNumberFormat="1" applyFont="1" applyFill="1" applyBorder="1" applyAlignment="1">
      <alignment vertical="center"/>
    </xf>
    <xf numFmtId="165" fontId="4" fillId="3" borderId="28" xfId="0" applyNumberFormat="1" applyFont="1" applyFill="1" applyBorder="1" applyAlignment="1">
      <alignment vertical="center"/>
    </xf>
    <xf numFmtId="165" fontId="4" fillId="3" borderId="40" xfId="0" applyNumberFormat="1" applyFont="1" applyFill="1" applyBorder="1" applyAlignment="1">
      <alignment vertical="center"/>
    </xf>
    <xf numFmtId="165" fontId="4" fillId="0" borderId="36" xfId="0" applyNumberFormat="1" applyFont="1" applyBorder="1" applyAlignment="1">
      <alignment vertical="center"/>
    </xf>
    <xf numFmtId="171" fontId="7" fillId="19" borderId="4" xfId="0" applyNumberFormat="1" applyFont="1" applyFill="1" applyBorder="1" applyAlignment="1">
      <alignment vertical="center"/>
    </xf>
    <xf numFmtId="165" fontId="25" fillId="0" borderId="0" xfId="0" applyNumberFormat="1" applyFont="1" applyAlignment="1">
      <alignment horizontal="center" vertical="center"/>
    </xf>
    <xf numFmtId="165" fontId="25" fillId="7" borderId="0" xfId="0" applyNumberFormat="1" applyFont="1" applyFill="1" applyAlignment="1">
      <alignment vertical="center"/>
    </xf>
    <xf numFmtId="170" fontId="23" fillId="0" borderId="69" xfId="1" applyNumberFormat="1" applyFont="1" applyFill="1" applyBorder="1" applyAlignment="1" applyProtection="1">
      <alignment horizontal="right" vertical="center" wrapText="1"/>
    </xf>
    <xf numFmtId="170" fontId="23" fillId="0" borderId="36" xfId="1" applyNumberFormat="1" applyFont="1" applyFill="1" applyBorder="1" applyAlignment="1" applyProtection="1">
      <alignment horizontal="right" vertical="center" wrapText="1"/>
    </xf>
    <xf numFmtId="165" fontId="4" fillId="5" borderId="22" xfId="0" applyNumberFormat="1" applyFont="1" applyFill="1" applyBorder="1" applyAlignment="1">
      <alignment vertical="center"/>
    </xf>
    <xf numFmtId="165" fontId="4" fillId="5" borderId="26" xfId="0" applyNumberFormat="1" applyFont="1" applyFill="1" applyBorder="1" applyAlignment="1">
      <alignment vertical="center"/>
    </xf>
    <xf numFmtId="165" fontId="4" fillId="5" borderId="33" xfId="0" applyNumberFormat="1" applyFont="1" applyFill="1" applyBorder="1" applyAlignment="1">
      <alignment vertical="center"/>
    </xf>
    <xf numFmtId="165" fontId="4" fillId="5" borderId="19" xfId="0" applyNumberFormat="1" applyFont="1" applyFill="1" applyBorder="1" applyAlignment="1">
      <alignment vertical="center"/>
    </xf>
    <xf numFmtId="165" fontId="4" fillId="5" borderId="27" xfId="0" applyNumberFormat="1" applyFont="1" applyFill="1" applyBorder="1" applyAlignment="1">
      <alignment vertical="center"/>
    </xf>
    <xf numFmtId="165" fontId="16" fillId="0" borderId="36" xfId="0" applyNumberFormat="1" applyFont="1" applyBorder="1" applyAlignment="1">
      <alignment vertical="center"/>
    </xf>
    <xf numFmtId="165" fontId="16" fillId="0" borderId="69" xfId="0" applyNumberFormat="1" applyFont="1" applyBorder="1" applyAlignment="1">
      <alignment vertical="center"/>
    </xf>
    <xf numFmtId="165" fontId="4" fillId="3" borderId="70" xfId="0" applyNumberFormat="1" applyFont="1" applyFill="1" applyBorder="1" applyAlignment="1">
      <alignment vertical="center"/>
    </xf>
    <xf numFmtId="165" fontId="7" fillId="0" borderId="68" xfId="0" applyNumberFormat="1" applyFont="1" applyBorder="1" applyAlignment="1">
      <alignment vertical="center"/>
    </xf>
    <xf numFmtId="165" fontId="25" fillId="3" borderId="22" xfId="1" applyNumberFormat="1" applyFont="1" applyFill="1" applyBorder="1" applyAlignment="1" applyProtection="1">
      <alignment horizontal="right" vertical="center" wrapText="1"/>
    </xf>
    <xf numFmtId="165" fontId="4" fillId="19" borderId="39" xfId="0" applyNumberFormat="1" applyFont="1" applyFill="1" applyBorder="1" applyAlignment="1">
      <alignment vertical="center"/>
    </xf>
    <xf numFmtId="165" fontId="4" fillId="3" borderId="34" xfId="0" applyNumberFormat="1" applyFont="1" applyFill="1" applyBorder="1" applyAlignment="1">
      <alignment vertical="center"/>
    </xf>
    <xf numFmtId="165" fontId="4" fillId="19" borderId="22" xfId="0" applyNumberFormat="1" applyFont="1" applyFill="1" applyBorder="1" applyAlignment="1">
      <alignment vertical="center"/>
    </xf>
    <xf numFmtId="165" fontId="4" fillId="19" borderId="31" xfId="0" applyNumberFormat="1" applyFont="1" applyFill="1" applyBorder="1" applyAlignment="1">
      <alignment vertical="center"/>
    </xf>
    <xf numFmtId="165" fontId="25" fillId="3" borderId="19" xfId="1" applyNumberFormat="1" applyFont="1" applyFill="1" applyBorder="1" applyAlignment="1" applyProtection="1">
      <alignment horizontal="right" vertical="center" wrapText="1"/>
    </xf>
    <xf numFmtId="165" fontId="4" fillId="3" borderId="57" xfId="0" applyNumberFormat="1" applyFont="1" applyFill="1" applyBorder="1" applyAlignment="1">
      <alignment vertical="center"/>
    </xf>
    <xf numFmtId="165" fontId="4" fillId="19" borderId="40" xfId="0" applyNumberFormat="1" applyFont="1" applyFill="1" applyBorder="1" applyAlignment="1">
      <alignment vertical="center"/>
    </xf>
    <xf numFmtId="165" fontId="25" fillId="3" borderId="27" xfId="1" applyNumberFormat="1" applyFont="1" applyFill="1" applyBorder="1" applyAlignment="1" applyProtection="1">
      <alignment horizontal="right" vertical="center" wrapText="1"/>
    </xf>
    <xf numFmtId="165" fontId="23" fillId="0" borderId="2" xfId="1" applyNumberFormat="1" applyFont="1" applyFill="1" applyBorder="1" applyAlignment="1" applyProtection="1">
      <alignment horizontal="right" vertical="center" wrapText="1"/>
    </xf>
    <xf numFmtId="165" fontId="25" fillId="3" borderId="21" xfId="1" applyNumberFormat="1" applyFont="1" applyFill="1" applyBorder="1" applyAlignment="1" applyProtection="1">
      <alignment horizontal="right" vertical="center" wrapText="1"/>
    </xf>
    <xf numFmtId="165" fontId="25" fillId="0" borderId="0" xfId="1" applyNumberFormat="1" applyFont="1" applyFill="1" applyBorder="1" applyAlignment="1" applyProtection="1">
      <alignment horizontal="right" vertical="center" wrapText="1"/>
    </xf>
    <xf numFmtId="165" fontId="25" fillId="3" borderId="32" xfId="1" applyNumberFormat="1" applyFont="1" applyFill="1" applyBorder="1" applyAlignment="1" applyProtection="1">
      <alignment horizontal="right" vertical="center" wrapText="1"/>
    </xf>
    <xf numFmtId="165" fontId="7" fillId="0" borderId="59" xfId="0" applyNumberFormat="1" applyFont="1" applyBorder="1" applyAlignment="1">
      <alignment vertical="center"/>
    </xf>
    <xf numFmtId="165" fontId="4" fillId="0" borderId="62" xfId="0" applyNumberFormat="1" applyFont="1" applyBorder="1" applyAlignment="1">
      <alignment vertical="center"/>
    </xf>
    <xf numFmtId="165" fontId="4" fillId="0" borderId="65" xfId="0" applyNumberFormat="1" applyFont="1" applyBorder="1" applyAlignment="1">
      <alignment vertical="center"/>
    </xf>
    <xf numFmtId="165" fontId="4" fillId="0" borderId="63" xfId="0" applyNumberFormat="1" applyFont="1" applyBorder="1" applyAlignment="1">
      <alignment vertical="center"/>
    </xf>
    <xf numFmtId="165" fontId="4" fillId="0" borderId="66" xfId="0" applyNumberFormat="1" applyFont="1" applyBorder="1" applyAlignment="1">
      <alignment vertical="center"/>
    </xf>
    <xf numFmtId="165" fontId="4" fillId="0" borderId="64" xfId="0" applyNumberFormat="1" applyFont="1" applyBorder="1" applyAlignment="1">
      <alignment vertical="center"/>
    </xf>
    <xf numFmtId="165" fontId="4" fillId="0" borderId="67" xfId="0" applyNumberFormat="1" applyFont="1" applyBorder="1" applyAlignment="1">
      <alignment vertical="center"/>
    </xf>
    <xf numFmtId="165" fontId="7" fillId="0" borderId="20" xfId="0" applyNumberFormat="1" applyFont="1" applyBorder="1" applyAlignment="1">
      <alignment horizontal="right" vertical="center"/>
    </xf>
    <xf numFmtId="165" fontId="4" fillId="3" borderId="58" xfId="0" applyNumberFormat="1" applyFont="1" applyFill="1" applyBorder="1" applyAlignment="1">
      <alignment vertical="center"/>
    </xf>
    <xf numFmtId="165" fontId="4" fillId="0" borderId="69" xfId="0" applyNumberFormat="1" applyFont="1" applyBorder="1" applyAlignment="1">
      <alignment vertical="center"/>
    </xf>
    <xf numFmtId="165" fontId="11" fillId="2" borderId="16" xfId="0" applyNumberFormat="1" applyFont="1" applyFill="1" applyBorder="1" applyAlignment="1">
      <alignment horizontal="center" vertical="center"/>
    </xf>
    <xf numFmtId="165" fontId="55" fillId="2" borderId="0" xfId="0" applyNumberFormat="1" applyFont="1" applyFill="1" applyAlignment="1">
      <alignment vertical="center"/>
    </xf>
    <xf numFmtId="165" fontId="4" fillId="5" borderId="19" xfId="0" quotePrefix="1" applyNumberFormat="1" applyFont="1" applyFill="1" applyBorder="1" applyAlignment="1">
      <alignment horizontal="right" vertical="center"/>
    </xf>
    <xf numFmtId="165" fontId="4" fillId="5" borderId="21" xfId="0" applyNumberFormat="1" applyFont="1" applyFill="1" applyBorder="1" applyAlignment="1">
      <alignment horizontal="right" vertical="center"/>
    </xf>
    <xf numFmtId="165" fontId="4" fillId="5" borderId="22" xfId="0" quotePrefix="1" applyNumberFormat="1" applyFont="1" applyFill="1" applyBorder="1" applyAlignment="1">
      <alignment horizontal="right" vertical="center"/>
    </xf>
    <xf numFmtId="165" fontId="20" fillId="21" borderId="20" xfId="0" applyNumberFormat="1" applyFont="1" applyFill="1" applyBorder="1" applyAlignment="1">
      <alignment vertical="center"/>
    </xf>
    <xf numFmtId="171" fontId="4" fillId="0" borderId="68" xfId="0" applyNumberFormat="1" applyFont="1" applyBorder="1" applyAlignment="1">
      <alignment vertical="center"/>
    </xf>
    <xf numFmtId="165" fontId="25" fillId="3" borderId="33" xfId="1" applyNumberFormat="1" applyFont="1" applyFill="1" applyBorder="1" applyAlignment="1" applyProtection="1">
      <alignment horizontal="right" vertical="center" wrapText="1"/>
    </xf>
    <xf numFmtId="170" fontId="25" fillId="3" borderId="53" xfId="1" applyNumberFormat="1" applyFont="1" applyFill="1" applyBorder="1" applyAlignment="1" applyProtection="1">
      <alignment horizontal="right" vertical="center" wrapText="1"/>
    </xf>
    <xf numFmtId="170" fontId="25" fillId="3" borderId="33" xfId="1" applyNumberFormat="1" applyFont="1" applyFill="1" applyBorder="1" applyAlignment="1" applyProtection="1">
      <alignment horizontal="right" vertical="center" wrapText="1"/>
    </xf>
    <xf numFmtId="170" fontId="25" fillId="3" borderId="28" xfId="1" applyNumberFormat="1" applyFont="1" applyFill="1" applyBorder="1" applyAlignment="1" applyProtection="1">
      <alignment horizontal="right" vertical="center" wrapText="1"/>
    </xf>
    <xf numFmtId="170" fontId="25" fillId="3" borderId="19" xfId="1" applyNumberFormat="1" applyFont="1" applyFill="1" applyBorder="1" applyAlignment="1" applyProtection="1">
      <alignment horizontal="right" vertical="center" wrapText="1"/>
    </xf>
    <xf numFmtId="165" fontId="23" fillId="0" borderId="2" xfId="0" applyNumberFormat="1" applyFont="1" applyBorder="1" applyAlignment="1">
      <alignment horizontal="right" vertical="center"/>
    </xf>
    <xf numFmtId="165" fontId="25" fillId="0" borderId="2" xfId="0" applyNumberFormat="1" applyFont="1" applyBorder="1" applyAlignment="1">
      <alignment horizontal="right" vertical="center"/>
    </xf>
    <xf numFmtId="165" fontId="16" fillId="0" borderId="4" xfId="0" applyNumberFormat="1" applyFont="1" applyBorder="1" applyAlignment="1">
      <alignment horizontal="right" vertical="center"/>
    </xf>
    <xf numFmtId="165" fontId="7" fillId="19" borderId="0" xfId="0" applyNumberFormat="1" applyFont="1" applyFill="1" applyAlignment="1">
      <alignment vertical="center"/>
    </xf>
    <xf numFmtId="171" fontId="4" fillId="0" borderId="65" xfId="0" applyNumberFormat="1" applyFont="1" applyBorder="1" applyAlignment="1">
      <alignment vertical="center"/>
    </xf>
    <xf numFmtId="171" fontId="4" fillId="0" borderId="66" xfId="0" applyNumberFormat="1" applyFont="1" applyBorder="1" applyAlignment="1">
      <alignment vertical="center"/>
    </xf>
    <xf numFmtId="171" fontId="4" fillId="0" borderId="67" xfId="0" applyNumberFormat="1" applyFont="1" applyBorder="1" applyAlignment="1">
      <alignment vertical="center"/>
    </xf>
    <xf numFmtId="171" fontId="4" fillId="0" borderId="71" xfId="0" applyNumberFormat="1" applyFont="1" applyBorder="1" applyAlignment="1">
      <alignment vertical="center"/>
    </xf>
    <xf numFmtId="171" fontId="4" fillId="0" borderId="72" xfId="0" applyNumberFormat="1" applyFont="1" applyBorder="1" applyAlignment="1">
      <alignment vertical="center"/>
    </xf>
    <xf numFmtId="171" fontId="4" fillId="0" borderId="73" xfId="0" applyNumberFormat="1" applyFont="1" applyBorder="1" applyAlignment="1">
      <alignment vertical="center"/>
    </xf>
    <xf numFmtId="171" fontId="4" fillId="0" borderId="63" xfId="0" applyNumberFormat="1" applyFont="1" applyBorder="1" applyAlignment="1">
      <alignment vertical="center"/>
    </xf>
    <xf numFmtId="171" fontId="4" fillId="0" borderId="64" xfId="0" applyNumberFormat="1" applyFont="1" applyBorder="1" applyAlignment="1">
      <alignment vertical="center"/>
    </xf>
    <xf numFmtId="165" fontId="4" fillId="5" borderId="32" xfId="0" quotePrefix="1" applyNumberFormat="1" applyFont="1" applyFill="1" applyBorder="1" applyAlignment="1">
      <alignment horizontal="right" vertical="center"/>
    </xf>
    <xf numFmtId="172" fontId="7" fillId="0" borderId="4" xfId="0" applyNumberFormat="1" applyFont="1" applyBorder="1" applyAlignment="1">
      <alignment vertical="center"/>
    </xf>
    <xf numFmtId="9" fontId="4" fillId="0" borderId="2" xfId="1" applyFont="1" applyBorder="1" applyAlignment="1" applyProtection="1">
      <alignment vertical="center"/>
    </xf>
    <xf numFmtId="171" fontId="4" fillId="0" borderId="62" xfId="0" applyNumberFormat="1" applyFont="1" applyBorder="1" applyAlignment="1">
      <alignment vertical="center"/>
    </xf>
    <xf numFmtId="165" fontId="20" fillId="0" borderId="74" xfId="0" applyNumberFormat="1" applyFont="1" applyBorder="1" applyAlignment="1">
      <alignment vertical="center"/>
    </xf>
    <xf numFmtId="165" fontId="4" fillId="0" borderId="74" xfId="0" applyNumberFormat="1" applyFont="1" applyBorder="1" applyAlignment="1">
      <alignment vertical="center"/>
    </xf>
    <xf numFmtId="165" fontId="4" fillId="0" borderId="74" xfId="0" applyNumberFormat="1" applyFont="1" applyBorder="1" applyAlignment="1">
      <alignment horizontal="center" vertical="center"/>
    </xf>
    <xf numFmtId="165" fontId="4" fillId="3" borderId="41" xfId="0" applyNumberFormat="1" applyFont="1" applyFill="1" applyBorder="1" applyAlignment="1">
      <alignment vertical="center"/>
    </xf>
    <xf numFmtId="165" fontId="23" fillId="0" borderId="20" xfId="1" applyNumberFormat="1" applyFont="1" applyFill="1" applyBorder="1" applyAlignment="1" applyProtection="1">
      <alignment horizontal="right" vertical="center" wrapText="1"/>
    </xf>
    <xf numFmtId="165" fontId="23" fillId="0" borderId="0" xfId="0" applyNumberFormat="1" applyFont="1" applyAlignment="1">
      <alignment horizontal="right" vertical="center"/>
    </xf>
    <xf numFmtId="165" fontId="25" fillId="0" borderId="20" xfId="1" applyNumberFormat="1" applyFont="1" applyFill="1" applyBorder="1" applyAlignment="1" applyProtection="1">
      <alignment horizontal="right" vertical="center" wrapText="1"/>
    </xf>
    <xf numFmtId="165" fontId="25" fillId="0" borderId="4" xfId="1" applyNumberFormat="1" applyFont="1" applyFill="1" applyBorder="1" applyAlignment="1" applyProtection="1">
      <alignment horizontal="right" vertical="center" wrapText="1"/>
    </xf>
    <xf numFmtId="165" fontId="25" fillId="3" borderId="31" xfId="1" applyNumberFormat="1" applyFont="1" applyFill="1" applyBorder="1" applyAlignment="1" applyProtection="1">
      <alignment horizontal="right" vertical="center" wrapText="1"/>
    </xf>
    <xf numFmtId="165" fontId="25" fillId="3" borderId="30" xfId="1" applyNumberFormat="1" applyFont="1" applyFill="1" applyBorder="1" applyAlignment="1" applyProtection="1">
      <alignment horizontal="right" vertical="center" wrapText="1"/>
    </xf>
    <xf numFmtId="165" fontId="25" fillId="3" borderId="28" xfId="1" applyNumberFormat="1" applyFont="1" applyFill="1" applyBorder="1" applyAlignment="1" applyProtection="1">
      <alignment horizontal="right" vertical="center" wrapText="1"/>
    </xf>
    <xf numFmtId="170" fontId="23" fillId="19" borderId="2" xfId="1" applyNumberFormat="1" applyFont="1" applyFill="1" applyBorder="1" applyAlignment="1" applyProtection="1">
      <alignment horizontal="right" vertical="center" wrapText="1"/>
    </xf>
    <xf numFmtId="170" fontId="23" fillId="19" borderId="4" xfId="1" applyNumberFormat="1" applyFont="1" applyFill="1" applyBorder="1" applyAlignment="1" applyProtection="1">
      <alignment horizontal="right" vertical="center" wrapText="1"/>
    </xf>
    <xf numFmtId="170" fontId="23" fillId="19" borderId="0" xfId="1" applyNumberFormat="1" applyFont="1" applyFill="1" applyBorder="1" applyAlignment="1" applyProtection="1">
      <alignment horizontal="right" vertical="center" wrapText="1"/>
    </xf>
    <xf numFmtId="170" fontId="23" fillId="19" borderId="20" xfId="1" applyNumberFormat="1" applyFont="1" applyFill="1" applyBorder="1" applyAlignment="1" applyProtection="1">
      <alignment horizontal="right" vertical="center" wrapText="1"/>
    </xf>
    <xf numFmtId="170" fontId="23" fillId="19" borderId="75" xfId="1" applyNumberFormat="1" applyFont="1" applyFill="1" applyBorder="1" applyAlignment="1" applyProtection="1">
      <alignment horizontal="right" vertical="center" wrapText="1"/>
    </xf>
    <xf numFmtId="165" fontId="4" fillId="3" borderId="39" xfId="0" applyNumberFormat="1" applyFont="1" applyFill="1" applyBorder="1" applyAlignment="1">
      <alignment vertical="center"/>
    </xf>
    <xf numFmtId="165" fontId="4" fillId="3" borderId="76" xfId="0" applyNumberFormat="1" applyFont="1" applyFill="1" applyBorder="1" applyAlignment="1">
      <alignment vertical="center"/>
    </xf>
    <xf numFmtId="172" fontId="4" fillId="0" borderId="68" xfId="0" applyNumberFormat="1" applyFont="1" applyBorder="1" applyAlignment="1">
      <alignment vertical="center"/>
    </xf>
    <xf numFmtId="165" fontId="4" fillId="3" borderId="56" xfId="0" applyNumberFormat="1" applyFont="1" applyFill="1" applyBorder="1" applyAlignment="1">
      <alignment vertical="center"/>
    </xf>
    <xf numFmtId="165" fontId="4" fillId="19" borderId="32" xfId="0" applyNumberFormat="1" applyFont="1" applyFill="1" applyBorder="1" applyAlignment="1">
      <alignment vertical="center"/>
    </xf>
    <xf numFmtId="165" fontId="25" fillId="0" borderId="4" xfId="0" applyNumberFormat="1" applyFont="1" applyBorder="1" applyAlignment="1">
      <alignment vertical="center"/>
    </xf>
    <xf numFmtId="165" fontId="25" fillId="0" borderId="2" xfId="0" applyNumberFormat="1" applyFont="1" applyBorder="1" applyAlignment="1">
      <alignment horizontal="center" vertical="center"/>
    </xf>
    <xf numFmtId="170" fontId="25" fillId="19" borderId="20" xfId="1" applyNumberFormat="1" applyFont="1" applyFill="1" applyBorder="1" applyAlignment="1" applyProtection="1">
      <alignment horizontal="right" vertical="center" wrapText="1"/>
    </xf>
    <xf numFmtId="172" fontId="4" fillId="5" borderId="31" xfId="0" applyNumberFormat="1" applyFont="1" applyFill="1" applyBorder="1" applyAlignment="1">
      <alignment vertical="center"/>
    </xf>
    <xf numFmtId="172" fontId="4" fillId="5" borderId="30" xfId="0" applyNumberFormat="1" applyFont="1" applyFill="1" applyBorder="1" applyAlignment="1">
      <alignment vertical="center"/>
    </xf>
    <xf numFmtId="172" fontId="4" fillId="5" borderId="29" xfId="0" applyNumberFormat="1" applyFont="1" applyFill="1" applyBorder="1" applyAlignment="1">
      <alignment vertical="center"/>
    </xf>
    <xf numFmtId="165" fontId="4" fillId="0" borderId="20" xfId="0" applyNumberFormat="1" applyFont="1" applyBorder="1" applyAlignment="1">
      <alignment horizontal="right" vertical="center"/>
    </xf>
    <xf numFmtId="165" fontId="4" fillId="0" borderId="4" xfId="0" quotePrefix="1" applyNumberFormat="1" applyFont="1" applyBorder="1" applyAlignment="1">
      <alignment horizontal="right" vertical="center"/>
    </xf>
    <xf numFmtId="165" fontId="4" fillId="0" borderId="0" xfId="0" quotePrefix="1" applyNumberFormat="1" applyFont="1" applyAlignment="1">
      <alignment horizontal="right" vertical="center"/>
    </xf>
    <xf numFmtId="171" fontId="4" fillId="19" borderId="4" xfId="0" applyNumberFormat="1" applyFont="1" applyFill="1" applyBorder="1" applyAlignment="1">
      <alignment vertical="center"/>
    </xf>
    <xf numFmtId="165" fontId="7" fillId="19" borderId="20" xfId="0" applyNumberFormat="1" applyFont="1" applyFill="1" applyBorder="1" applyAlignment="1">
      <alignment vertical="center"/>
    </xf>
    <xf numFmtId="165" fontId="16" fillId="19" borderId="0" xfId="0" applyNumberFormat="1" applyFont="1" applyFill="1" applyAlignment="1">
      <alignment horizontal="right" vertical="center"/>
    </xf>
    <xf numFmtId="165" fontId="16" fillId="19" borderId="0" xfId="0" applyNumberFormat="1" applyFont="1" applyFill="1" applyAlignment="1">
      <alignment vertical="center"/>
    </xf>
    <xf numFmtId="165" fontId="16" fillId="19" borderId="4" xfId="0" applyNumberFormat="1" applyFont="1" applyFill="1" applyBorder="1" applyAlignment="1">
      <alignment horizontal="right" vertical="center"/>
    </xf>
    <xf numFmtId="165" fontId="16" fillId="19" borderId="2" xfId="0" applyNumberFormat="1" applyFont="1" applyFill="1" applyBorder="1" applyAlignment="1">
      <alignment horizontal="right" vertical="center"/>
    </xf>
    <xf numFmtId="165" fontId="4" fillId="19" borderId="68" xfId="0" applyNumberFormat="1" applyFont="1" applyFill="1" applyBorder="1" applyAlignment="1">
      <alignment vertical="center"/>
    </xf>
    <xf numFmtId="172" fontId="7" fillId="19" borderId="20" xfId="0" applyNumberFormat="1" applyFont="1" applyFill="1" applyBorder="1" applyAlignment="1">
      <alignment vertical="center"/>
    </xf>
    <xf numFmtId="165" fontId="7" fillId="19" borderId="2" xfId="0" applyNumberFormat="1" applyFont="1" applyFill="1" applyBorder="1" applyAlignment="1">
      <alignment vertical="center"/>
    </xf>
    <xf numFmtId="165" fontId="20" fillId="19" borderId="4" xfId="0" applyNumberFormat="1" applyFont="1" applyFill="1" applyBorder="1" applyAlignment="1">
      <alignment vertical="center"/>
    </xf>
    <xf numFmtId="165" fontId="20" fillId="19" borderId="0" xfId="0" applyNumberFormat="1" applyFont="1" applyFill="1" applyAlignment="1">
      <alignment vertical="center"/>
    </xf>
    <xf numFmtId="165" fontId="20" fillId="19" borderId="2" xfId="0" applyNumberFormat="1" applyFont="1" applyFill="1" applyBorder="1" applyAlignment="1">
      <alignment vertical="center"/>
    </xf>
    <xf numFmtId="165" fontId="4" fillId="19" borderId="59" xfId="0" applyNumberFormat="1" applyFont="1" applyFill="1" applyBorder="1" applyAlignment="1">
      <alignment vertical="center"/>
    </xf>
    <xf numFmtId="165" fontId="4" fillId="19" borderId="4" xfId="0" applyNumberFormat="1" applyFont="1" applyFill="1" applyBorder="1" applyAlignment="1">
      <alignment horizontal="right" vertical="center"/>
    </xf>
    <xf numFmtId="165" fontId="4" fillId="19" borderId="0" xfId="0" applyNumberFormat="1" applyFont="1" applyFill="1" applyAlignment="1">
      <alignment horizontal="right" vertical="center"/>
    </xf>
    <xf numFmtId="165" fontId="4" fillId="19" borderId="2" xfId="0" applyNumberFormat="1" applyFont="1" applyFill="1" applyBorder="1" applyAlignment="1">
      <alignment horizontal="right" vertical="center"/>
    </xf>
    <xf numFmtId="165" fontId="4" fillId="19" borderId="74" xfId="0" applyNumberFormat="1" applyFont="1" applyFill="1" applyBorder="1" applyAlignment="1">
      <alignment vertical="center"/>
    </xf>
    <xf numFmtId="170" fontId="25" fillId="19" borderId="4" xfId="1" applyNumberFormat="1" applyFont="1" applyFill="1" applyBorder="1" applyAlignment="1" applyProtection="1">
      <alignment horizontal="right" vertical="center" wrapText="1"/>
    </xf>
    <xf numFmtId="170" fontId="25" fillId="19" borderId="0" xfId="1" applyNumberFormat="1" applyFont="1" applyFill="1" applyBorder="1" applyAlignment="1" applyProtection="1">
      <alignment horizontal="right" vertical="center" wrapText="1"/>
    </xf>
    <xf numFmtId="170" fontId="25" fillId="19" borderId="2" xfId="1" applyNumberFormat="1" applyFont="1" applyFill="1" applyBorder="1" applyAlignment="1" applyProtection="1">
      <alignment horizontal="right" vertical="center" wrapText="1"/>
    </xf>
    <xf numFmtId="171" fontId="4" fillId="19" borderId="4" xfId="0" applyNumberFormat="1" applyFont="1" applyFill="1" applyBorder="1" applyAlignment="1">
      <alignment horizontal="right" vertical="center"/>
    </xf>
    <xf numFmtId="171" fontId="4" fillId="19" borderId="2" xfId="0" applyNumberFormat="1" applyFont="1" applyFill="1" applyBorder="1" applyAlignment="1">
      <alignment horizontal="right" vertical="center"/>
    </xf>
    <xf numFmtId="171" fontId="7" fillId="19" borderId="20" xfId="0" applyNumberFormat="1" applyFont="1" applyFill="1" applyBorder="1" applyAlignment="1">
      <alignment horizontal="right" vertical="center"/>
    </xf>
    <xf numFmtId="165" fontId="7" fillId="19" borderId="20" xfId="0" applyNumberFormat="1" applyFont="1" applyFill="1" applyBorder="1" applyAlignment="1">
      <alignment horizontal="center" vertical="center"/>
    </xf>
    <xf numFmtId="170" fontId="20" fillId="0" borderId="4" xfId="1" applyNumberFormat="1" applyFont="1" applyFill="1" applyBorder="1" applyAlignment="1" applyProtection="1">
      <alignment horizontal="right" vertical="center"/>
    </xf>
    <xf numFmtId="170" fontId="20" fillId="0" borderId="0" xfId="1" applyNumberFormat="1" applyFont="1" applyFill="1" applyBorder="1" applyAlignment="1" applyProtection="1">
      <alignment horizontal="right" vertical="center"/>
    </xf>
    <xf numFmtId="170" fontId="20" fillId="0" borderId="2" xfId="1" applyNumberFormat="1" applyFont="1" applyFill="1" applyBorder="1" applyAlignment="1" applyProtection="1">
      <alignment horizontal="right" vertical="center"/>
    </xf>
    <xf numFmtId="171" fontId="25" fillId="19" borderId="4" xfId="1" applyNumberFormat="1" applyFont="1" applyFill="1" applyBorder="1" applyAlignment="1" applyProtection="1">
      <alignment horizontal="right" vertical="center" wrapText="1"/>
    </xf>
    <xf numFmtId="171" fontId="25" fillId="19" borderId="0" xfId="1" applyNumberFormat="1" applyFont="1" applyFill="1" applyBorder="1" applyAlignment="1" applyProtection="1">
      <alignment horizontal="right" vertical="center" wrapText="1"/>
    </xf>
    <xf numFmtId="171" fontId="25" fillId="19" borderId="2" xfId="1" applyNumberFormat="1" applyFont="1" applyFill="1" applyBorder="1" applyAlignment="1" applyProtection="1">
      <alignment horizontal="right" vertical="center" wrapText="1"/>
    </xf>
    <xf numFmtId="165" fontId="23" fillId="19" borderId="2" xfId="1" applyNumberFormat="1" applyFont="1" applyFill="1" applyBorder="1" applyAlignment="1" applyProtection="1">
      <alignment horizontal="right" vertical="center" wrapText="1"/>
    </xf>
    <xf numFmtId="165" fontId="4" fillId="0" borderId="71" xfId="0" applyNumberFormat="1" applyFont="1" applyBorder="1" applyAlignment="1">
      <alignment vertical="center"/>
    </xf>
    <xf numFmtId="165" fontId="4" fillId="0" borderId="72" xfId="0" applyNumberFormat="1" applyFont="1" applyBorder="1" applyAlignment="1">
      <alignment vertical="center"/>
    </xf>
    <xf numFmtId="170" fontId="23" fillId="19" borderId="19" xfId="1" applyNumberFormat="1" applyFont="1" applyFill="1" applyBorder="1" applyAlignment="1" applyProtection="1">
      <alignment horizontal="right" vertical="center" wrapText="1"/>
    </xf>
    <xf numFmtId="165" fontId="4" fillId="19" borderId="19" xfId="0" applyNumberFormat="1" applyFont="1" applyFill="1" applyBorder="1" applyAlignment="1">
      <alignment vertical="center"/>
    </xf>
    <xf numFmtId="170" fontId="23" fillId="19" borderId="27" xfId="1" applyNumberFormat="1" applyFont="1" applyFill="1" applyBorder="1" applyAlignment="1" applyProtection="1">
      <alignment horizontal="right" vertical="center" wrapText="1"/>
    </xf>
    <xf numFmtId="0" fontId="4" fillId="5" borderId="27" xfId="0" applyNumberFormat="1" applyFont="1" applyFill="1" applyBorder="1" applyAlignment="1">
      <alignment vertical="center" wrapText="1"/>
    </xf>
    <xf numFmtId="0" fontId="4" fillId="5" borderId="22" xfId="0" applyNumberFormat="1" applyFont="1" applyFill="1" applyBorder="1" applyAlignment="1">
      <alignment vertical="center" wrapText="1"/>
    </xf>
    <xf numFmtId="0" fontId="4" fillId="5" borderId="19" xfId="0" applyNumberFormat="1" applyFont="1" applyFill="1" applyBorder="1" applyAlignment="1">
      <alignment vertical="center" wrapText="1"/>
    </xf>
    <xf numFmtId="0" fontId="4" fillId="5" borderId="19" xfId="0" applyNumberFormat="1" applyFont="1" applyFill="1" applyBorder="1" applyAlignment="1">
      <alignment vertical="center"/>
    </xf>
    <xf numFmtId="0" fontId="7" fillId="0" borderId="0" xfId="0" applyNumberFormat="1" applyFont="1" applyAlignment="1">
      <alignment horizontal="center" vertical="center"/>
    </xf>
    <xf numFmtId="14" fontId="4" fillId="5" borderId="30" xfId="0" applyNumberFormat="1" applyFont="1" applyFill="1" applyBorder="1" applyAlignment="1">
      <alignment horizontal="center" vertical="center" wrapText="1"/>
    </xf>
    <xf numFmtId="0" fontId="4" fillId="0" borderId="0" xfId="0" applyNumberFormat="1" applyFont="1" applyAlignment="1">
      <alignment horizontal="center" vertical="center" wrapText="1"/>
    </xf>
    <xf numFmtId="0" fontId="4" fillId="5" borderId="30" xfId="0" applyNumberFormat="1" applyFont="1" applyFill="1" applyBorder="1" applyAlignment="1">
      <alignment horizontal="center" vertical="center" wrapText="1"/>
    </xf>
    <xf numFmtId="0" fontId="4" fillId="5" borderId="30" xfId="0" applyNumberFormat="1" applyFont="1" applyFill="1" applyBorder="1" applyAlignment="1">
      <alignment horizontal="center" vertical="center"/>
    </xf>
    <xf numFmtId="14" fontId="4" fillId="5" borderId="31" xfId="0" applyNumberFormat="1" applyFont="1" applyFill="1" applyBorder="1" applyAlignment="1">
      <alignment horizontal="center" vertical="center" wrapText="1"/>
    </xf>
    <xf numFmtId="0" fontId="4" fillId="5" borderId="31" xfId="0" applyNumberFormat="1" applyFont="1" applyFill="1" applyBorder="1" applyAlignment="1">
      <alignment horizontal="center" vertical="center" wrapText="1"/>
    </xf>
    <xf numFmtId="14" fontId="4" fillId="5" borderId="29" xfId="0" applyNumberFormat="1" applyFont="1" applyFill="1" applyBorder="1" applyAlignment="1">
      <alignment horizontal="center" vertical="center" wrapText="1"/>
    </xf>
    <xf numFmtId="0" fontId="4" fillId="5" borderId="29" xfId="0" applyNumberFormat="1" applyFont="1" applyFill="1" applyBorder="1" applyAlignment="1">
      <alignment horizontal="center" vertical="center" wrapText="1"/>
    </xf>
    <xf numFmtId="0" fontId="4" fillId="3" borderId="22" xfId="0" applyNumberFormat="1" applyFont="1" applyFill="1" applyBorder="1" applyAlignment="1">
      <alignment horizontal="center" vertical="center" wrapText="1"/>
    </xf>
    <xf numFmtId="0" fontId="4" fillId="3" borderId="19" xfId="0" applyNumberFormat="1" applyFont="1" applyFill="1" applyBorder="1" applyAlignment="1">
      <alignment horizontal="center" vertical="center"/>
    </xf>
    <xf numFmtId="0" fontId="4" fillId="3" borderId="19" xfId="0" applyNumberFormat="1" applyFont="1" applyFill="1" applyBorder="1" applyAlignment="1">
      <alignment horizontal="center" vertical="center" wrapText="1"/>
    </xf>
    <xf numFmtId="0" fontId="4" fillId="3" borderId="27" xfId="0" applyNumberFormat="1" applyFont="1" applyFill="1" applyBorder="1" applyAlignment="1">
      <alignment horizontal="center" vertical="center" wrapText="1"/>
    </xf>
    <xf numFmtId="0" fontId="4" fillId="3" borderId="22" xfId="0" applyNumberFormat="1" applyFont="1" applyFill="1" applyBorder="1" applyAlignment="1">
      <alignment vertical="center" wrapText="1"/>
    </xf>
    <xf numFmtId="0" fontId="4" fillId="3" borderId="19" xfId="0" applyNumberFormat="1" applyFont="1" applyFill="1" applyBorder="1" applyAlignment="1">
      <alignment vertical="center"/>
    </xf>
    <xf numFmtId="0" fontId="4" fillId="3" borderId="19" xfId="0" applyNumberFormat="1" applyFont="1" applyFill="1" applyBorder="1" applyAlignment="1">
      <alignment vertical="center" wrapText="1"/>
    </xf>
    <xf numFmtId="0" fontId="4" fillId="3" borderId="27" xfId="0" applyNumberFormat="1" applyFont="1" applyFill="1" applyBorder="1" applyAlignment="1">
      <alignment vertical="center" wrapText="1"/>
    </xf>
    <xf numFmtId="14" fontId="4" fillId="3" borderId="19" xfId="0" applyNumberFormat="1" applyFont="1" applyFill="1" applyBorder="1" applyAlignment="1">
      <alignment horizontal="center" vertical="center" wrapText="1"/>
    </xf>
    <xf numFmtId="14" fontId="4" fillId="3" borderId="22" xfId="0" applyNumberFormat="1" applyFont="1" applyFill="1" applyBorder="1" applyAlignment="1">
      <alignment horizontal="center" vertical="center" wrapText="1"/>
    </xf>
    <xf numFmtId="14" fontId="4" fillId="3" borderId="27" xfId="0" applyNumberFormat="1" applyFont="1" applyFill="1" applyBorder="1" applyAlignment="1">
      <alignment horizontal="center" vertical="center" wrapText="1"/>
    </xf>
    <xf numFmtId="165" fontId="57" fillId="0" borderId="0" xfId="0" applyNumberFormat="1" applyFont="1" applyAlignment="1">
      <alignment vertical="center"/>
    </xf>
    <xf numFmtId="172" fontId="20" fillId="0" borderId="4" xfId="0" quotePrefix="1" applyNumberFormat="1" applyFont="1" applyBorder="1" applyAlignment="1">
      <alignment vertical="center"/>
    </xf>
    <xf numFmtId="172" fontId="20" fillId="0" borderId="4" xfId="0" applyNumberFormat="1" applyFont="1" applyBorder="1" applyAlignment="1">
      <alignment vertical="center"/>
    </xf>
    <xf numFmtId="172" fontId="20" fillId="0" borderId="0" xfId="0" applyNumberFormat="1" applyFont="1" applyAlignment="1">
      <alignment vertical="center"/>
    </xf>
    <xf numFmtId="172" fontId="20" fillId="0" borderId="2" xfId="0" applyNumberFormat="1" applyFont="1" applyBorder="1" applyAlignment="1">
      <alignment vertical="center"/>
    </xf>
    <xf numFmtId="165" fontId="24" fillId="0" borderId="4" xfId="0" applyNumberFormat="1" applyFont="1" applyBorder="1" applyAlignment="1">
      <alignment horizontal="center" vertical="center"/>
    </xf>
    <xf numFmtId="165" fontId="24" fillId="7" borderId="20" xfId="0" applyNumberFormat="1" applyFont="1" applyFill="1" applyBorder="1" applyAlignment="1">
      <alignment vertical="center"/>
    </xf>
    <xf numFmtId="14" fontId="4" fillId="3" borderId="32" xfId="0" applyNumberFormat="1" applyFont="1" applyFill="1" applyBorder="1" applyAlignment="1">
      <alignment horizontal="center" vertical="center" wrapText="1"/>
    </xf>
    <xf numFmtId="0" fontId="4" fillId="3" borderId="32" xfId="0" applyNumberFormat="1" applyFont="1" applyFill="1" applyBorder="1" applyAlignment="1">
      <alignment horizontal="center" vertical="center" wrapText="1"/>
    </xf>
    <xf numFmtId="0" fontId="4" fillId="3" borderId="32" xfId="0" applyNumberFormat="1" applyFont="1" applyFill="1" applyBorder="1" applyAlignment="1">
      <alignment vertical="center" wrapText="1"/>
    </xf>
    <xf numFmtId="14" fontId="4" fillId="5" borderId="28" xfId="0" applyNumberFormat="1" applyFont="1" applyFill="1" applyBorder="1" applyAlignment="1">
      <alignment horizontal="center" vertical="center" wrapText="1"/>
    </xf>
    <xf numFmtId="0" fontId="4" fillId="5" borderId="28" xfId="0" applyNumberFormat="1" applyFont="1" applyFill="1" applyBorder="1" applyAlignment="1">
      <alignment horizontal="center" vertical="center" wrapText="1"/>
    </xf>
    <xf numFmtId="0" fontId="4" fillId="5" borderId="32" xfId="0" applyNumberFormat="1" applyFont="1" applyFill="1" applyBorder="1" applyAlignment="1">
      <alignment vertical="center" wrapText="1"/>
    </xf>
    <xf numFmtId="165" fontId="4" fillId="0" borderId="73" xfId="0" applyNumberFormat="1" applyFont="1" applyBorder="1" applyAlignment="1">
      <alignment vertical="center"/>
    </xf>
    <xf numFmtId="177" fontId="16" fillId="0" borderId="0" xfId="0" applyNumberFormat="1" applyFont="1" applyAlignment="1">
      <alignment vertical="center"/>
    </xf>
    <xf numFmtId="165" fontId="16" fillId="0" borderId="4" xfId="0" applyNumberFormat="1" applyFont="1" applyBorder="1" applyAlignment="1">
      <alignment horizontal="center" vertical="center"/>
    </xf>
    <xf numFmtId="165" fontId="16" fillId="19" borderId="4" xfId="0" applyNumberFormat="1" applyFont="1" applyFill="1" applyBorder="1" applyAlignment="1">
      <alignment vertical="center"/>
    </xf>
    <xf numFmtId="171" fontId="16" fillId="0" borderId="4" xfId="0" applyNumberFormat="1" applyFont="1" applyBorder="1" applyAlignment="1">
      <alignment vertical="center"/>
    </xf>
    <xf numFmtId="165" fontId="16" fillId="0" borderId="2" xfId="0" applyNumberFormat="1" applyFont="1" applyBorder="1" applyAlignment="1">
      <alignment horizontal="center" vertical="center"/>
    </xf>
    <xf numFmtId="165" fontId="16" fillId="19" borderId="2" xfId="0" applyNumberFormat="1" applyFont="1" applyFill="1" applyBorder="1" applyAlignment="1">
      <alignment vertical="center"/>
    </xf>
    <xf numFmtId="171" fontId="16" fillId="0" borderId="2" xfId="0" applyNumberFormat="1" applyFont="1" applyBorder="1" applyAlignment="1">
      <alignment vertical="center"/>
    </xf>
    <xf numFmtId="165" fontId="25" fillId="0" borderId="4" xfId="0" applyNumberFormat="1" applyFont="1" applyBorder="1" applyAlignment="1">
      <alignment horizontal="center" vertical="center"/>
    </xf>
    <xf numFmtId="165" fontId="17" fillId="22" borderId="1" xfId="0" applyNumberFormat="1" applyFont="1" applyFill="1" applyBorder="1" applyAlignment="1">
      <alignment vertical="center"/>
    </xf>
    <xf numFmtId="165" fontId="9" fillId="22" borderId="2" xfId="0" applyNumberFormat="1" applyFont="1" applyFill="1" applyBorder="1" applyAlignment="1">
      <alignment vertical="center"/>
    </xf>
    <xf numFmtId="165" fontId="17" fillId="22" borderId="2" xfId="0" applyNumberFormat="1" applyFont="1" applyFill="1" applyBorder="1" applyAlignment="1">
      <alignment vertical="center"/>
    </xf>
    <xf numFmtId="165" fontId="17" fillId="22" borderId="0" xfId="0" applyNumberFormat="1" applyFont="1" applyFill="1" applyAlignment="1">
      <alignment horizontal="center" vertical="center"/>
    </xf>
    <xf numFmtId="165" fontId="17" fillId="22" borderId="18" xfId="0" applyNumberFormat="1" applyFont="1" applyFill="1" applyBorder="1" applyAlignment="1">
      <alignment horizontal="center" vertical="center"/>
    </xf>
    <xf numFmtId="165" fontId="17" fillId="22" borderId="3" xfId="0" applyNumberFormat="1" applyFont="1" applyFill="1" applyBorder="1" applyAlignment="1">
      <alignment horizontal="center" vertical="center"/>
    </xf>
    <xf numFmtId="165" fontId="17" fillId="22" borderId="0" xfId="0" applyNumberFormat="1" applyFont="1" applyFill="1" applyAlignment="1">
      <alignment vertical="center"/>
    </xf>
    <xf numFmtId="165" fontId="17" fillId="22" borderId="17" xfId="0" applyNumberFormat="1" applyFont="1" applyFill="1" applyBorder="1" applyAlignment="1">
      <alignment vertical="center"/>
    </xf>
    <xf numFmtId="165" fontId="9" fillId="22" borderId="0" xfId="0" applyNumberFormat="1" applyFont="1" applyFill="1" applyAlignment="1">
      <alignment vertical="center"/>
    </xf>
    <xf numFmtId="165" fontId="18" fillId="22" borderId="0" xfId="0" applyNumberFormat="1" applyFont="1" applyFill="1" applyAlignment="1">
      <alignment vertical="center"/>
    </xf>
    <xf numFmtId="165" fontId="17" fillId="22" borderId="3" xfId="0" applyNumberFormat="1" applyFont="1" applyFill="1" applyBorder="1" applyAlignment="1">
      <alignment vertical="center"/>
    </xf>
    <xf numFmtId="164" fontId="14" fillId="22" borderId="5" xfId="0" applyFont="1" applyFill="1" applyBorder="1" applyAlignment="1">
      <alignment vertical="center"/>
    </xf>
    <xf numFmtId="164" fontId="13" fillId="22" borderId="6" xfId="0" applyFont="1" applyFill="1" applyBorder="1" applyAlignment="1">
      <alignment vertical="center"/>
    </xf>
    <xf numFmtId="164" fontId="13" fillId="22" borderId="7" xfId="0" applyFont="1" applyFill="1" applyBorder="1" applyAlignment="1">
      <alignment vertical="center"/>
    </xf>
    <xf numFmtId="165" fontId="18" fillId="22" borderId="0" xfId="0" applyNumberFormat="1" applyFont="1" applyFill="1" applyAlignment="1">
      <alignment horizontal="center" vertical="center"/>
    </xf>
    <xf numFmtId="165" fontId="17" fillId="22" borderId="3" xfId="0" applyNumberFormat="1" applyFont="1" applyFill="1" applyBorder="1" applyAlignment="1">
      <alignment horizontal="centerContinuous" vertical="center"/>
    </xf>
    <xf numFmtId="165" fontId="17" fillId="22" borderId="17" xfId="0" applyNumberFormat="1" applyFont="1" applyFill="1" applyBorder="1" applyAlignment="1">
      <alignment horizontal="center" vertical="center"/>
    </xf>
    <xf numFmtId="165" fontId="4" fillId="22" borderId="0" xfId="0" applyNumberFormat="1" applyFont="1" applyFill="1" applyAlignment="1">
      <alignment vertical="center"/>
    </xf>
    <xf numFmtId="165" fontId="17" fillId="22" borderId="2" xfId="0" applyNumberFormat="1" applyFont="1" applyFill="1" applyBorder="1" applyAlignment="1">
      <alignment horizontal="center" vertical="center"/>
    </xf>
    <xf numFmtId="165" fontId="53" fillId="22" borderId="3" xfId="0" applyNumberFormat="1" applyFont="1" applyFill="1" applyBorder="1" applyAlignment="1">
      <alignment horizontal="centerContinuous" vertical="center"/>
    </xf>
    <xf numFmtId="165" fontId="17" fillId="22" borderId="1" xfId="0" applyNumberFormat="1" applyFont="1" applyFill="1" applyBorder="1" applyAlignment="1">
      <alignment horizontal="center" vertical="center"/>
    </xf>
    <xf numFmtId="165" fontId="17" fillId="22" borderId="0" xfId="0" applyNumberFormat="1" applyFont="1" applyFill="1" applyAlignment="1">
      <alignment horizontal="right" vertical="center"/>
    </xf>
    <xf numFmtId="172" fontId="7" fillId="0" borderId="68" xfId="0" applyNumberFormat="1" applyFont="1" applyBorder="1" applyAlignment="1">
      <alignment vertical="center"/>
    </xf>
    <xf numFmtId="172" fontId="4" fillId="5" borderId="39" xfId="1" applyNumberFormat="1" applyFont="1" applyFill="1" applyBorder="1" applyAlignment="1" applyProtection="1">
      <alignment vertical="center"/>
    </xf>
    <xf numFmtId="172" fontId="4" fillId="5" borderId="40" xfId="1" applyNumberFormat="1" applyFont="1" applyFill="1" applyBorder="1" applyAlignment="1" applyProtection="1">
      <alignment vertical="center"/>
    </xf>
    <xf numFmtId="172" fontId="4" fillId="5" borderId="76" xfId="1" applyNumberFormat="1" applyFont="1" applyFill="1" applyBorder="1" applyAlignment="1" applyProtection="1">
      <alignment vertical="center"/>
    </xf>
    <xf numFmtId="170" fontId="25" fillId="19" borderId="11" xfId="1" applyNumberFormat="1" applyFont="1" applyFill="1" applyBorder="1" applyAlignment="1" applyProtection="1">
      <alignment horizontal="right" vertical="center" wrapText="1"/>
    </xf>
    <xf numFmtId="170" fontId="25" fillId="19" borderId="12" xfId="1" applyNumberFormat="1" applyFont="1" applyFill="1" applyBorder="1" applyAlignment="1" applyProtection="1">
      <alignment horizontal="right" vertical="center" wrapText="1"/>
    </xf>
    <xf numFmtId="170" fontId="25" fillId="19" borderId="13" xfId="1" applyNumberFormat="1" applyFont="1" applyFill="1" applyBorder="1" applyAlignment="1" applyProtection="1">
      <alignment horizontal="right" vertical="center" wrapText="1"/>
    </xf>
    <xf numFmtId="170" fontId="25" fillId="19" borderId="14" xfId="1" applyNumberFormat="1" applyFont="1" applyFill="1" applyBorder="1" applyAlignment="1" applyProtection="1">
      <alignment horizontal="right" vertical="center" wrapText="1"/>
    </xf>
    <xf numFmtId="170" fontId="25" fillId="19" borderId="15" xfId="1" applyNumberFormat="1" applyFont="1" applyFill="1" applyBorder="1" applyAlignment="1" applyProtection="1">
      <alignment horizontal="right" vertical="center" wrapText="1"/>
    </xf>
    <xf numFmtId="170" fontId="25" fillId="19" borderId="16" xfId="1" applyNumberFormat="1" applyFont="1" applyFill="1" applyBorder="1" applyAlignment="1" applyProtection="1">
      <alignment horizontal="right" vertical="center" wrapText="1"/>
    </xf>
    <xf numFmtId="165" fontId="25" fillId="19" borderId="0" xfId="1" applyNumberFormat="1" applyFont="1" applyFill="1" applyBorder="1" applyAlignment="1" applyProtection="1">
      <alignment horizontal="right" vertical="center" wrapText="1"/>
    </xf>
    <xf numFmtId="165" fontId="25" fillId="19" borderId="4" xfId="1" applyNumberFormat="1" applyFont="1" applyFill="1" applyBorder="1" applyAlignment="1" applyProtection="1">
      <alignment horizontal="right" vertical="center" wrapText="1"/>
    </xf>
    <xf numFmtId="165" fontId="25" fillId="19" borderId="2" xfId="1" applyNumberFormat="1" applyFont="1" applyFill="1" applyBorder="1" applyAlignment="1" applyProtection="1">
      <alignment horizontal="right" vertical="center" wrapText="1"/>
    </xf>
    <xf numFmtId="165" fontId="25" fillId="0" borderId="0" xfId="0" applyNumberFormat="1" applyFont="1" applyAlignment="1">
      <alignment horizontal="right" vertical="center"/>
    </xf>
    <xf numFmtId="165" fontId="25" fillId="19" borderId="4" xfId="0" applyNumberFormat="1" applyFont="1" applyFill="1" applyBorder="1" applyAlignment="1">
      <alignment vertical="center"/>
    </xf>
    <xf numFmtId="170" fontId="23" fillId="19" borderId="54" xfId="1" applyNumberFormat="1" applyFont="1" applyFill="1" applyBorder="1" applyAlignment="1" applyProtection="1">
      <alignment horizontal="right" vertical="center" wrapText="1"/>
    </xf>
    <xf numFmtId="170" fontId="23" fillId="19" borderId="55" xfId="1" applyNumberFormat="1" applyFont="1" applyFill="1" applyBorder="1" applyAlignment="1" applyProtection="1">
      <alignment horizontal="right" vertical="center" wrapText="1"/>
    </xf>
    <xf numFmtId="170" fontId="23" fillId="19" borderId="56" xfId="1" applyNumberFormat="1" applyFont="1" applyFill="1" applyBorder="1" applyAlignment="1" applyProtection="1">
      <alignment horizontal="right" vertical="center" wrapText="1"/>
    </xf>
    <xf numFmtId="164" fontId="0" fillId="19" borderId="0" xfId="0" applyFill="1" applyAlignment="1">
      <alignment horizontal="center"/>
    </xf>
    <xf numFmtId="165" fontId="4" fillId="21" borderId="2" xfId="0" applyNumberFormat="1" applyFont="1" applyFill="1" applyBorder="1" applyAlignment="1">
      <alignment vertical="center"/>
    </xf>
    <xf numFmtId="165" fontId="4" fillId="23" borderId="19" xfId="0" applyNumberFormat="1" applyFont="1" applyFill="1" applyBorder="1" applyAlignment="1">
      <alignment vertical="center"/>
    </xf>
    <xf numFmtId="165" fontId="25" fillId="19" borderId="13" xfId="1" applyNumberFormat="1" applyFont="1" applyFill="1" applyBorder="1" applyAlignment="1" applyProtection="1">
      <alignment horizontal="right" vertical="center" wrapText="1"/>
    </xf>
    <xf numFmtId="165" fontId="25" fillId="19" borderId="11" xfId="1" applyNumberFormat="1" applyFont="1" applyFill="1" applyBorder="1" applyAlignment="1" applyProtection="1">
      <alignment horizontal="right" vertical="center" wrapText="1"/>
    </xf>
    <xf numFmtId="165" fontId="23" fillId="19" borderId="20" xfId="1" applyNumberFormat="1" applyFont="1" applyFill="1" applyBorder="1" applyAlignment="1" applyProtection="1">
      <alignment horizontal="right" vertical="center" wrapText="1"/>
    </xf>
    <xf numFmtId="178" fontId="4" fillId="0" borderId="0" xfId="0" applyNumberFormat="1" applyFont="1" applyAlignment="1">
      <alignment vertical="center"/>
    </xf>
    <xf numFmtId="165" fontId="4" fillId="19" borderId="77" xfId="0" applyNumberFormat="1" applyFont="1" applyFill="1" applyBorder="1" applyAlignment="1">
      <alignment vertical="center"/>
    </xf>
    <xf numFmtId="165" fontId="4" fillId="3" borderId="30" xfId="0" applyNumberFormat="1" applyFont="1" applyFill="1" applyBorder="1" applyAlignment="1">
      <alignment vertical="center"/>
    </xf>
    <xf numFmtId="165" fontId="20" fillId="0" borderId="0" xfId="0" applyNumberFormat="1" applyFont="1" applyAlignment="1">
      <alignment horizontal="right" vertical="center"/>
    </xf>
    <xf numFmtId="165" fontId="20" fillId="0" borderId="4" xfId="0" applyNumberFormat="1" applyFont="1" applyBorder="1" applyAlignment="1">
      <alignment horizontal="right" vertical="center"/>
    </xf>
    <xf numFmtId="178" fontId="23" fillId="0" borderId="0" xfId="1" applyNumberFormat="1" applyFont="1" applyFill="1" applyBorder="1" applyAlignment="1" applyProtection="1">
      <alignment horizontal="right" vertical="center" wrapText="1"/>
    </xf>
    <xf numFmtId="178" fontId="7" fillId="0" borderId="0" xfId="0" applyNumberFormat="1" applyFont="1" applyAlignment="1">
      <alignment horizontal="right" vertical="center"/>
    </xf>
    <xf numFmtId="165" fontId="7" fillId="0" borderId="0" xfId="0" applyNumberFormat="1" applyFont="1" applyAlignment="1">
      <alignment horizontal="left" vertical="center"/>
    </xf>
    <xf numFmtId="165" fontId="7" fillId="0" borderId="74" xfId="0" applyNumberFormat="1" applyFont="1" applyBorder="1" applyAlignment="1">
      <alignment vertical="center"/>
    </xf>
    <xf numFmtId="165" fontId="23" fillId="0" borderId="0" xfId="1" applyNumberFormat="1" applyFont="1" applyFill="1" applyBorder="1" applyAlignment="1" applyProtection="1">
      <alignment horizontal="right" vertical="center" wrapText="1"/>
    </xf>
    <xf numFmtId="170" fontId="4" fillId="0" borderId="0" xfId="1" applyNumberFormat="1" applyFont="1" applyFill="1" applyBorder="1" applyAlignment="1" applyProtection="1">
      <alignment vertical="center"/>
    </xf>
    <xf numFmtId="165" fontId="4" fillId="0" borderId="19" xfId="0" applyNumberFormat="1" applyFont="1" applyBorder="1" applyAlignment="1">
      <alignment vertical="center"/>
    </xf>
    <xf numFmtId="179" fontId="4" fillId="0" borderId="0" xfId="0" applyNumberFormat="1" applyFont="1" applyAlignment="1">
      <alignment vertical="center"/>
    </xf>
    <xf numFmtId="165" fontId="4" fillId="3" borderId="77" xfId="0" applyNumberFormat="1" applyFont="1" applyFill="1" applyBorder="1" applyAlignment="1">
      <alignment vertical="center"/>
    </xf>
    <xf numFmtId="165" fontId="4" fillId="3" borderId="36" xfId="0" applyNumberFormat="1" applyFont="1" applyFill="1" applyBorder="1" applyAlignment="1">
      <alignment vertical="center"/>
    </xf>
    <xf numFmtId="165" fontId="7" fillId="0" borderId="11" xfId="0" applyNumberFormat="1" applyFont="1" applyBorder="1" applyAlignment="1">
      <alignment vertical="center"/>
    </xf>
    <xf numFmtId="165" fontId="7" fillId="0" borderId="13" xfId="0" applyNumberFormat="1" applyFont="1" applyBorder="1" applyAlignment="1">
      <alignment vertical="center"/>
    </xf>
    <xf numFmtId="165" fontId="7" fillId="0" borderId="15" xfId="0" applyNumberFormat="1" applyFont="1" applyBorder="1" applyAlignment="1">
      <alignment vertical="center"/>
    </xf>
    <xf numFmtId="165" fontId="4" fillId="5" borderId="0" xfId="0" applyNumberFormat="1" applyFont="1" applyFill="1" applyAlignment="1">
      <alignment horizontal="left" vertical="center"/>
    </xf>
    <xf numFmtId="165" fontId="4" fillId="5" borderId="4" xfId="0" applyNumberFormat="1" applyFont="1" applyFill="1" applyBorder="1" applyAlignment="1">
      <alignment horizontal="left" vertical="center"/>
    </xf>
    <xf numFmtId="165" fontId="4" fillId="5" borderId="2" xfId="0" applyNumberFormat="1" applyFont="1" applyFill="1" applyBorder="1" applyAlignment="1">
      <alignment horizontal="left" vertical="center"/>
    </xf>
    <xf numFmtId="165" fontId="7" fillId="19" borderId="4" xfId="0" applyNumberFormat="1" applyFont="1" applyFill="1" applyBorder="1" applyAlignment="1">
      <alignment vertical="center"/>
    </xf>
    <xf numFmtId="165" fontId="4" fillId="21" borderId="4" xfId="0" applyNumberFormat="1" applyFont="1" applyFill="1" applyBorder="1" applyAlignment="1">
      <alignment vertical="center"/>
    </xf>
    <xf numFmtId="9" fontId="4" fillId="19" borderId="0" xfId="1" applyFont="1" applyFill="1" applyBorder="1" applyAlignment="1" applyProtection="1">
      <alignment vertical="center"/>
    </xf>
    <xf numFmtId="178" fontId="7" fillId="0" borderId="2" xfId="0" applyNumberFormat="1" applyFont="1" applyBorder="1" applyAlignment="1">
      <alignment vertical="center"/>
    </xf>
    <xf numFmtId="180" fontId="4" fillId="0" borderId="0" xfId="0" applyNumberFormat="1" applyFont="1" applyAlignment="1">
      <alignment vertical="center"/>
    </xf>
    <xf numFmtId="172" fontId="4" fillId="19" borderId="2" xfId="0" applyNumberFormat="1" applyFont="1" applyFill="1" applyBorder="1" applyAlignment="1">
      <alignment vertical="center"/>
    </xf>
    <xf numFmtId="165" fontId="4" fillId="0" borderId="2" xfId="0" quotePrefix="1" applyNumberFormat="1" applyFont="1" applyBorder="1" applyAlignment="1">
      <alignment horizontal="center" vertical="center"/>
    </xf>
    <xf numFmtId="0" fontId="4" fillId="5" borderId="26" xfId="0" applyNumberFormat="1" applyFont="1" applyFill="1" applyBorder="1" applyAlignment="1">
      <alignment horizontal="left" vertical="center"/>
    </xf>
    <xf numFmtId="171" fontId="4" fillId="21" borderId="0" xfId="0" applyNumberFormat="1" applyFont="1" applyFill="1" applyAlignment="1">
      <alignment vertical="center"/>
    </xf>
    <xf numFmtId="171" fontId="4" fillId="21" borderId="71" xfId="0" applyNumberFormat="1" applyFont="1" applyFill="1" applyBorder="1" applyAlignment="1">
      <alignment vertical="center"/>
    </xf>
    <xf numFmtId="171" fontId="4" fillId="21" borderId="72" xfId="0" applyNumberFormat="1" applyFont="1" applyFill="1" applyBorder="1" applyAlignment="1">
      <alignment vertical="center"/>
    </xf>
    <xf numFmtId="171" fontId="4" fillId="21" borderId="4" xfId="0" applyNumberFormat="1" applyFont="1" applyFill="1" applyBorder="1" applyAlignment="1">
      <alignment vertical="center"/>
    </xf>
    <xf numFmtId="165" fontId="4" fillId="0" borderId="22" xfId="0" applyNumberFormat="1" applyFont="1" applyBorder="1" applyAlignment="1">
      <alignment vertical="center"/>
    </xf>
    <xf numFmtId="165" fontId="4" fillId="6" borderId="0" xfId="0" applyNumberFormat="1" applyFont="1" applyFill="1" applyAlignment="1">
      <alignment vertical="center"/>
    </xf>
    <xf numFmtId="171" fontId="4" fillId="21" borderId="65" xfId="0" applyNumberFormat="1" applyFont="1" applyFill="1" applyBorder="1" applyAlignment="1">
      <alignment vertical="center"/>
    </xf>
    <xf numFmtId="171" fontId="4" fillId="21" borderId="66" xfId="0" applyNumberFormat="1" applyFont="1" applyFill="1" applyBorder="1" applyAlignment="1">
      <alignment vertical="center"/>
    </xf>
    <xf numFmtId="165" fontId="4" fillId="19" borderId="62" xfId="0" applyNumberFormat="1" applyFont="1" applyFill="1" applyBorder="1" applyAlignment="1">
      <alignment vertical="center"/>
    </xf>
    <xf numFmtId="165" fontId="4" fillId="19" borderId="63" xfId="0" applyNumberFormat="1" applyFont="1" applyFill="1" applyBorder="1" applyAlignment="1">
      <alignment vertical="center"/>
    </xf>
    <xf numFmtId="165" fontId="4" fillId="19" borderId="64" xfId="0" applyNumberFormat="1" applyFont="1" applyFill="1" applyBorder="1" applyAlignment="1">
      <alignment vertical="center"/>
    </xf>
    <xf numFmtId="165" fontId="4" fillId="19" borderId="71" xfId="0" applyNumberFormat="1" applyFont="1" applyFill="1" applyBorder="1" applyAlignment="1">
      <alignment vertical="center"/>
    </xf>
    <xf numFmtId="165" fontId="4" fillId="19" borderId="72" xfId="0" applyNumberFormat="1" applyFont="1" applyFill="1" applyBorder="1" applyAlignment="1">
      <alignment vertical="center"/>
    </xf>
    <xf numFmtId="165" fontId="4" fillId="19" borderId="73" xfId="0" applyNumberFormat="1" applyFont="1" applyFill="1" applyBorder="1" applyAlignment="1">
      <alignment vertical="center"/>
    </xf>
    <xf numFmtId="172" fontId="4" fillId="21" borderId="0" xfId="0" applyNumberFormat="1" applyFont="1" applyFill="1" applyAlignment="1">
      <alignment vertical="center"/>
    </xf>
    <xf numFmtId="165" fontId="4" fillId="19" borderId="65" xfId="0" applyNumberFormat="1" applyFont="1" applyFill="1" applyBorder="1" applyAlignment="1">
      <alignment vertical="center"/>
    </xf>
    <xf numFmtId="165" fontId="4" fillId="19" borderId="66" xfId="0" applyNumberFormat="1" applyFont="1" applyFill="1" applyBorder="1" applyAlignment="1">
      <alignment vertical="center"/>
    </xf>
    <xf numFmtId="170" fontId="25" fillId="19" borderId="54" xfId="1" applyNumberFormat="1" applyFont="1" applyFill="1" applyBorder="1" applyAlignment="1" applyProtection="1">
      <alignment horizontal="right" vertical="center" wrapText="1"/>
    </xf>
    <xf numFmtId="170" fontId="25" fillId="19" borderId="55" xfId="1" applyNumberFormat="1" applyFont="1" applyFill="1" applyBorder="1" applyAlignment="1" applyProtection="1">
      <alignment horizontal="right" vertical="center" wrapText="1"/>
    </xf>
    <xf numFmtId="170" fontId="25" fillId="19" borderId="56" xfId="1" applyNumberFormat="1" applyFont="1" applyFill="1" applyBorder="1" applyAlignment="1" applyProtection="1">
      <alignment horizontal="right" vertical="center" wrapText="1"/>
    </xf>
    <xf numFmtId="165" fontId="4" fillId="7" borderId="0" xfId="0" applyNumberFormat="1" applyFont="1" applyFill="1" applyAlignment="1">
      <alignment vertical="center"/>
    </xf>
    <xf numFmtId="170" fontId="4" fillId="0" borderId="0" xfId="1" applyNumberFormat="1" applyFont="1" applyAlignment="1" applyProtection="1">
      <alignment vertical="center"/>
    </xf>
    <xf numFmtId="165" fontId="7" fillId="21" borderId="0" xfId="0" applyNumberFormat="1" applyFont="1" applyFill="1" applyAlignment="1">
      <alignment vertical="center"/>
    </xf>
    <xf numFmtId="167" fontId="20" fillId="5" borderId="78" xfId="0" quotePrefix="1" applyNumberFormat="1" applyFont="1" applyFill="1" applyBorder="1" applyAlignment="1">
      <alignment horizontal="left" vertical="center"/>
    </xf>
    <xf numFmtId="0" fontId="20" fillId="5" borderId="40" xfId="0" quotePrefix="1" applyNumberFormat="1" applyFont="1" applyFill="1" applyBorder="1" applyAlignment="1">
      <alignment vertical="center"/>
    </xf>
    <xf numFmtId="0" fontId="20" fillId="5" borderId="77" xfId="0" quotePrefix="1" applyNumberFormat="1" applyFont="1" applyFill="1" applyBorder="1" applyAlignment="1">
      <alignment vertical="center"/>
    </xf>
    <xf numFmtId="165" fontId="7" fillId="21" borderId="20" xfId="0" applyNumberFormat="1" applyFont="1" applyFill="1" applyBorder="1" applyAlignment="1">
      <alignment vertical="center"/>
    </xf>
    <xf numFmtId="0" fontId="23" fillId="0" borderId="2" xfId="1" applyNumberFormat="1" applyFont="1" applyFill="1" applyBorder="1" applyAlignment="1" applyProtection="1">
      <alignment horizontal="right" vertical="center" wrapText="1"/>
    </xf>
    <xf numFmtId="0" fontId="23" fillId="0" borderId="0" xfId="1" applyNumberFormat="1" applyFont="1" applyFill="1" applyBorder="1" applyAlignment="1" applyProtection="1">
      <alignment horizontal="right" vertical="center" wrapText="1"/>
    </xf>
    <xf numFmtId="165" fontId="4" fillId="0" borderId="79" xfId="0" applyNumberFormat="1" applyFont="1" applyBorder="1" applyAlignment="1">
      <alignment vertical="center"/>
    </xf>
    <xf numFmtId="165" fontId="4" fillId="0" borderId="80" xfId="0" applyNumberFormat="1" applyFont="1" applyBorder="1" applyAlignment="1">
      <alignment vertical="center"/>
    </xf>
    <xf numFmtId="165" fontId="7" fillId="7" borderId="21" xfId="0" applyNumberFormat="1" applyFont="1" applyFill="1" applyBorder="1" applyAlignment="1">
      <alignment vertical="center"/>
    </xf>
    <xf numFmtId="171" fontId="7" fillId="19" borderId="58" xfId="0" applyNumberFormat="1" applyFont="1" applyFill="1" applyBorder="1" applyAlignment="1">
      <alignment vertical="center"/>
    </xf>
    <xf numFmtId="165" fontId="16" fillId="0" borderId="2" xfId="0" applyNumberFormat="1" applyFont="1" applyBorder="1" applyAlignment="1">
      <alignment horizontal="right" vertical="center"/>
    </xf>
    <xf numFmtId="165" fontId="4" fillId="21" borderId="0" xfId="0" applyNumberFormat="1" applyFont="1" applyFill="1" applyAlignment="1">
      <alignment horizontal="center" vertical="center"/>
    </xf>
    <xf numFmtId="165" fontId="7" fillId="21" borderId="20" xfId="0" applyNumberFormat="1" applyFont="1" applyFill="1" applyBorder="1" applyAlignment="1">
      <alignment horizontal="center" vertical="center"/>
    </xf>
    <xf numFmtId="165" fontId="4" fillId="5" borderId="54" xfId="0" applyNumberFormat="1" applyFont="1" applyFill="1" applyBorder="1" applyAlignment="1">
      <alignment vertical="center"/>
    </xf>
    <xf numFmtId="165" fontId="4" fillId="5" borderId="41" xfId="0" applyNumberFormat="1" applyFont="1" applyFill="1" applyBorder="1" applyAlignment="1">
      <alignment vertical="center"/>
    </xf>
    <xf numFmtId="165" fontId="25" fillId="0" borderId="2" xfId="1" applyNumberFormat="1" applyFont="1" applyFill="1" applyBorder="1" applyAlignment="1" applyProtection="1">
      <alignment horizontal="right" vertical="center" wrapText="1"/>
    </xf>
    <xf numFmtId="165" fontId="4" fillId="5" borderId="76" xfId="0" applyNumberFormat="1" applyFont="1" applyFill="1" applyBorder="1" applyAlignment="1">
      <alignment vertical="center"/>
    </xf>
    <xf numFmtId="170" fontId="4" fillId="0" borderId="0" xfId="1" applyNumberFormat="1" applyFont="1" applyBorder="1" applyAlignment="1" applyProtection="1">
      <alignment vertical="center"/>
    </xf>
    <xf numFmtId="165" fontId="20" fillId="0" borderId="2" xfId="0" applyNumberFormat="1" applyFont="1" applyBorder="1" applyAlignment="1">
      <alignment horizontal="right" vertical="center"/>
    </xf>
    <xf numFmtId="172" fontId="4" fillId="0" borderId="65" xfId="0" applyNumberFormat="1" applyFont="1" applyBorder="1" applyAlignment="1">
      <alignment vertical="center"/>
    </xf>
    <xf numFmtId="172" fontId="4" fillId="0" borderId="66" xfId="0" applyNumberFormat="1" applyFont="1" applyBorder="1" applyAlignment="1">
      <alignment vertical="center"/>
    </xf>
    <xf numFmtId="9" fontId="4" fillId="0" borderId="0" xfId="1" applyFont="1" applyBorder="1" applyAlignment="1" applyProtection="1">
      <alignment vertical="center"/>
    </xf>
    <xf numFmtId="9" fontId="4" fillId="0" borderId="0" xfId="1" applyFont="1" applyFill="1" applyBorder="1" applyAlignment="1" applyProtection="1">
      <alignment vertical="center"/>
    </xf>
    <xf numFmtId="165" fontId="4" fillId="5" borderId="38" xfId="0" applyNumberFormat="1" applyFont="1" applyFill="1" applyBorder="1" applyAlignment="1">
      <alignment vertical="center"/>
    </xf>
    <xf numFmtId="165" fontId="4" fillId="5" borderId="32" xfId="0" applyNumberFormat="1" applyFont="1" applyFill="1" applyBorder="1" applyAlignment="1">
      <alignment vertical="center"/>
    </xf>
    <xf numFmtId="165" fontId="7" fillId="0" borderId="62" xfId="0" applyNumberFormat="1" applyFont="1" applyBorder="1" applyAlignment="1">
      <alignment vertical="center"/>
    </xf>
    <xf numFmtId="165" fontId="7" fillId="0" borderId="63" xfId="0" applyNumberFormat="1" applyFont="1" applyBorder="1" applyAlignment="1">
      <alignment vertical="center"/>
    </xf>
    <xf numFmtId="178" fontId="4" fillId="3" borderId="27" xfId="0" applyNumberFormat="1" applyFont="1" applyFill="1" applyBorder="1" applyAlignment="1">
      <alignment vertical="center"/>
    </xf>
    <xf numFmtId="178" fontId="4" fillId="3" borderId="29" xfId="0" applyNumberFormat="1" applyFont="1" applyFill="1" applyBorder="1" applyAlignment="1">
      <alignment vertical="center"/>
    </xf>
    <xf numFmtId="170" fontId="20" fillId="5" borderId="58" xfId="1" applyNumberFormat="1" applyFont="1" applyFill="1" applyBorder="1" applyAlignment="1" applyProtection="1">
      <alignment horizontal="right" vertical="center"/>
    </xf>
    <xf numFmtId="172" fontId="4" fillId="21" borderId="4" xfId="0" applyNumberFormat="1" applyFont="1" applyFill="1" applyBorder="1" applyAlignment="1">
      <alignment vertical="center"/>
    </xf>
    <xf numFmtId="172" fontId="4" fillId="3" borderId="21" xfId="0" applyNumberFormat="1" applyFont="1" applyFill="1" applyBorder="1" applyAlignment="1">
      <alignment horizontal="right" vertical="center"/>
    </xf>
    <xf numFmtId="165" fontId="23" fillId="21" borderId="20" xfId="1" applyNumberFormat="1" applyFont="1" applyFill="1" applyBorder="1" applyAlignment="1" applyProtection="1">
      <alignment horizontal="right" vertical="center" wrapText="1"/>
    </xf>
    <xf numFmtId="178" fontId="20" fillId="0" borderId="20" xfId="0" applyNumberFormat="1" applyFont="1" applyBorder="1" applyAlignment="1">
      <alignment horizontal="right" vertical="center"/>
    </xf>
    <xf numFmtId="164" fontId="29" fillId="0" borderId="0" xfId="0" applyFont="1"/>
    <xf numFmtId="165" fontId="25" fillId="7" borderId="30" xfId="1" applyNumberFormat="1" applyFont="1" applyFill="1" applyBorder="1" applyAlignment="1" applyProtection="1">
      <alignment horizontal="right" vertical="center" wrapText="1"/>
    </xf>
    <xf numFmtId="165" fontId="4" fillId="0" borderId="0" xfId="0" applyNumberFormat="1" applyFont="1" applyAlignment="1" applyProtection="1">
      <alignment vertical="center"/>
      <protection locked="0"/>
    </xf>
    <xf numFmtId="165" fontId="4" fillId="24" borderId="21" xfId="0" applyNumberFormat="1" applyFont="1" applyFill="1" applyBorder="1" applyAlignment="1">
      <alignment vertical="center"/>
    </xf>
    <xf numFmtId="0" fontId="4" fillId="5" borderId="27" xfId="0" applyNumberFormat="1" applyFont="1" applyFill="1" applyBorder="1" applyAlignment="1">
      <alignment horizontal="left" vertical="center"/>
    </xf>
    <xf numFmtId="165" fontId="25" fillId="3" borderId="81" xfId="1" applyNumberFormat="1" applyFont="1" applyFill="1" applyBorder="1" applyAlignment="1" applyProtection="1">
      <alignment horizontal="right" vertical="center" wrapText="1"/>
    </xf>
    <xf numFmtId="165" fontId="4" fillId="0" borderId="32" xfId="0" applyNumberFormat="1" applyFont="1" applyBorder="1" applyAlignment="1">
      <alignment vertical="center"/>
    </xf>
    <xf numFmtId="165" fontId="4" fillId="21" borderId="32" xfId="0" applyNumberFormat="1" applyFont="1" applyFill="1" applyBorder="1" applyAlignment="1">
      <alignment vertical="center"/>
    </xf>
    <xf numFmtId="165" fontId="25" fillId="0" borderId="30" xfId="1" applyNumberFormat="1" applyFont="1" applyFill="1" applyBorder="1" applyAlignment="1" applyProtection="1">
      <alignment horizontal="right" vertical="center" wrapText="1"/>
    </xf>
    <xf numFmtId="165" fontId="4" fillId="0" borderId="40" xfId="0" applyNumberFormat="1" applyFont="1" applyBorder="1" applyAlignment="1">
      <alignment vertical="center"/>
    </xf>
    <xf numFmtId="165" fontId="4" fillId="0" borderId="39" xfId="0" applyNumberFormat="1" applyFont="1" applyBorder="1" applyAlignment="1">
      <alignment vertical="center"/>
    </xf>
    <xf numFmtId="165" fontId="4" fillId="0" borderId="26" xfId="0" applyNumberFormat="1" applyFont="1" applyBorder="1" applyAlignment="1">
      <alignment vertical="center"/>
    </xf>
    <xf numFmtId="165" fontId="25" fillId="0" borderId="31" xfId="1" applyNumberFormat="1" applyFont="1" applyFill="1" applyBorder="1" applyAlignment="1" applyProtection="1">
      <alignment horizontal="right" vertical="center" wrapText="1"/>
    </xf>
    <xf numFmtId="165" fontId="4" fillId="3" borderId="82" xfId="0" applyNumberFormat="1" applyFont="1" applyFill="1" applyBorder="1" applyAlignment="1">
      <alignment vertical="center"/>
    </xf>
    <xf numFmtId="165" fontId="4" fillId="0" borderId="30" xfId="0" applyNumberFormat="1" applyFont="1" applyBorder="1" applyAlignment="1">
      <alignment vertical="center"/>
    </xf>
    <xf numFmtId="165" fontId="4" fillId="0" borderId="77" xfId="0" applyNumberFormat="1" applyFont="1" applyBorder="1" applyAlignment="1">
      <alignment vertical="center"/>
    </xf>
    <xf numFmtId="165" fontId="4" fillId="0" borderId="33" xfId="0" applyNumberFormat="1" applyFont="1" applyBorder="1" applyAlignment="1">
      <alignment vertical="center"/>
    </xf>
    <xf numFmtId="165" fontId="4" fillId="0" borderId="41" xfId="0" applyNumberFormat="1" applyFont="1" applyBorder="1" applyAlignment="1">
      <alignment vertical="center"/>
    </xf>
    <xf numFmtId="165" fontId="4" fillId="0" borderId="27" xfId="0" applyNumberFormat="1" applyFont="1" applyBorder="1" applyAlignment="1">
      <alignment vertical="center"/>
    </xf>
    <xf numFmtId="165" fontId="4" fillId="19" borderId="57" xfId="0" applyNumberFormat="1" applyFont="1" applyFill="1" applyBorder="1" applyAlignment="1">
      <alignment vertical="center"/>
    </xf>
    <xf numFmtId="165" fontId="4" fillId="19" borderId="26" xfId="0" applyNumberFormat="1" applyFont="1" applyFill="1" applyBorder="1" applyAlignment="1">
      <alignment vertical="center"/>
    </xf>
    <xf numFmtId="165" fontId="4" fillId="19" borderId="33" xfId="0" applyNumberFormat="1" applyFont="1" applyFill="1" applyBorder="1" applyAlignment="1">
      <alignment vertical="center"/>
    </xf>
    <xf numFmtId="165" fontId="25" fillId="19" borderId="14" xfId="1" applyNumberFormat="1" applyFont="1" applyFill="1" applyBorder="1" applyAlignment="1" applyProtection="1">
      <alignment horizontal="right" vertical="center" wrapText="1"/>
    </xf>
    <xf numFmtId="165" fontId="25" fillId="7" borderId="31" xfId="1" applyNumberFormat="1" applyFont="1" applyFill="1" applyBorder="1" applyAlignment="1" applyProtection="1">
      <alignment horizontal="right" vertical="center" wrapText="1"/>
    </xf>
    <xf numFmtId="165" fontId="4" fillId="7" borderId="22" xfId="0" applyNumberFormat="1" applyFont="1" applyFill="1" applyBorder="1" applyAlignment="1">
      <alignment vertical="center"/>
    </xf>
    <xf numFmtId="165" fontId="4" fillId="7" borderId="26" xfId="0" applyNumberFormat="1" applyFont="1" applyFill="1" applyBorder="1" applyAlignment="1">
      <alignment vertical="center"/>
    </xf>
    <xf numFmtId="165" fontId="4" fillId="7" borderId="19" xfId="0" applyNumberFormat="1" applyFont="1" applyFill="1" applyBorder="1" applyAlignment="1">
      <alignment vertical="center"/>
    </xf>
    <xf numFmtId="165" fontId="4" fillId="5" borderId="70" xfId="0" applyNumberFormat="1" applyFont="1" applyFill="1" applyBorder="1" applyAlignment="1">
      <alignment horizontal="left" vertical="center"/>
    </xf>
    <xf numFmtId="172" fontId="4" fillId="21" borderId="4" xfId="0" applyNumberFormat="1" applyFont="1" applyFill="1" applyBorder="1" applyAlignment="1">
      <alignment horizontal="right" vertical="center"/>
    </xf>
    <xf numFmtId="172" fontId="4" fillId="21" borderId="0" xfId="0" applyNumberFormat="1" applyFont="1" applyFill="1" applyAlignment="1">
      <alignment horizontal="right" vertical="center"/>
    </xf>
    <xf numFmtId="172" fontId="4" fillId="21" borderId="2" xfId="0" applyNumberFormat="1" applyFont="1" applyFill="1" applyBorder="1" applyAlignment="1">
      <alignment horizontal="right" vertical="center"/>
    </xf>
    <xf numFmtId="165" fontId="4" fillId="21" borderId="0" xfId="0" applyNumberFormat="1" applyFont="1" applyFill="1" applyAlignment="1">
      <alignment horizontal="right" vertical="center"/>
    </xf>
    <xf numFmtId="172" fontId="4" fillId="21" borderId="20" xfId="0" applyNumberFormat="1" applyFont="1" applyFill="1" applyBorder="1" applyAlignment="1">
      <alignment horizontal="right" vertical="center"/>
    </xf>
    <xf numFmtId="165" fontId="20" fillId="3" borderId="22" xfId="1" applyNumberFormat="1" applyFont="1" applyFill="1" applyBorder="1" applyAlignment="1" applyProtection="1">
      <alignment horizontal="right" vertical="center" wrapText="1"/>
    </xf>
    <xf numFmtId="165" fontId="20" fillId="3" borderId="19" xfId="1" applyNumberFormat="1" applyFont="1" applyFill="1" applyBorder="1" applyAlignment="1" applyProtection="1">
      <alignment horizontal="right" vertical="center" wrapText="1"/>
    </xf>
    <xf numFmtId="165" fontId="20" fillId="3" borderId="27" xfId="1" applyNumberFormat="1" applyFont="1" applyFill="1" applyBorder="1" applyAlignment="1" applyProtection="1">
      <alignment horizontal="right" vertical="center" wrapText="1"/>
    </xf>
    <xf numFmtId="172" fontId="4" fillId="0" borderId="0" xfId="0" applyNumberFormat="1" applyFont="1" applyAlignment="1">
      <alignment horizontal="right" vertical="center"/>
    </xf>
    <xf numFmtId="172" fontId="4" fillId="0" borderId="67" xfId="0" applyNumberFormat="1" applyFont="1" applyBorder="1" applyAlignment="1">
      <alignment vertical="center"/>
    </xf>
    <xf numFmtId="171" fontId="4" fillId="21" borderId="2" xfId="0" applyNumberFormat="1" applyFont="1" applyFill="1" applyBorder="1" applyAlignment="1">
      <alignment vertical="center"/>
    </xf>
    <xf numFmtId="172" fontId="4" fillId="6" borderId="4" xfId="0" applyNumberFormat="1" applyFont="1" applyFill="1" applyBorder="1" applyAlignment="1">
      <alignment vertical="center"/>
    </xf>
    <xf numFmtId="172" fontId="4" fillId="6" borderId="0" xfId="0" applyNumberFormat="1" applyFont="1" applyFill="1" applyAlignment="1">
      <alignment vertical="center"/>
    </xf>
    <xf numFmtId="172" fontId="4" fillId="6" borderId="2" xfId="0" applyNumberFormat="1" applyFont="1" applyFill="1" applyBorder="1" applyAlignment="1">
      <alignment vertical="center"/>
    </xf>
    <xf numFmtId="172" fontId="4" fillId="6" borderId="65" xfId="0" applyNumberFormat="1" applyFont="1" applyFill="1" applyBorder="1" applyAlignment="1">
      <alignment vertical="center"/>
    </xf>
    <xf numFmtId="172" fontId="4" fillId="6" borderId="66" xfId="0" applyNumberFormat="1" applyFont="1" applyFill="1" applyBorder="1" applyAlignment="1">
      <alignment vertical="center"/>
    </xf>
    <xf numFmtId="172" fontId="4" fillId="6" borderId="67" xfId="0" applyNumberFormat="1" applyFont="1" applyFill="1" applyBorder="1" applyAlignment="1">
      <alignment vertical="center"/>
    </xf>
    <xf numFmtId="165" fontId="4" fillId="6" borderId="66" xfId="0" applyNumberFormat="1" applyFont="1" applyFill="1" applyBorder="1" applyAlignment="1">
      <alignment vertical="center"/>
    </xf>
    <xf numFmtId="172" fontId="4" fillId="7" borderId="63" xfId="0" applyNumberFormat="1" applyFont="1" applyFill="1" applyBorder="1" applyAlignment="1">
      <alignment vertical="center"/>
    </xf>
    <xf numFmtId="172" fontId="4" fillId="7" borderId="62" xfId="0" applyNumberFormat="1" applyFont="1" applyFill="1" applyBorder="1" applyAlignment="1">
      <alignment vertical="center"/>
    </xf>
    <xf numFmtId="172" fontId="4" fillId="7" borderId="64" xfId="0" applyNumberFormat="1" applyFont="1" applyFill="1" applyBorder="1" applyAlignment="1">
      <alignment vertical="center"/>
    </xf>
    <xf numFmtId="172" fontId="4" fillId="7" borderId="4" xfId="0" applyNumberFormat="1" applyFont="1" applyFill="1" applyBorder="1" applyAlignment="1">
      <alignment vertical="center"/>
    </xf>
    <xf numFmtId="172" fontId="4" fillId="7" borderId="0" xfId="0" applyNumberFormat="1" applyFont="1" applyFill="1" applyAlignment="1">
      <alignment vertical="center"/>
    </xf>
    <xf numFmtId="172" fontId="4" fillId="7" borderId="2" xfId="0" applyNumberFormat="1" applyFont="1" applyFill="1" applyBorder="1" applyAlignment="1">
      <alignment vertical="center"/>
    </xf>
    <xf numFmtId="165" fontId="59" fillId="0" borderId="0" xfId="0" applyNumberFormat="1" applyFont="1" applyAlignment="1">
      <alignment vertical="center"/>
    </xf>
    <xf numFmtId="165" fontId="7" fillId="0" borderId="0" xfId="0" applyNumberFormat="1" applyFont="1" applyAlignment="1">
      <alignment horizontal="center" vertical="center"/>
    </xf>
    <xf numFmtId="165" fontId="14" fillId="20" borderId="0" xfId="0" applyNumberFormat="1" applyFont="1" applyFill="1" applyAlignment="1">
      <alignment horizontal="center" vertical="center"/>
    </xf>
    <xf numFmtId="170" fontId="25" fillId="0" borderId="0" xfId="1" applyNumberFormat="1" applyFont="1" applyFill="1" applyBorder="1" applyAlignment="1" applyProtection="1">
      <alignment horizontal="center" vertical="center" wrapText="1"/>
    </xf>
    <xf numFmtId="170" fontId="25" fillId="0" borderId="2" xfId="1" applyNumberFormat="1" applyFont="1" applyFill="1" applyBorder="1" applyAlignment="1" applyProtection="1">
      <alignment horizontal="center" vertical="center" wrapText="1"/>
    </xf>
    <xf numFmtId="0" fontId="20" fillId="0" borderId="0" xfId="1" applyNumberFormat="1" applyFont="1" applyFill="1" applyBorder="1" applyAlignment="1" applyProtection="1">
      <alignment horizontal="center" vertical="center" wrapText="1"/>
    </xf>
    <xf numFmtId="0" fontId="20" fillId="0" borderId="2" xfId="1" applyNumberFormat="1" applyFont="1" applyFill="1" applyBorder="1" applyAlignment="1" applyProtection="1">
      <alignment horizontal="center" vertical="center" wrapText="1"/>
    </xf>
    <xf numFmtId="0" fontId="4" fillId="0" borderId="0" xfId="0" applyNumberFormat="1" applyFont="1" applyAlignment="1">
      <alignment horizontal="center" vertical="center" wrapText="1"/>
    </xf>
    <xf numFmtId="0" fontId="4" fillId="0" borderId="2" xfId="0" applyNumberFormat="1" applyFont="1" applyBorder="1" applyAlignment="1">
      <alignment horizontal="center" vertical="center" wrapText="1"/>
    </xf>
  </cellXfs>
  <cellStyles count="59">
    <cellStyle name="Bad 2" xfId="14" xr:uid="{800D1D94-F494-43B9-B193-6F37727D6074}"/>
    <cellStyle name="Calculation 2" xfId="18" xr:uid="{CB2C125A-A144-4406-9B9D-8F953C6C3D07}"/>
    <cellStyle name="Check Cell 2" xfId="20" xr:uid="{00D65D2B-CD46-45D9-9FFE-5E8958E69039}"/>
    <cellStyle name="Comma 2" xfId="38" xr:uid="{3E5F91DD-32F9-4C14-9027-2DDF09623996}"/>
    <cellStyle name="Comma 3" xfId="41" xr:uid="{B288091B-145E-4DDF-A155-02DB9C97C954}"/>
    <cellStyle name="Comma 4" xfId="44" xr:uid="{0ED4DF81-21EE-44B4-BD2C-85F34B4BB09B}"/>
    <cellStyle name="Comma 5" xfId="49" xr:uid="{5347D44E-6179-4DE8-A679-D87A77E04E00}"/>
    <cellStyle name="Comma 6" xfId="35" xr:uid="{D029F9C9-6A1A-4C3C-847E-AD99A53C4990}"/>
    <cellStyle name="Comma 7" xfId="57" xr:uid="{752BFDB8-C1B7-4AA8-9150-72D7D6DBF8FD}"/>
    <cellStyle name="Explanatory Text 2" xfId="22" xr:uid="{7E11FF28-9D8C-4537-8AD5-010EA11B0C6A}"/>
    <cellStyle name="Good 2" xfId="13" xr:uid="{D1FA1DC4-5548-48E3-8F97-E59AE72DE4D9}"/>
    <cellStyle name="Heading 1 2" xfId="9" xr:uid="{632F170F-E503-43DC-AB04-0A5DA0877EEB}"/>
    <cellStyle name="Heading 2 2" xfId="10" xr:uid="{3C4BF7E6-DEC7-4900-ADBF-9AD6DB349C66}"/>
    <cellStyle name="Heading 3 2" xfId="11" xr:uid="{92189FAE-7794-4253-BD0E-C15815B177C0}"/>
    <cellStyle name="Heading 4 2" xfId="12" xr:uid="{D265F081-B09F-4101-BD4A-BAE8D8E19B99}"/>
    <cellStyle name="Input 2" xfId="16" xr:uid="{5C80BE9A-E386-42B2-82E6-1D2E6FBFCE11}"/>
    <cellStyle name="Linked Cell 2" xfId="19" xr:uid="{6453C44F-5965-4354-B539-289DD702B1C9}"/>
    <cellStyle name="Neutral 2" xfId="15" xr:uid="{5555B2A4-2BBC-40AA-8EA0-BA842A5E01AC}"/>
    <cellStyle name="Normal" xfId="0" builtinId="0" customBuiltin="1"/>
    <cellStyle name="Normal 2" xfId="40" xr:uid="{86B13D39-41AC-4DAE-812B-2D51E88FEC01}"/>
    <cellStyle name="Normal 3" xfId="37" xr:uid="{3BBE7919-5A35-49EA-9B45-3035BB5D47E2}"/>
    <cellStyle name="Normal 4" xfId="43" xr:uid="{ACCA1041-D594-4FE9-B42A-21792650A6E7}"/>
    <cellStyle name="Normal 5" xfId="7" xr:uid="{AC3B9323-36FC-4915-80EC-DC2195989E87}"/>
    <cellStyle name="Normal 5 2" xfId="46" xr:uid="{F6051FCC-1809-4C70-9AEB-EB779AD7C55A}"/>
    <cellStyle name="Normal 6" xfId="48" xr:uid="{E6DA1D01-065C-485C-B18C-CE7521361094}"/>
    <cellStyle name="Normal 7" xfId="52" xr:uid="{7C8DB0E2-E86E-4F43-B53E-27FCD8DE55CF}"/>
    <cellStyle name="Normal 8" xfId="56" xr:uid="{E73B89A6-EEBB-4ADC-9A54-5546CD44CA40}"/>
    <cellStyle name="Note 2" xfId="21" xr:uid="{6DCB89A0-2B86-4674-A513-C09196801F2D}"/>
    <cellStyle name="Output 2" xfId="17" xr:uid="{246961C9-86A8-476C-978D-783F319A895C}"/>
    <cellStyle name="Percent 2" xfId="2" xr:uid="{7B2CC196-6837-4E22-B6C6-4E3CB5A0BEB3}"/>
    <cellStyle name="Percent 2 2" xfId="36" xr:uid="{88754B41-F9FE-4E7A-A4A6-F0718C11CA15}"/>
    <cellStyle name="Percent 3" xfId="39" xr:uid="{D3216B2A-E45C-42E3-8A2C-F9E4AC0DB328}"/>
    <cellStyle name="Percent 4" xfId="42" xr:uid="{ACD22FDC-AA06-4D8F-B9CC-452FDFFB3204}"/>
    <cellStyle name="Percent 5" xfId="45" xr:uid="{57AE86D8-1FC5-4884-861D-C9826719ABD6}"/>
    <cellStyle name="Percent 6" xfId="50" xr:uid="{9E884CA3-CCEE-424B-B2EE-D84720F89AAE}"/>
    <cellStyle name="Percent 7" xfId="58" xr:uid="{2C3E45E5-C3CB-459C-9A71-3E1F0721B90B}"/>
    <cellStyle name="Procent" xfId="1" builtinId="5"/>
    <cellStyle name="Smart Bold" xfId="24" xr:uid="{5A2575B6-A7AC-4C7C-A59B-9A6641ECE0C6}"/>
    <cellStyle name="Smart Forecast" xfId="25" xr:uid="{EF35FC6A-D766-44BB-9A15-3CFAFDDDDF51}"/>
    <cellStyle name="Smart General" xfId="26" xr:uid="{81138CD1-F79F-4B7C-BD1C-26091E3462CD}"/>
    <cellStyle name="Smart Highlight" xfId="27" xr:uid="{606C4D4A-8E0E-4D9B-A3C4-213E52994639}"/>
    <cellStyle name="Smart Highlight 2" xfId="55" xr:uid="{C2E678E2-84E3-4923-BF4A-840F63BED1E9}"/>
    <cellStyle name="Smart Percent" xfId="28" xr:uid="{76F260C8-F26E-45CC-B385-5098DBCA7556}"/>
    <cellStyle name="Smart Source" xfId="29" xr:uid="{17435873-8A17-46C3-BAB0-D0A38954758B}"/>
    <cellStyle name="Smart Subtitle 1" xfId="4" xr:uid="{C343EA3D-DF05-45FB-9AAA-655430680252}"/>
    <cellStyle name="Smart Subtitle 1 2" xfId="54" xr:uid="{F120A7BA-B066-4E4B-B4A9-9B9612B1E531}"/>
    <cellStyle name="Smart Subtitle 1 3" xfId="30" xr:uid="{7C466007-8D9E-4E56-A004-B97C2B06A463}"/>
    <cellStyle name="Smart Subtitle 2" xfId="31" xr:uid="{E8ADDEBB-1661-4836-A3B8-AF78C808964A}"/>
    <cellStyle name="Smart Subtitle 2 2" xfId="47" xr:uid="{DF202168-2CB7-4B15-9933-109670D17397}"/>
    <cellStyle name="Smart Subtitle 2 3" xfId="53" xr:uid="{E8B6DECD-D4BF-491C-A776-F8201E6F8A7E}"/>
    <cellStyle name="Smart Subtitle 3" xfId="34" xr:uid="{2B9B9BCC-13AF-4F53-AF7E-03FDB80252C5}"/>
    <cellStyle name="Smart Subtotal" xfId="6" xr:uid="{BA337DAC-5BE4-49AC-BF8E-159CC0AB8CCC}"/>
    <cellStyle name="Smart Title" xfId="3" xr:uid="{BE6E6B9A-A23F-4296-8D7D-B6C6DB83A917}"/>
    <cellStyle name="Smart Title 2" xfId="51" xr:uid="{35EDE9C1-B186-4DBE-81D3-AD2951380A29}"/>
    <cellStyle name="Smart Title 3" xfId="32" xr:uid="{B7044361-D3C9-4CC2-971D-BEB37ECD40A8}"/>
    <cellStyle name="Smart Total" xfId="5" xr:uid="{D369F6C0-E36E-4C54-B594-AB65B89D13FD}"/>
    <cellStyle name="Smart Total 2" xfId="33" xr:uid="{F673ACFE-4BE4-4B3F-8622-D0E1DA9C9D0D}"/>
    <cellStyle name="Title 2" xfId="8" xr:uid="{E0633326-4B2A-4C01-90A0-2435C40ED02A}"/>
    <cellStyle name="Total 2" xfId="23" xr:uid="{A50E68AE-8FAD-4014-9F16-4AC964AB317D}"/>
  </cellStyles>
  <dxfs count="881">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color theme="0"/>
      </font>
    </dxf>
    <dxf>
      <font>
        <color theme="0"/>
      </font>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color rgb="FFFF0000"/>
      </font>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color rgb="FFFF0000"/>
      </font>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color theme="0"/>
      </font>
    </dxf>
    <dxf>
      <font>
        <color theme="0"/>
      </font>
    </dxf>
    <dxf>
      <font>
        <color theme="0"/>
      </font>
    </dxf>
    <dxf>
      <font>
        <color theme="0"/>
      </font>
    </dxf>
    <dxf>
      <font>
        <color theme="0"/>
      </font>
    </dxf>
    <dxf>
      <font>
        <color theme="0"/>
      </font>
    </dxf>
    <dxf>
      <font>
        <b val="0"/>
        <i/>
        <color theme="0"/>
      </font>
      <fill>
        <patternFill>
          <bgColor rgb="FFD6A300"/>
        </patternFill>
      </fill>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D6A300"/>
        </patternFill>
      </fill>
    </dxf>
    <dxf>
      <font>
        <color rgb="FFFF0000"/>
      </font>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i/>
        <u/>
        <color rgb="FFD6A300"/>
      </font>
    </dxf>
    <dxf>
      <font>
        <color auto="1"/>
      </font>
      <fill>
        <patternFill patternType="none">
          <fgColor indexed="64"/>
          <bgColor indexed="65"/>
        </patternFill>
      </fill>
    </dxf>
    <dxf>
      <font>
        <color auto="1"/>
      </font>
      <fill>
        <patternFill patternType="none">
          <fgColor indexed="64"/>
          <bgColor indexed="65"/>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color theme="0"/>
      </font>
    </dxf>
    <dxf>
      <font>
        <color theme="0"/>
      </font>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color theme="0"/>
      </font>
    </dxf>
    <dxf>
      <font>
        <color theme="0"/>
      </font>
    </dxf>
    <dxf>
      <font>
        <color theme="0"/>
      </font>
    </dxf>
    <dxf>
      <font>
        <color theme="0"/>
      </font>
    </dxf>
    <dxf>
      <font>
        <color theme="0"/>
      </font>
    </dxf>
    <dxf>
      <font>
        <color theme="0"/>
      </font>
    </dxf>
    <dxf>
      <font>
        <color auto="1"/>
      </font>
      <fill>
        <patternFill patternType="solid">
          <fgColor indexed="64"/>
          <bgColor rgb="FFFFFFFF"/>
        </patternFill>
      </fill>
    </dxf>
    <dxf>
      <font>
        <color auto="1"/>
      </font>
      <fill>
        <patternFill patternType="solid">
          <fgColor indexed="64"/>
          <bgColor rgb="FFFFFFFF"/>
        </patternFill>
      </fill>
    </dxf>
    <dxf>
      <font>
        <b/>
        <i/>
        <u/>
        <color rgb="FFD6A300"/>
      </font>
    </dxf>
    <dxf>
      <font>
        <color auto="1"/>
      </font>
      <fill>
        <patternFill patternType="none">
          <fgColor indexed="64"/>
          <bgColor indexed="65"/>
        </patternFill>
      </fill>
    </dxf>
    <dxf>
      <font>
        <color auto="1"/>
      </font>
      <fill>
        <patternFill patternType="none">
          <fgColor indexed="64"/>
          <bgColor indexed="65"/>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color auto="1"/>
      </font>
      <fill>
        <patternFill patternType="solid">
          <fgColor indexed="64"/>
          <bgColor rgb="FFFFFFFF"/>
        </patternFill>
      </fill>
    </dxf>
    <dxf>
      <font>
        <color theme="0"/>
      </font>
    </dxf>
    <dxf>
      <font>
        <color theme="0"/>
      </font>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color theme="0"/>
      </font>
    </dxf>
    <dxf>
      <font>
        <color theme="0"/>
      </font>
    </dxf>
    <dxf>
      <font>
        <b val="0"/>
        <i/>
        <color theme="0"/>
      </font>
      <fill>
        <patternFill>
          <bgColor rgb="FFFF0000"/>
        </patternFill>
      </fill>
    </dxf>
    <dxf>
      <font>
        <color theme="0"/>
      </font>
    </dxf>
    <dxf>
      <font>
        <color theme="0"/>
      </font>
    </dxf>
    <dxf>
      <font>
        <color theme="0"/>
      </font>
    </dxf>
    <dxf>
      <font>
        <color theme="0"/>
      </font>
    </dxf>
    <dxf>
      <font>
        <color auto="1"/>
      </font>
      <fill>
        <patternFill patternType="solid">
          <fgColor indexed="64"/>
          <bgColor rgb="FFFFFFFF"/>
        </patternFill>
      </fill>
    </dxf>
    <dxf>
      <font>
        <b/>
        <i/>
        <u/>
        <color rgb="FFD6A300"/>
      </font>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FF0000"/>
        </patternFill>
      </fill>
    </dxf>
    <dxf>
      <font>
        <color theme="0"/>
      </font>
    </dxf>
    <dxf>
      <font>
        <color theme="0"/>
      </font>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color theme="0"/>
      </font>
    </dxf>
    <dxf>
      <font>
        <color theme="0"/>
      </font>
    </dxf>
    <dxf>
      <font>
        <color theme="0"/>
      </font>
    </dxf>
    <dxf>
      <font>
        <color theme="0"/>
      </font>
    </dxf>
    <dxf>
      <font>
        <color theme="0"/>
      </font>
    </dxf>
    <dxf>
      <font>
        <color theme="0"/>
      </font>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FF0000"/>
        </patternFill>
      </fill>
    </dxf>
    <dxf>
      <font>
        <color theme="0"/>
      </font>
    </dxf>
    <dxf>
      <font>
        <color theme="0"/>
      </font>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color theme="0"/>
      </font>
    </dxf>
    <dxf>
      <font>
        <color theme="0"/>
      </font>
    </dxf>
    <dxf>
      <font>
        <color theme="0"/>
      </font>
    </dxf>
    <dxf>
      <font>
        <color theme="0"/>
      </font>
    </dxf>
    <dxf>
      <font>
        <color theme="0"/>
      </font>
    </dxf>
    <dxf>
      <font>
        <color theme="0"/>
      </font>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FF0000"/>
        </patternFill>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ont>
        <color theme="0"/>
      </font>
    </dxf>
    <dxf>
      <font>
        <color theme="0"/>
      </font>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color theme="0"/>
      </font>
    </dxf>
    <dxf>
      <font>
        <color theme="0"/>
      </font>
    </dxf>
    <dxf>
      <font>
        <color theme="0"/>
      </font>
    </dxf>
    <dxf>
      <font>
        <color theme="0"/>
      </font>
    </dxf>
    <dxf>
      <font>
        <color theme="0"/>
      </font>
    </dxf>
    <dxf>
      <font>
        <color theme="0"/>
      </font>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bgColor rgb="FFFFF1CC"/>
        </patternFill>
      </fill>
    </dxf>
    <dxf>
      <fill>
        <patternFill patternType="lightUp">
          <bgColor rgb="FFFFF1CC"/>
        </patternFill>
      </fill>
    </dxf>
    <dxf>
      <fill>
        <patternFill patternType="lightUp">
          <bgColor rgb="FFFFF1CC"/>
        </patternFill>
      </fill>
    </dxf>
    <dxf>
      <fill>
        <patternFill patternType="lightUp">
          <bgColor rgb="FFFFF1CC"/>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color rgb="FFFF0000"/>
      </font>
    </dxf>
    <dxf>
      <fill>
        <patternFill patternType="lightUp"/>
      </fill>
    </dxf>
    <dxf>
      <fill>
        <patternFill patternType="lightUp"/>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ill>
        <patternFill patternType="lightUp"/>
      </fill>
    </dxf>
    <dxf>
      <fill>
        <patternFill patternType="lightUp"/>
      </fill>
    </dxf>
    <dxf>
      <fill>
        <patternFill patternType="lightUp"/>
      </fill>
    </dxf>
    <dxf>
      <fill>
        <patternFill patternType="lightUp"/>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color rgb="FFFF0000"/>
      </font>
    </dxf>
    <dxf>
      <font>
        <b val="0"/>
        <i/>
        <color theme="0"/>
      </font>
      <fill>
        <patternFill>
          <bgColor rgb="FFFF0000"/>
        </patternFill>
      </fill>
    </dxf>
    <dxf>
      <fill>
        <patternFill patternType="lightUp"/>
      </fill>
    </dxf>
    <dxf>
      <fill>
        <patternFill patternType="lightUp"/>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ont>
        <color rgb="FFFF0000"/>
      </font>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ill>
        <patternFill patternType="lightUp"/>
      </fill>
    </dxf>
    <dxf>
      <fill>
        <patternFill patternType="lightUp"/>
      </fill>
    </dxf>
    <dxf>
      <font>
        <color theme="0"/>
      </font>
    </dxf>
    <dxf>
      <font>
        <color theme="0"/>
      </font>
    </dxf>
    <dxf>
      <font>
        <b val="0"/>
        <i/>
        <color theme="0"/>
      </font>
      <fill>
        <patternFill>
          <bgColor rgb="FFFF0000"/>
        </patternFill>
      </fill>
    </dxf>
    <dxf>
      <font>
        <b val="0"/>
        <i/>
        <color theme="0"/>
      </font>
      <fill>
        <patternFill>
          <bgColor rgb="FFFF0000"/>
        </patternFill>
      </fill>
    </dxf>
    <dxf>
      <fill>
        <patternFill patternType="lightUp"/>
      </fill>
    </dxf>
    <dxf>
      <fill>
        <patternFill patternType="lightUp"/>
      </fill>
    </dxf>
    <dxf>
      <fill>
        <patternFill patternType="lightUp"/>
      </fill>
    </dxf>
    <dxf>
      <fill>
        <patternFill patternType="lightUp"/>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color theme="0"/>
      </font>
    </dxf>
    <dxf>
      <font>
        <color theme="0"/>
      </font>
    </dxf>
    <dxf>
      <font>
        <color theme="0"/>
      </font>
    </dxf>
    <dxf>
      <font>
        <color theme="0"/>
      </font>
    </dxf>
    <dxf>
      <font>
        <color theme="0"/>
      </font>
    </dxf>
    <dxf>
      <font>
        <color theme="0"/>
      </font>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color rgb="FFFF0000"/>
      </font>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ill>
        <gradientFill degree="225">
          <stop position="0">
            <color theme="0"/>
          </stop>
          <stop position="1">
            <color rgb="FF00B050"/>
          </stop>
        </gradientFill>
      </fill>
    </dxf>
    <dxf>
      <fill>
        <gradientFill degree="225">
          <stop position="0">
            <color theme="0"/>
          </stop>
          <stop position="1">
            <color rgb="FFFAC800"/>
          </stop>
        </gradientFill>
      </fill>
    </dxf>
    <dxf>
      <fill>
        <gradientFill degree="225">
          <stop position="0">
            <color theme="0"/>
          </stop>
          <stop position="1">
            <color rgb="FFC80000"/>
          </stop>
        </gradientFill>
      </fill>
    </dxf>
    <dxf>
      <fill>
        <gradientFill degree="225">
          <stop position="0">
            <color theme="0"/>
          </stop>
          <stop position="1">
            <color rgb="FF00B050"/>
          </stop>
        </gradientFill>
      </fill>
    </dxf>
    <dxf>
      <fill>
        <gradientFill degree="225">
          <stop position="0">
            <color theme="0"/>
          </stop>
          <stop position="1">
            <color rgb="FFFAC800"/>
          </stop>
        </gradientFill>
      </fill>
    </dxf>
    <dxf>
      <fill>
        <gradientFill degree="225">
          <stop position="0">
            <color theme="0"/>
          </stop>
          <stop position="1">
            <color rgb="FFC80000"/>
          </stop>
        </gradientFill>
      </fill>
    </dxf>
    <dxf>
      <fill>
        <gradientFill degree="225">
          <stop position="0">
            <color theme="0"/>
          </stop>
          <stop position="1">
            <color rgb="FF00B050"/>
          </stop>
        </gradientFill>
      </fill>
    </dxf>
    <dxf>
      <fill>
        <gradientFill degree="225">
          <stop position="0">
            <color theme="0"/>
          </stop>
          <stop position="1">
            <color rgb="FFFAC800"/>
          </stop>
        </gradientFill>
      </fill>
    </dxf>
    <dxf>
      <fill>
        <gradientFill degree="225">
          <stop position="0">
            <color theme="0"/>
          </stop>
          <stop position="1">
            <color rgb="FFC80000"/>
          </stop>
        </gradientFill>
      </fill>
    </dxf>
    <dxf>
      <fill>
        <gradientFill degree="225">
          <stop position="0">
            <color theme="0"/>
          </stop>
          <stop position="1">
            <color rgb="FF00B050"/>
          </stop>
        </gradientFill>
      </fill>
    </dxf>
    <dxf>
      <fill>
        <gradientFill degree="225">
          <stop position="0">
            <color theme="0"/>
          </stop>
          <stop position="1">
            <color rgb="FFFAC800"/>
          </stop>
        </gradientFill>
      </fill>
    </dxf>
    <dxf>
      <fill>
        <gradientFill degree="225">
          <stop position="0">
            <color theme="0"/>
          </stop>
          <stop position="1">
            <color rgb="FFC80000"/>
          </stop>
        </gradientFill>
      </fill>
    </dxf>
    <dxf>
      <fill>
        <gradientFill degree="225">
          <stop position="0">
            <color theme="0"/>
          </stop>
          <stop position="1">
            <color rgb="FF00B050"/>
          </stop>
        </gradientFill>
      </fill>
    </dxf>
    <dxf>
      <fill>
        <gradientFill degree="225">
          <stop position="0">
            <color theme="0"/>
          </stop>
          <stop position="1">
            <color rgb="FFFAC800"/>
          </stop>
        </gradientFill>
      </fill>
    </dxf>
    <dxf>
      <fill>
        <gradientFill degree="225">
          <stop position="0">
            <color theme="0"/>
          </stop>
          <stop position="1">
            <color rgb="FFC80000"/>
          </stop>
        </gradientFill>
      </fill>
    </dxf>
    <dxf>
      <fill>
        <gradientFill degree="225">
          <stop position="0">
            <color theme="0"/>
          </stop>
          <stop position="1">
            <color rgb="FF00B050"/>
          </stop>
        </gradientFill>
      </fill>
    </dxf>
    <dxf>
      <fill>
        <gradientFill degree="225">
          <stop position="0">
            <color theme="0"/>
          </stop>
          <stop position="1">
            <color rgb="FFFAC800"/>
          </stop>
        </gradientFill>
      </fill>
    </dxf>
    <dxf>
      <fill>
        <gradientFill degree="225">
          <stop position="0">
            <color theme="0"/>
          </stop>
          <stop position="1">
            <color rgb="FFC80000"/>
          </stop>
        </gradient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color theme="0"/>
      </font>
    </dxf>
    <dxf>
      <font>
        <color theme="0"/>
      </font>
    </dxf>
    <dxf>
      <font>
        <b val="0"/>
        <i/>
        <color theme="0"/>
      </font>
      <fill>
        <patternFill>
          <bgColor rgb="FFD6A3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b val="0"/>
        <i/>
        <color theme="0"/>
      </font>
      <fill>
        <patternFill>
          <bgColor rgb="FFFF0000"/>
        </patternFill>
      </fill>
    </dxf>
    <dxf>
      <font>
        <b val="0"/>
        <i/>
        <color theme="0"/>
      </font>
      <fill>
        <patternFill>
          <bgColor rgb="FFD6A300"/>
        </patternFill>
      </fill>
    </dxf>
    <dxf>
      <font>
        <color theme="0"/>
      </font>
    </dxf>
    <dxf>
      <font>
        <color theme="0"/>
      </font>
    </dxf>
    <dxf>
      <font>
        <color theme="0"/>
      </font>
    </dxf>
    <dxf>
      <font>
        <color theme="0"/>
      </font>
    </dxf>
    <dxf>
      <font>
        <color theme="0"/>
      </font>
    </dxf>
    <dxf>
      <font>
        <color theme="0"/>
      </font>
    </dxf>
    <dxf>
      <font>
        <color auto="1"/>
      </font>
      <fill>
        <patternFill patternType="solid">
          <fgColor indexed="64"/>
          <bgColor rgb="FFFFFFFF"/>
        </patternFill>
      </fill>
    </dxf>
    <dxf>
      <font>
        <color auto="1"/>
      </font>
      <fill>
        <patternFill patternType="solid">
          <fgColor indexed="64"/>
          <bgColor rgb="FFFFFFFF"/>
        </patternFill>
      </fill>
    </dxf>
    <dxf>
      <fill>
        <patternFill patternType="lightUp"/>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ill>
        <patternFill patternType="lightUp"/>
      </fill>
    </dxf>
    <dxf>
      <fill>
        <patternFill patternType="lightUp"/>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val="0"/>
        <i/>
        <color theme="0"/>
      </font>
      <fill>
        <patternFill>
          <bgColor rgb="FFD6A300"/>
        </patternFill>
      </fill>
    </dxf>
    <dxf>
      <font>
        <b/>
        <i/>
        <u/>
        <color rgb="FFD6A300"/>
      </font>
    </dxf>
    <dxf>
      <font>
        <color auto="1"/>
      </font>
      <fill>
        <patternFill patternType="none">
          <fgColor indexed="64"/>
          <bgColor indexed="65"/>
        </patternFill>
      </fill>
    </dxf>
    <dxf>
      <font>
        <color auto="1"/>
      </font>
      <fill>
        <patternFill patternType="none">
          <fgColor indexed="64"/>
          <bgColor indexed="65"/>
        </patternFill>
      </fill>
    </dxf>
    <dxf>
      <font>
        <color auto="1"/>
      </font>
      <fill>
        <patternFill patternType="none">
          <fgColor indexed="64"/>
          <bgColor indexed="65"/>
        </patternFill>
      </fill>
    </dxf>
    <dxf>
      <font>
        <color auto="1"/>
      </font>
      <fill>
        <patternFill patternType="none">
          <fgColor indexed="64"/>
          <bgColor indexed="65"/>
        </patternFill>
      </fill>
    </dxf>
    <dxf>
      <font>
        <color auto="1"/>
      </font>
      <fill>
        <patternFill patternType="none">
          <fgColor indexed="64"/>
          <bgColor indexed="65"/>
        </patternFill>
      </fill>
    </dxf>
    <dxf>
      <font>
        <color auto="1"/>
      </font>
      <fill>
        <patternFill patternType="none">
          <fgColor indexed="64"/>
          <bgColor indexed="6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patternType="solid">
          <fgColor indexed="64"/>
          <bgColor rgb="FFFFFFFF"/>
        </patternFill>
      </fill>
    </dxf>
    <dxf>
      <font>
        <color auto="1"/>
      </font>
      <fill>
        <patternFill patternType="none">
          <fgColor indexed="64"/>
          <bgColor indexed="65"/>
        </patternFill>
      </fill>
    </dxf>
    <dxf>
      <font>
        <b/>
        <i/>
        <u/>
        <color rgb="FFD6A300"/>
      </font>
    </dxf>
    <dxf>
      <font>
        <color auto="1"/>
      </font>
      <fill>
        <patternFill patternType="none">
          <fgColor indexed="64"/>
          <bgColor indexed="65"/>
        </patternFill>
      </fill>
    </dxf>
    <dxf>
      <font>
        <color auto="1"/>
      </font>
      <fill>
        <patternFill patternType="none">
          <fgColor indexed="64"/>
          <bgColor indexed="65"/>
        </patternFill>
      </fill>
    </dxf>
    <dxf>
      <font>
        <color theme="1"/>
      </font>
      <fill>
        <patternFill>
          <bgColor theme="0"/>
        </patternFill>
      </fill>
    </dxf>
    <dxf>
      <font>
        <color theme="0"/>
      </font>
      <fill>
        <patternFill>
          <bgColor rgb="FFFF0000"/>
        </patternFill>
      </fill>
    </dxf>
    <dxf>
      <font>
        <color theme="0"/>
      </font>
    </dxf>
    <dxf>
      <font>
        <color theme="0"/>
      </font>
    </dxf>
    <dxf>
      <font>
        <b val="0"/>
        <i/>
        <color theme="0"/>
      </font>
      <fill>
        <patternFill>
          <bgColor rgb="FFFF0000"/>
        </patternFill>
      </fill>
    </dxf>
    <dxf>
      <font>
        <color theme="0"/>
      </font>
    </dxf>
    <dxf>
      <font>
        <color theme="0"/>
      </font>
    </dxf>
    <dxf>
      <font>
        <color theme="0"/>
      </font>
    </dxf>
    <dxf>
      <font>
        <color theme="0"/>
      </font>
    </dxf>
    <dxf>
      <font>
        <color theme="0"/>
      </font>
    </dxf>
    <dxf>
      <font>
        <color theme="0"/>
      </font>
    </dxf>
    <dxf>
      <font>
        <color auto="1"/>
      </font>
      <fill>
        <patternFill patternType="solid">
          <fgColor indexed="64"/>
          <bgColor rgb="FFFFFFFF"/>
        </patternFill>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color theme="0"/>
      </font>
    </dxf>
    <dxf>
      <font>
        <color theme="0"/>
      </font>
    </dxf>
    <dxf>
      <font>
        <color theme="0"/>
      </font>
    </dxf>
    <dxf>
      <font>
        <color theme="0"/>
      </font>
    </dxf>
    <dxf>
      <font>
        <color theme="0"/>
      </font>
    </dxf>
    <dxf>
      <font>
        <color theme="0"/>
      </font>
    </dxf>
    <dxf>
      <font>
        <b val="0"/>
        <i/>
        <color theme="0"/>
      </font>
      <fill>
        <patternFill>
          <bgColor rgb="FFFF0000"/>
        </patternFill>
      </fill>
    </dxf>
    <dxf>
      <font>
        <b val="0"/>
        <i/>
        <color theme="0"/>
      </font>
      <fill>
        <patternFill>
          <bgColor rgb="FFFF0000"/>
        </patternFill>
      </fill>
    </dxf>
    <dxf>
      <font>
        <color auto="1"/>
      </font>
      <fill>
        <patternFill patternType="solid">
          <fgColor indexed="64"/>
          <bgColor rgb="FFFFFFFF"/>
        </patternFill>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ont>
        <color theme="1"/>
      </font>
      <fill>
        <patternFill>
          <bgColor theme="0"/>
        </patternFill>
      </fill>
    </dxf>
    <dxf>
      <font>
        <color theme="0"/>
      </font>
      <fill>
        <patternFill>
          <bgColor rgb="FFFF0000"/>
        </patternFill>
      </fill>
    </dxf>
    <dxf>
      <font>
        <b val="0"/>
        <i/>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auto="1"/>
      </font>
      <fill>
        <patternFill patternType="solid">
          <fgColor indexed="64"/>
          <bgColor rgb="FFFFFFFF"/>
        </patternFill>
      </fill>
    </dxf>
    <dxf>
      <font>
        <color theme="0"/>
      </font>
    </dxf>
    <dxf>
      <font>
        <color theme="0"/>
      </font>
    </dxf>
    <dxf>
      <font>
        <color theme="0"/>
      </font>
    </dxf>
    <dxf>
      <font>
        <color theme="0"/>
      </font>
    </dxf>
    <dxf>
      <fill>
        <patternFill patternType="lightUp"/>
      </fill>
    </dxf>
    <dxf>
      <font>
        <color theme="0"/>
      </font>
    </dxf>
    <dxf>
      <font>
        <color theme="0"/>
      </font>
    </dxf>
    <dxf>
      <font>
        <color auto="1"/>
      </font>
      <fill>
        <patternFill patternType="solid">
          <fgColor indexed="64"/>
          <bgColor rgb="FFFFFFFF"/>
        </patternFill>
      </fill>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u/>
        <color rgb="FFD6A300"/>
      </font>
    </dxf>
    <dxf>
      <font>
        <color auto="1"/>
      </font>
      <fill>
        <patternFill patternType="solid">
          <fgColor indexed="64"/>
          <bgColor rgb="FFFFFF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patternType="solid">
          <fgColor indexed="64"/>
          <bgColor rgb="FFFFFFFF"/>
        </patternFill>
      </fill>
    </dxf>
    <dxf>
      <font>
        <color auto="1"/>
      </font>
      <fill>
        <patternFill patternType="solid">
          <fgColor indexed="64"/>
          <bgColor rgb="FFFFFFFF"/>
        </patternFill>
      </fill>
    </dxf>
    <dxf>
      <fill>
        <patternFill patternType="lightUp"/>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b val="0"/>
        <i/>
        <color theme="0"/>
      </font>
      <fill>
        <patternFill>
          <bgColor rgb="FFFF0000"/>
        </patternFill>
      </fill>
    </dxf>
    <dxf>
      <font>
        <color theme="0"/>
      </font>
    </dxf>
    <dxf>
      <font>
        <color theme="0"/>
      </font>
    </dxf>
    <dxf>
      <font>
        <b val="0"/>
        <i/>
        <color theme="0"/>
      </font>
      <fill>
        <patternFill>
          <bgColor rgb="FFFF0000"/>
        </patternFill>
      </fill>
    </dxf>
    <dxf>
      <font>
        <color theme="0"/>
      </font>
    </dxf>
    <dxf>
      <font>
        <color theme="0"/>
      </font>
    </dxf>
    <dxf>
      <font>
        <color theme="0"/>
      </font>
    </dxf>
    <dxf>
      <font>
        <color theme="0"/>
      </font>
    </dxf>
    <dxf>
      <font>
        <b val="0"/>
        <i/>
        <color theme="0"/>
      </font>
      <fill>
        <patternFill>
          <bgColor rgb="FFFF0000"/>
        </patternFill>
      </fill>
    </dxf>
    <dxf>
      <font>
        <b val="0"/>
        <i/>
        <color theme="0"/>
      </font>
      <fill>
        <patternFill>
          <bgColor rgb="FFFF0000"/>
        </patternFill>
      </fill>
    </dxf>
    <dxf>
      <font>
        <color auto="1"/>
      </font>
      <fill>
        <patternFill patternType="solid">
          <fgColor indexed="64"/>
          <bgColor rgb="FFFFFFFF"/>
        </patternFill>
      </fill>
    </dxf>
    <dxf>
      <font>
        <b/>
        <i/>
        <u/>
        <color rgb="FFD6A300"/>
      </font>
    </dxf>
    <dxf>
      <font>
        <color auto="1"/>
      </font>
      <fill>
        <patternFill patternType="solid">
          <fgColor indexed="64"/>
          <bgColor rgb="FFFFFFFF"/>
        </patternFill>
      </fill>
    </dxf>
    <dxf>
      <font>
        <color auto="1"/>
      </font>
      <fill>
        <patternFill patternType="solid">
          <fgColor indexed="64"/>
          <bgColor rgb="FFFFFF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b/>
        <i/>
        <u/>
        <color rgb="FFD6A300"/>
      </font>
    </dxf>
    <dxf>
      <font>
        <color auto="1"/>
      </font>
      <fill>
        <patternFill patternType="none">
          <fgColor indexed="64"/>
          <bgColor indexed="6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b/>
        <i/>
        <u/>
        <color rgb="FFD6A300"/>
      </font>
    </dxf>
    <dxf>
      <font>
        <color auto="1"/>
      </font>
      <fill>
        <patternFill patternType="none">
          <fgColor indexed="64"/>
          <bgColor indexed="6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b/>
        <i/>
        <u/>
        <color rgb="FFD6A300"/>
      </font>
    </dxf>
    <dxf>
      <font>
        <color auto="1"/>
      </font>
      <fill>
        <patternFill patternType="none">
          <fgColor indexed="64"/>
          <bgColor indexed="65"/>
        </patternFill>
      </fill>
    </dxf>
    <dxf>
      <font>
        <color auto="1"/>
      </font>
      <fill>
        <patternFill patternType="solid">
          <fgColor indexed="64"/>
          <bgColor rgb="FFFFFFFF"/>
        </patternFill>
      </fill>
    </dxf>
    <dxf>
      <font>
        <color auto="1"/>
      </font>
      <fill>
        <patternFill patternType="solid">
          <fgColor indexed="64"/>
          <bgColor rgb="FFFFFFFF"/>
        </patternFill>
      </fill>
    </dxf>
    <dxf>
      <font>
        <color auto="1"/>
      </font>
      <fill>
        <patternFill patternType="solid">
          <fgColor indexed="64"/>
          <bgColor rgb="FFFFFFFF"/>
        </patternFill>
      </fill>
    </dxf>
    <dxf>
      <font>
        <color auto="1"/>
      </font>
      <fill>
        <patternFill patternType="solid">
          <fgColor indexed="64"/>
          <bgColor rgb="FFFFFFFF"/>
        </patternFill>
      </fill>
    </dxf>
    <dxf>
      <font>
        <color theme="0"/>
      </font>
    </dxf>
    <dxf>
      <font>
        <color theme="0"/>
      </font>
    </dxf>
    <dxf>
      <font>
        <color auto="1"/>
      </font>
      <fill>
        <patternFill patternType="solid">
          <fgColor indexed="64"/>
          <bgColor rgb="FFFFFFFF"/>
        </patternFill>
      </fill>
    </dxf>
    <dxf>
      <font>
        <color theme="0"/>
      </font>
    </dxf>
    <dxf>
      <font>
        <color theme="0"/>
      </font>
    </dxf>
    <dxf>
      <font>
        <color theme="0"/>
      </font>
    </dxf>
    <dxf>
      <font>
        <color theme="0"/>
      </font>
    </dxf>
    <dxf>
      <font>
        <color auto="1"/>
      </font>
      <fill>
        <patternFill patternType="solid">
          <fgColor indexed="64"/>
          <bgColor rgb="FFFFFFFF"/>
        </patternFill>
      </fill>
    </dxf>
    <dxf>
      <font>
        <color auto="1"/>
      </font>
      <fill>
        <patternFill patternType="solid">
          <fgColor indexed="64"/>
          <bgColor rgb="FFFFFFFF"/>
        </patternFill>
      </fill>
    </dxf>
    <dxf>
      <font>
        <color auto="1"/>
      </font>
      <fill>
        <patternFill patternType="solid">
          <fgColor indexed="64"/>
          <bgColor rgb="FFFFFFFF"/>
        </patternFill>
      </fill>
    </dxf>
    <dxf>
      <font>
        <color auto="1"/>
      </font>
      <fill>
        <patternFill patternType="solid">
          <fgColor indexed="64"/>
          <bgColor rgb="FFFFFFFF"/>
        </patternFill>
      </fill>
    </dxf>
    <dxf>
      <font>
        <color auto="1"/>
      </font>
      <fill>
        <patternFill patternType="solid">
          <fgColor indexed="64"/>
          <bgColor rgb="FFFFFFFF"/>
        </patternFill>
      </fill>
    </dxf>
    <dxf>
      <font>
        <color auto="1"/>
      </font>
      <fill>
        <patternFill patternType="solid">
          <fgColor indexed="64"/>
          <bgColor rgb="FFFFFFFF"/>
        </patternFill>
      </fill>
    </dxf>
    <dxf>
      <font>
        <color auto="1"/>
      </font>
      <fill>
        <patternFill patternType="solid">
          <fgColor indexed="64"/>
          <bgColor rgb="FFFFFFFF"/>
        </patternFill>
      </fill>
    </dxf>
    <dxf>
      <font>
        <color theme="0"/>
      </font>
    </dxf>
    <dxf>
      <font>
        <color theme="0"/>
      </font>
    </dxf>
    <dxf>
      <font>
        <b/>
        <i/>
        <u/>
        <color rgb="FFD6A300"/>
      </font>
    </dxf>
    <dxf>
      <font>
        <color auto="1"/>
      </font>
      <fill>
        <patternFill patternType="none">
          <fgColor indexed="64"/>
          <bgColor indexed="65"/>
        </patternFill>
      </fill>
    </dxf>
  </dxfs>
  <tableStyles count="0" defaultTableStyle="TableStyleMedium2" defaultPivotStyle="PivotStyleLight16"/>
  <colors>
    <mruColors>
      <color rgb="FFFFF1CC"/>
      <color rgb="FF6FC2B6"/>
      <color rgb="FF307675"/>
      <color rgb="FFA6A6A6"/>
      <color rgb="FF222221"/>
      <color rgb="FFCFCFCF"/>
      <color rgb="FFAC1416"/>
      <color rgb="FFC20E1A"/>
      <color rgb="FFD6A300"/>
      <color rgb="FFC20E1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20" Type="http://schemas.openxmlformats.org/officeDocument/2006/relationships/worksheet" Target="worksheets/sheet20.xml"/><Relationship Id="rId41"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på tarifelementer (DKKt)</a:t>
            </a:r>
          </a:p>
        </c:rich>
      </c:tx>
      <c:layout>
        <c:manualLayout>
          <c:xMode val="edge"/>
          <c:yMode val="edge"/>
          <c:x val="0.17080702015701629"/>
          <c:y val="8.4895277521134294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stacked"/>
        <c:varyColors val="0"/>
        <c:ser>
          <c:idx val="0"/>
          <c:order val="0"/>
          <c:tx>
            <c:strRef>
              <c:f>'2.1 Model setup'!$K$102</c:f>
              <c:strCache>
                <c:ptCount val="1"/>
                <c:pt idx="0">
                  <c:v>Tariffer </c:v>
                </c:pt>
              </c:strCache>
            </c:strRef>
          </c:tx>
          <c:spPr>
            <a:solidFill>
              <a:srgbClr val="6FC2B6"/>
            </a:solidFill>
            <a:ln>
              <a:noFill/>
            </a:ln>
            <a:effectLst/>
          </c:spPr>
          <c:invertIfNegative val="0"/>
          <c:dLbls>
            <c:delete val="1"/>
          </c:dLbls>
          <c:cat>
            <c:strRef>
              <c:f>'1.1 Provenu'!$Q$10:$V$10</c:f>
              <c:strCache>
                <c:ptCount val="6"/>
                <c:pt idx="0">
                  <c:v>A0 </c:v>
                </c:pt>
                <c:pt idx="1">
                  <c:v>A-høj </c:v>
                </c:pt>
                <c:pt idx="2">
                  <c:v>A-lav </c:v>
                </c:pt>
                <c:pt idx="3">
                  <c:v>B-høj </c:v>
                </c:pt>
                <c:pt idx="4">
                  <c:v>B-lav </c:v>
                </c:pt>
                <c:pt idx="5">
                  <c:v>C </c:v>
                </c:pt>
              </c:strCache>
            </c:strRef>
          </c:cat>
          <c:val>
            <c:numRef>
              <c:f>'1.1 Provenu'!$Q$15:$V$15</c:f>
              <c:numCache>
                <c:formatCode>#,##0_);\(#,##0\);"-"_);@_)</c:formatCode>
                <c:ptCount val="6"/>
                <c:pt idx="1">
                  <c:v>0</c:v>
                </c:pt>
                <c:pt idx="2">
                  <c:v>0</c:v>
                </c:pt>
                <c:pt idx="3">
                  <c:v>0</c:v>
                </c:pt>
                <c:pt idx="4">
                  <c:v>0</c:v>
                </c:pt>
                <c:pt idx="5">
                  <c:v>0</c:v>
                </c:pt>
              </c:numCache>
            </c:numRef>
          </c:val>
          <c:extLst>
            <c:ext xmlns:c16="http://schemas.microsoft.com/office/drawing/2014/chart" uri="{C3380CC4-5D6E-409C-BE32-E72D297353CC}">
              <c16:uniqueId val="{00000004-F73A-4437-B3AE-44448CBC3821}"/>
            </c:ext>
          </c:extLst>
        </c:ser>
        <c:ser>
          <c:idx val="2"/>
          <c:order val="1"/>
          <c:tx>
            <c:strRef>
              <c:f>'2.1 Model setup'!$K$104</c:f>
              <c:strCache>
                <c:ptCount val="1"/>
                <c:pt idx="0">
                  <c:v>Abonnement </c:v>
                </c:pt>
              </c:strCache>
            </c:strRef>
          </c:tx>
          <c:spPr>
            <a:solidFill>
              <a:srgbClr val="222221"/>
            </a:solidFill>
            <a:ln>
              <a:noFill/>
            </a:ln>
            <a:effectLst/>
          </c:spPr>
          <c:invertIfNegative val="0"/>
          <c:dLbls>
            <c:delete val="1"/>
          </c:dLbls>
          <c:cat>
            <c:strRef>
              <c:f>'1.1 Provenu'!$Q$10:$V$10</c:f>
              <c:strCache>
                <c:ptCount val="6"/>
                <c:pt idx="0">
                  <c:v>A0 </c:v>
                </c:pt>
                <c:pt idx="1">
                  <c:v>A-høj </c:v>
                </c:pt>
                <c:pt idx="2">
                  <c:v>A-lav </c:v>
                </c:pt>
                <c:pt idx="3">
                  <c:v>B-høj </c:v>
                </c:pt>
                <c:pt idx="4">
                  <c:v>B-lav </c:v>
                </c:pt>
                <c:pt idx="5">
                  <c:v>C </c:v>
                </c:pt>
              </c:strCache>
            </c:strRef>
          </c:cat>
          <c:val>
            <c:numRef>
              <c:f>'1.1 Provenu'!$Q$17:$V$17</c:f>
              <c:numCache>
                <c:formatCode>#,##0_);\(#,##0\);"-"_);@_)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F73A-4437-B3AE-44448CBC3821}"/>
            </c:ext>
          </c:extLst>
        </c:ser>
        <c:ser>
          <c:idx val="1"/>
          <c:order val="2"/>
          <c:tx>
            <c:strRef>
              <c:f>'2.1 Model setup'!$K$103</c:f>
              <c:strCache>
                <c:ptCount val="1"/>
                <c:pt idx="0">
                  <c:v>Effekt </c:v>
                </c:pt>
              </c:strCache>
            </c:strRef>
          </c:tx>
          <c:spPr>
            <a:solidFill>
              <a:srgbClr val="CFCFCF"/>
            </a:solidFill>
            <a:ln>
              <a:noFill/>
            </a:ln>
            <a:effectLst/>
          </c:spPr>
          <c:invertIfNegative val="0"/>
          <c:dLbls>
            <c:delete val="1"/>
          </c:dLbls>
          <c:cat>
            <c:strRef>
              <c:f>'1.1 Provenu'!$Q$10:$V$10</c:f>
              <c:strCache>
                <c:ptCount val="6"/>
                <c:pt idx="0">
                  <c:v>A0 </c:v>
                </c:pt>
                <c:pt idx="1">
                  <c:v>A-høj </c:v>
                </c:pt>
                <c:pt idx="2">
                  <c:v>A-lav </c:v>
                </c:pt>
                <c:pt idx="3">
                  <c:v>B-høj </c:v>
                </c:pt>
                <c:pt idx="4">
                  <c:v>B-lav </c:v>
                </c:pt>
                <c:pt idx="5">
                  <c:v>C </c:v>
                </c:pt>
              </c:strCache>
            </c:strRef>
          </c:cat>
          <c:val>
            <c:numRef>
              <c:f>'1.1 Provenu'!$Q$16:$V$16</c:f>
              <c:numCache>
                <c:formatCode>#,##0_);\(#,##0\);"-"_);@_)</c:formatCode>
                <c:ptCount val="6"/>
                <c:pt idx="1">
                  <c:v>0</c:v>
                </c:pt>
                <c:pt idx="2">
                  <c:v>0</c:v>
                </c:pt>
                <c:pt idx="3">
                  <c:v>0</c:v>
                </c:pt>
                <c:pt idx="4">
                  <c:v>0</c:v>
                </c:pt>
                <c:pt idx="5">
                  <c:v>0</c:v>
                </c:pt>
              </c:numCache>
            </c:numRef>
          </c:val>
          <c:extLst>
            <c:ext xmlns:c16="http://schemas.microsoft.com/office/drawing/2014/chart" uri="{C3380CC4-5D6E-409C-BE32-E72D297353CC}">
              <c16:uniqueId val="{00000005-F73A-4437-B3AE-44448CBC3821}"/>
            </c:ext>
          </c:extLst>
        </c:ser>
        <c:dLbls>
          <c:showLegendKey val="0"/>
          <c:showVal val="1"/>
          <c:showCatName val="0"/>
          <c:showSerName val="0"/>
          <c:showPercent val="0"/>
          <c:showBubbleSize val="0"/>
        </c:dLbls>
        <c:gapWidth val="150"/>
        <c:overlap val="10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majorUnit val="1000000"/>
        <c:dispUnits>
          <c:custUnit val="1"/>
        </c:dispUnits>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legend>
    <c:plotVisOnly val="1"/>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Tarif -</a:t>
            </a:r>
            <a:r>
              <a:rPr lang="da-DK" baseline="0"/>
              <a:t> A-høj (DKK/kWh)</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setup'!$K$118,'2.1 Model setup'!$K$119,'2.1 Model setup'!$K$120,'2.1 Model setup'!$K$127,'2.1 Model setup'!$K$125)</c:f>
              <c:strCache>
                <c:ptCount val="5"/>
                <c:pt idx="0">
                  <c:v>Tarif, lavlast </c:v>
                </c:pt>
                <c:pt idx="1">
                  <c:v>Tarif, højlast </c:v>
                </c:pt>
                <c:pt idx="2">
                  <c:v>Tarif, spidslast </c:v>
                </c:pt>
                <c:pt idx="3">
                  <c:v>Indfødningstarif </c:v>
                </c:pt>
                <c:pt idx="4">
                  <c:v>Rådighedstarif </c:v>
                </c:pt>
              </c:strCache>
            </c:strRef>
          </c:cat>
          <c:val>
            <c:numRef>
              <c:f>('1.3 Varslingsanalyse'!$AA$17:$AA$19,'1.3 Varslingsanalyse'!$AA$27,'1.3 Varslingsanalyse'!$AA$30)</c:f>
              <c:numCache>
                <c:formatCode>#,##0.00_);\(#,##0.00\);"-"_);@_)</c:formatCode>
                <c:ptCount val="5"/>
                <c:pt idx="0">
                  <c:v>0</c:v>
                </c:pt>
                <c:pt idx="1">
                  <c:v>0</c:v>
                </c:pt>
                <c:pt idx="2">
                  <c:v>0</c:v>
                </c:pt>
                <c:pt idx="3">
                  <c:v>0</c:v>
                </c:pt>
                <c:pt idx="4">
                  <c:v>0</c:v>
                </c:pt>
              </c:numCache>
            </c:numRef>
          </c:val>
          <c:extLst>
            <c:ext xmlns:c16="http://schemas.microsoft.com/office/drawing/2014/chart" uri="{C3380CC4-5D6E-409C-BE32-E72D297353CC}">
              <c16:uniqueId val="{00000002-C532-4A17-8663-3755A5788DFB}"/>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setup'!$K$118,'2.1 Model setup'!$K$119,'2.1 Model setup'!$K$120,'2.1 Model setup'!$K$127,'2.1 Model setup'!$K$125)</c:f>
              <c:strCache>
                <c:ptCount val="5"/>
                <c:pt idx="0">
                  <c:v>Tarif, lavlast </c:v>
                </c:pt>
                <c:pt idx="1">
                  <c:v>Tarif, højlast </c:v>
                </c:pt>
                <c:pt idx="2">
                  <c:v>Tarif, spidslast </c:v>
                </c:pt>
                <c:pt idx="3">
                  <c:v>Indfødningstarif </c:v>
                </c:pt>
                <c:pt idx="4">
                  <c:v>Rådighedstarif </c:v>
                </c:pt>
              </c:strCache>
            </c:strRef>
          </c:cat>
          <c:val>
            <c:numRef>
              <c:f>('1.3 Varslingsanalyse'!$AJ$17:$AJ$19,'1.3 Varslingsanalyse'!$AJ$27,'1.3 Varslingsanalyse'!$AJ$30)</c:f>
              <c:numCache>
                <c:formatCode>#,##0.00_);\(#,##0.00\);"-"_);@_)</c:formatCode>
                <c:ptCount val="5"/>
                <c:pt idx="0">
                  <c:v>0</c:v>
                </c:pt>
                <c:pt idx="1">
                  <c:v>0</c:v>
                </c:pt>
                <c:pt idx="2">
                  <c:v>0</c:v>
                </c:pt>
                <c:pt idx="3">
                  <c:v>0</c:v>
                </c:pt>
                <c:pt idx="4">
                  <c:v>0</c:v>
                </c:pt>
              </c:numCache>
            </c:numRef>
          </c:val>
          <c:extLst>
            <c:ext xmlns:c16="http://schemas.microsoft.com/office/drawing/2014/chart" uri="{C3380CC4-5D6E-409C-BE32-E72D297353CC}">
              <c16:uniqueId val="{00000001-C532-4A17-8663-3755A5788DFB}"/>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00_);\(#,##0.00\);&quot;-&quot;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Abonnement -</a:t>
            </a:r>
            <a:r>
              <a:rPr lang="da-DK" baseline="0"/>
              <a:t> A-høj (DKK/installation)</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Varslingsanalyse'!$AA$36:$AA$39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0-CFD8-4A7B-BA46-873A4B74714D}"/>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Varslingsanalyse'!$AJ$36:$AJ$39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1-CFD8-4A7B-BA46-873A4B74714D}"/>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Effekt -</a:t>
            </a:r>
            <a:r>
              <a:rPr lang="da-DK" baseline="0"/>
              <a:t> A-høj (DKK pr. blok)</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setup'!$K$128</c:f>
              <c:strCache>
                <c:ptCount val="1"/>
                <c:pt idx="0">
                  <c:v>Effektpris pr. blok </c:v>
                </c:pt>
              </c:strCache>
            </c:strRef>
          </c:cat>
          <c:val>
            <c:numRef>
              <c:f>'1.3 Varslingsanalyse'!$AA$33</c:f>
              <c:numCache>
                <c:formatCode>#,##0_);\(#,##0\);"-"_);@_)</c:formatCode>
                <c:ptCount val="1"/>
                <c:pt idx="0">
                  <c:v>0</c:v>
                </c:pt>
              </c:numCache>
            </c:numRef>
          </c:val>
          <c:extLst>
            <c:ext xmlns:c16="http://schemas.microsoft.com/office/drawing/2014/chart" uri="{C3380CC4-5D6E-409C-BE32-E72D297353CC}">
              <c16:uniqueId val="{00000004-CC3C-4F4E-9CD9-DDF189119F32}"/>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setup'!$K$128</c:f>
              <c:strCache>
                <c:ptCount val="1"/>
                <c:pt idx="0">
                  <c:v>Effektpris pr. blok </c:v>
                </c:pt>
              </c:strCache>
            </c:strRef>
          </c:cat>
          <c:val>
            <c:numRef>
              <c:f>'1.3 Varslingsanalyse'!$AJ$33</c:f>
              <c:numCache>
                <c:formatCode>#,##0_);\(#,##0\);"-"_);@_)</c:formatCode>
                <c:ptCount val="1"/>
                <c:pt idx="0">
                  <c:v>0</c:v>
                </c:pt>
              </c:numCache>
            </c:numRef>
          </c:val>
          <c:extLst>
            <c:ext xmlns:c16="http://schemas.microsoft.com/office/drawing/2014/chart" uri="{C3380CC4-5D6E-409C-BE32-E72D297353CC}">
              <c16:uniqueId val="{00000005-CC3C-4F4E-9CD9-DDF189119F32}"/>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Tarif -</a:t>
            </a:r>
            <a:r>
              <a:rPr lang="da-DK" baseline="0"/>
              <a:t> A-lav (DKK/kWh)</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setup'!$K$118,'2.1 Model setup'!$K$119,'2.1 Model setup'!$K$120,'2.1 Model setup'!$K$127,'2.1 Model setup'!$K$125)</c:f>
              <c:strCache>
                <c:ptCount val="5"/>
                <c:pt idx="0">
                  <c:v>Tarif, lavlast </c:v>
                </c:pt>
                <c:pt idx="1">
                  <c:v>Tarif, højlast </c:v>
                </c:pt>
                <c:pt idx="2">
                  <c:v>Tarif, spidslast </c:v>
                </c:pt>
                <c:pt idx="3">
                  <c:v>Indfødningstarif </c:v>
                </c:pt>
                <c:pt idx="4">
                  <c:v>Rådighedstarif </c:v>
                </c:pt>
              </c:strCache>
            </c:strRef>
          </c:cat>
          <c:val>
            <c:numRef>
              <c:f>('1.3 Varslingsanalyse'!$AB$17:$AB$19,'1.3 Varslingsanalyse'!$AB$27,'1.3 Varslingsanalyse'!$AB$30)</c:f>
              <c:numCache>
                <c:formatCode>#,##0.00_);\(#,##0.00\);"-"_);@_)</c:formatCode>
                <c:ptCount val="5"/>
                <c:pt idx="0">
                  <c:v>0</c:v>
                </c:pt>
                <c:pt idx="1">
                  <c:v>0</c:v>
                </c:pt>
                <c:pt idx="2">
                  <c:v>0</c:v>
                </c:pt>
                <c:pt idx="3">
                  <c:v>0</c:v>
                </c:pt>
                <c:pt idx="4">
                  <c:v>0</c:v>
                </c:pt>
              </c:numCache>
            </c:numRef>
          </c:val>
          <c:extLst>
            <c:ext xmlns:c16="http://schemas.microsoft.com/office/drawing/2014/chart" uri="{C3380CC4-5D6E-409C-BE32-E72D297353CC}">
              <c16:uniqueId val="{00000004-5BF2-412B-B12A-94578ED26D9C}"/>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setup'!$K$118,'2.1 Model setup'!$K$119,'2.1 Model setup'!$K$120,'2.1 Model setup'!$K$127,'2.1 Model setup'!$K$125)</c:f>
              <c:strCache>
                <c:ptCount val="5"/>
                <c:pt idx="0">
                  <c:v>Tarif, lavlast </c:v>
                </c:pt>
                <c:pt idx="1">
                  <c:v>Tarif, højlast </c:v>
                </c:pt>
                <c:pt idx="2">
                  <c:v>Tarif, spidslast </c:v>
                </c:pt>
                <c:pt idx="3">
                  <c:v>Indfødningstarif </c:v>
                </c:pt>
                <c:pt idx="4">
                  <c:v>Rådighedstarif </c:v>
                </c:pt>
              </c:strCache>
            </c:strRef>
          </c:cat>
          <c:val>
            <c:numRef>
              <c:f>('1.3 Varslingsanalyse'!$AK$17:$AK$19,'1.3 Varslingsanalyse'!$AK$27,'1.3 Varslingsanalyse'!$AK$30)</c:f>
              <c:numCache>
                <c:formatCode>#,##0.00_);\(#,##0.00\);"-"_);@_)</c:formatCode>
                <c:ptCount val="5"/>
                <c:pt idx="0">
                  <c:v>0</c:v>
                </c:pt>
                <c:pt idx="1">
                  <c:v>0</c:v>
                </c:pt>
                <c:pt idx="2">
                  <c:v>0</c:v>
                </c:pt>
                <c:pt idx="3">
                  <c:v>0</c:v>
                </c:pt>
                <c:pt idx="4">
                  <c:v>0</c:v>
                </c:pt>
              </c:numCache>
            </c:numRef>
          </c:val>
          <c:extLst>
            <c:ext xmlns:c16="http://schemas.microsoft.com/office/drawing/2014/chart" uri="{C3380CC4-5D6E-409C-BE32-E72D297353CC}">
              <c16:uniqueId val="{00000005-5BF2-412B-B12A-94578ED26D9C}"/>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00_);\(#,##0.00\);&quot;-&quot;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Abonnement -</a:t>
            </a:r>
            <a:r>
              <a:rPr lang="da-DK" baseline="0"/>
              <a:t> A-lav (DKK/installation)</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Varslingsanalyse'!$AB$36:$AB$39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0-EB98-4A02-B307-57F1CF50D78C}"/>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Varslingsanalyse'!$AK$36:$AK$39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1-EB98-4A02-B307-57F1CF50D78C}"/>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Effekt -</a:t>
            </a:r>
            <a:r>
              <a:rPr lang="da-DK" baseline="0"/>
              <a:t> A-lav (DKK pr. blok)</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setup'!$K$128</c:f>
              <c:strCache>
                <c:ptCount val="1"/>
                <c:pt idx="0">
                  <c:v>Effektpris pr. blok </c:v>
                </c:pt>
              </c:strCache>
            </c:strRef>
          </c:cat>
          <c:val>
            <c:numRef>
              <c:f>'1.3 Varslingsanalyse'!$AB$33</c:f>
              <c:numCache>
                <c:formatCode>#,##0_);\(#,##0\);"-"_);@_)</c:formatCode>
                <c:ptCount val="1"/>
                <c:pt idx="0">
                  <c:v>0</c:v>
                </c:pt>
              </c:numCache>
            </c:numRef>
          </c:val>
          <c:extLst>
            <c:ext xmlns:c16="http://schemas.microsoft.com/office/drawing/2014/chart" uri="{C3380CC4-5D6E-409C-BE32-E72D297353CC}">
              <c16:uniqueId val="{00000000-F9D9-49D9-992E-B6CD17584F9B}"/>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setup'!$K$128</c:f>
              <c:strCache>
                <c:ptCount val="1"/>
                <c:pt idx="0">
                  <c:v>Effektpris pr. blok </c:v>
                </c:pt>
              </c:strCache>
            </c:strRef>
          </c:cat>
          <c:val>
            <c:numRef>
              <c:f>'1.3 Varslingsanalyse'!$AK$33</c:f>
              <c:numCache>
                <c:formatCode>#,##0_);\(#,##0\);"-"_);@_)</c:formatCode>
                <c:ptCount val="1"/>
                <c:pt idx="0">
                  <c:v>0</c:v>
                </c:pt>
              </c:numCache>
            </c:numRef>
          </c:val>
          <c:extLst>
            <c:ext xmlns:c16="http://schemas.microsoft.com/office/drawing/2014/chart" uri="{C3380CC4-5D6E-409C-BE32-E72D297353CC}">
              <c16:uniqueId val="{00000001-F9D9-49D9-992E-B6CD17584F9B}"/>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Tarif -</a:t>
            </a:r>
            <a:r>
              <a:rPr lang="da-DK" baseline="0"/>
              <a:t> B-høj (DKK/kWh)</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setup'!$K$118,'2.1 Model setup'!$K$119,'2.1 Model setup'!$K$120,'2.1 Model setup'!$K$127,'2.1 Model setup'!$K$125)</c:f>
              <c:strCache>
                <c:ptCount val="5"/>
                <c:pt idx="0">
                  <c:v>Tarif, lavlast </c:v>
                </c:pt>
                <c:pt idx="1">
                  <c:v>Tarif, højlast </c:v>
                </c:pt>
                <c:pt idx="2">
                  <c:v>Tarif, spidslast </c:v>
                </c:pt>
                <c:pt idx="3">
                  <c:v>Indfødningstarif </c:v>
                </c:pt>
                <c:pt idx="4">
                  <c:v>Rådighedstarif </c:v>
                </c:pt>
              </c:strCache>
            </c:strRef>
          </c:cat>
          <c:val>
            <c:numRef>
              <c:f>('1.3 Varslingsanalyse'!$AC$17:$AC$19,'1.3 Varslingsanalyse'!$AC$27,'1.3 Varslingsanalyse'!$AC$30)</c:f>
              <c:numCache>
                <c:formatCode>#,##0.00_);\(#,##0.00\);"-"_);@_)</c:formatCode>
                <c:ptCount val="5"/>
                <c:pt idx="0">
                  <c:v>0</c:v>
                </c:pt>
                <c:pt idx="1">
                  <c:v>0</c:v>
                </c:pt>
                <c:pt idx="2">
                  <c:v>0</c:v>
                </c:pt>
                <c:pt idx="3">
                  <c:v>0</c:v>
                </c:pt>
                <c:pt idx="4">
                  <c:v>0</c:v>
                </c:pt>
              </c:numCache>
            </c:numRef>
          </c:val>
          <c:extLst>
            <c:ext xmlns:c16="http://schemas.microsoft.com/office/drawing/2014/chart" uri="{C3380CC4-5D6E-409C-BE32-E72D297353CC}">
              <c16:uniqueId val="{00000000-B96C-4A3F-8394-B5550A76AB60}"/>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setup'!$K$118,'2.1 Model setup'!$K$119,'2.1 Model setup'!$K$120,'2.1 Model setup'!$K$127,'2.1 Model setup'!$K$125)</c:f>
              <c:strCache>
                <c:ptCount val="5"/>
                <c:pt idx="0">
                  <c:v>Tarif, lavlast </c:v>
                </c:pt>
                <c:pt idx="1">
                  <c:v>Tarif, højlast </c:v>
                </c:pt>
                <c:pt idx="2">
                  <c:v>Tarif, spidslast </c:v>
                </c:pt>
                <c:pt idx="3">
                  <c:v>Indfødningstarif </c:v>
                </c:pt>
                <c:pt idx="4">
                  <c:v>Rådighedstarif </c:v>
                </c:pt>
              </c:strCache>
            </c:strRef>
          </c:cat>
          <c:val>
            <c:numRef>
              <c:f>('1.3 Varslingsanalyse'!$AL$17:$AL$19,'1.3 Varslingsanalyse'!$AL$27,'1.3 Varslingsanalyse'!$AL$30)</c:f>
              <c:numCache>
                <c:formatCode>#,##0.00_);\(#,##0.00\);"-"_);@_)</c:formatCode>
                <c:ptCount val="5"/>
                <c:pt idx="0">
                  <c:v>0</c:v>
                </c:pt>
                <c:pt idx="1">
                  <c:v>0</c:v>
                </c:pt>
                <c:pt idx="2">
                  <c:v>0</c:v>
                </c:pt>
                <c:pt idx="3">
                  <c:v>0</c:v>
                </c:pt>
                <c:pt idx="4">
                  <c:v>0</c:v>
                </c:pt>
              </c:numCache>
            </c:numRef>
          </c:val>
          <c:extLst>
            <c:ext xmlns:c16="http://schemas.microsoft.com/office/drawing/2014/chart" uri="{C3380CC4-5D6E-409C-BE32-E72D297353CC}">
              <c16:uniqueId val="{00000001-B96C-4A3F-8394-B5550A76AB60}"/>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00_);\(#,##0.00\);&quot;-&quot;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Abonnement -</a:t>
            </a:r>
            <a:r>
              <a:rPr lang="da-DK" baseline="0"/>
              <a:t> B-høj (DKK/installation)</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Varslingsanalyse'!$AC$36:$AC$39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0-D6CA-4AB6-917E-29EECBB451F5}"/>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Varslingsanalyse'!$AL$36:$AL$39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1-D6CA-4AB6-917E-29EECBB451F5}"/>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Effekt -</a:t>
            </a:r>
            <a:r>
              <a:rPr lang="da-DK" baseline="0"/>
              <a:t> B-høj (DKK pr. blok)</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setup'!$K$128</c:f>
              <c:strCache>
                <c:ptCount val="1"/>
                <c:pt idx="0">
                  <c:v>Effektpris pr. blok </c:v>
                </c:pt>
              </c:strCache>
            </c:strRef>
          </c:cat>
          <c:val>
            <c:numRef>
              <c:f>'1.3 Varslingsanalyse'!$AC$33</c:f>
              <c:numCache>
                <c:formatCode>#,##0_);\(#,##0\);"-"_);@_)</c:formatCode>
                <c:ptCount val="1"/>
                <c:pt idx="0">
                  <c:v>0</c:v>
                </c:pt>
              </c:numCache>
            </c:numRef>
          </c:val>
          <c:extLst>
            <c:ext xmlns:c16="http://schemas.microsoft.com/office/drawing/2014/chart" uri="{C3380CC4-5D6E-409C-BE32-E72D297353CC}">
              <c16:uniqueId val="{00000000-AB50-4F5E-A6FC-06F5F3AAC482}"/>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setup'!$K$128</c:f>
              <c:strCache>
                <c:ptCount val="1"/>
                <c:pt idx="0">
                  <c:v>Effektpris pr. blok </c:v>
                </c:pt>
              </c:strCache>
            </c:strRef>
          </c:cat>
          <c:val>
            <c:numRef>
              <c:f>'1.3 Varslingsanalyse'!$AL$33</c:f>
              <c:numCache>
                <c:formatCode>#,##0_);\(#,##0\);"-"_);@_)</c:formatCode>
                <c:ptCount val="1"/>
                <c:pt idx="0">
                  <c:v>0</c:v>
                </c:pt>
              </c:numCache>
            </c:numRef>
          </c:val>
          <c:extLst>
            <c:ext xmlns:c16="http://schemas.microsoft.com/office/drawing/2014/chart" uri="{C3380CC4-5D6E-409C-BE32-E72D297353CC}">
              <c16:uniqueId val="{00000001-AB50-4F5E-A6FC-06F5F3AAC482}"/>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min val="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Tarif -</a:t>
            </a:r>
            <a:r>
              <a:rPr lang="da-DK" baseline="0"/>
              <a:t> B-lav (DKK/kWh)</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setup'!$K$118,'2.1 Model setup'!$K$119,'2.1 Model setup'!$K$120,'2.1 Model setup'!$K$127,'2.1 Model setup'!$K$125)</c:f>
              <c:strCache>
                <c:ptCount val="5"/>
                <c:pt idx="0">
                  <c:v>Tarif, lavlast </c:v>
                </c:pt>
                <c:pt idx="1">
                  <c:v>Tarif, højlast </c:v>
                </c:pt>
                <c:pt idx="2">
                  <c:v>Tarif, spidslast </c:v>
                </c:pt>
                <c:pt idx="3">
                  <c:v>Indfødningstarif </c:v>
                </c:pt>
                <c:pt idx="4">
                  <c:v>Rådighedstarif </c:v>
                </c:pt>
              </c:strCache>
            </c:strRef>
          </c:cat>
          <c:val>
            <c:numRef>
              <c:f>('1.3 Varslingsanalyse'!$AD$17:$AD$19,'1.3 Varslingsanalyse'!$AD$27,'1.3 Varslingsanalyse'!$AD$30)</c:f>
              <c:numCache>
                <c:formatCode>#,##0.00_);\(#,##0.00\);"-"_);@_)</c:formatCode>
                <c:ptCount val="5"/>
                <c:pt idx="0">
                  <c:v>0</c:v>
                </c:pt>
                <c:pt idx="1">
                  <c:v>0</c:v>
                </c:pt>
                <c:pt idx="2">
                  <c:v>0</c:v>
                </c:pt>
                <c:pt idx="3">
                  <c:v>0</c:v>
                </c:pt>
                <c:pt idx="4">
                  <c:v>0</c:v>
                </c:pt>
              </c:numCache>
            </c:numRef>
          </c:val>
          <c:extLst>
            <c:ext xmlns:c16="http://schemas.microsoft.com/office/drawing/2014/chart" uri="{C3380CC4-5D6E-409C-BE32-E72D297353CC}">
              <c16:uniqueId val="{00000000-08C0-43FF-B0C9-CFFFFDCE08A7}"/>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setup'!$K$118,'2.1 Model setup'!$K$119,'2.1 Model setup'!$K$120,'2.1 Model setup'!$K$127,'2.1 Model setup'!$K$125)</c:f>
              <c:strCache>
                <c:ptCount val="5"/>
                <c:pt idx="0">
                  <c:v>Tarif, lavlast </c:v>
                </c:pt>
                <c:pt idx="1">
                  <c:v>Tarif, højlast </c:v>
                </c:pt>
                <c:pt idx="2">
                  <c:v>Tarif, spidslast </c:v>
                </c:pt>
                <c:pt idx="3">
                  <c:v>Indfødningstarif </c:v>
                </c:pt>
                <c:pt idx="4">
                  <c:v>Rådighedstarif </c:v>
                </c:pt>
              </c:strCache>
            </c:strRef>
          </c:cat>
          <c:val>
            <c:numRef>
              <c:f>('1.3 Varslingsanalyse'!$AM$17:$AM$19,'1.3 Varslingsanalyse'!$AM$27,'1.3 Varslingsanalyse'!$AM$30)</c:f>
              <c:numCache>
                <c:formatCode>#,##0.00_);\(#,##0.00\);"-"_);@_)</c:formatCode>
                <c:ptCount val="5"/>
                <c:pt idx="0">
                  <c:v>0</c:v>
                </c:pt>
                <c:pt idx="1">
                  <c:v>0</c:v>
                </c:pt>
                <c:pt idx="2">
                  <c:v>0</c:v>
                </c:pt>
                <c:pt idx="3">
                  <c:v>0</c:v>
                </c:pt>
                <c:pt idx="4">
                  <c:v>0</c:v>
                </c:pt>
              </c:numCache>
            </c:numRef>
          </c:val>
          <c:extLst>
            <c:ext xmlns:c16="http://schemas.microsoft.com/office/drawing/2014/chart" uri="{C3380CC4-5D6E-409C-BE32-E72D297353CC}">
              <c16:uniqueId val="{00000001-08C0-43FF-B0C9-CFFFFDCE08A7}"/>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00_);\(#,##0.00\);&quot;-&quot;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for A-høj (DKKt)</a:t>
            </a:r>
          </a:p>
        </c:rich>
      </c:tx>
      <c:layout>
        <c:manualLayout>
          <c:xMode val="edge"/>
          <c:yMode val="edge"/>
          <c:x val="0.2584223112041959"/>
          <c:y val="7.9493418896059001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clustered"/>
        <c:varyColors val="0"/>
        <c:ser>
          <c:idx val="0"/>
          <c:order val="0"/>
          <c:tx>
            <c:v>Provenu fordelt for A-høj (DKKt)</c:v>
          </c:tx>
          <c:spPr>
            <a:solidFill>
              <a:srgbClr val="6FC2B6"/>
            </a:solidFill>
            <a:ln>
              <a:solidFill>
                <a:sysClr val="window" lastClr="FFFFFF"/>
              </a:solidFill>
            </a:ln>
            <a:effectLst/>
          </c:spPr>
          <c:invertIfNegative val="0"/>
          <c:dLbls>
            <c:delete val="1"/>
          </c:dLbls>
          <c:cat>
            <c:strRef>
              <c:f>'2.1 Model setup'!$K$105:$K$115</c:f>
              <c:strCache>
                <c:ptCount val="11"/>
                <c:pt idx="0">
                  <c:v>Tarif, lavlast </c:v>
                </c:pt>
                <c:pt idx="1">
                  <c:v>Tarif, højlast </c:v>
                </c:pt>
                <c:pt idx="2">
                  <c:v>Tarif, spidslast </c:v>
                </c:pt>
                <c:pt idx="3">
                  <c:v>Rådighedstarif </c:v>
                </c:pt>
                <c:pt idx="4">
                  <c:v>Rådighedsbetaling </c:v>
                </c:pt>
                <c:pt idx="5">
                  <c:v>Indfødningstarif </c:v>
                </c:pt>
                <c:pt idx="6">
                  <c:v>Effekt </c:v>
                </c:pt>
                <c:pt idx="7">
                  <c:v>Forbrugsabon. </c:v>
                </c:pt>
                <c:pt idx="8">
                  <c:v>Producentabon. </c:v>
                </c:pt>
                <c:pt idx="9">
                  <c:v>Producentabon., ej måler </c:v>
                </c:pt>
                <c:pt idx="10">
                  <c:v>Egenproducentabon. </c:v>
                </c:pt>
              </c:strCache>
            </c:strRef>
          </c:cat>
          <c:val>
            <c:numRef>
              <c:f>('1.1 Provenu'!$R$21:$R$26,'1.1 Provenu'!$R$30,'1.1 Provenu'!$R$33:$R$36)</c:f>
              <c:numCache>
                <c:formatCode>#,##0_);\(#,##0\);"-"_);@_)</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08EC-4080-8B75-366C6037A4B7}"/>
            </c:ext>
          </c:extLst>
        </c:ser>
        <c:dLbls>
          <c:showLegendKey val="0"/>
          <c:showVal val="1"/>
          <c:showCatName val="0"/>
          <c:showSerName val="0"/>
          <c:showPercent val="0"/>
          <c:showBubbleSize val="0"/>
        </c:dLbls>
        <c:gapWidth val="15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plotVisOnly val="0"/>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Abonnement -</a:t>
            </a:r>
            <a:r>
              <a:rPr lang="da-DK" baseline="0"/>
              <a:t> B-lav (DKK/installation)</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Varslingsanalyse'!$AD$36:$AD$39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0-704D-4A8E-8E0A-E579E2E1F7D5}"/>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Varslingsanalyse'!$AM$36:$AM$39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1-704D-4A8E-8E0A-E579E2E1F7D5}"/>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Tarif -</a:t>
            </a:r>
            <a:r>
              <a:rPr lang="da-DK" baseline="0"/>
              <a:t> C (DKK/kWh)</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setup'!$K$118,'2.1 Model setup'!$K$121:$K$125)</c:f>
              <c:strCache>
                <c:ptCount val="6"/>
                <c:pt idx="0">
                  <c:v>Tarif, lavlast </c:v>
                </c:pt>
                <c:pt idx="1">
                  <c:v>Tarif, højlast - vinter </c:v>
                </c:pt>
                <c:pt idx="2">
                  <c:v>Tarif, spidslast - vinter </c:v>
                </c:pt>
                <c:pt idx="3">
                  <c:v>Tarif, højlast - sommer </c:v>
                </c:pt>
                <c:pt idx="4">
                  <c:v>Tarif, spidslast - sommer </c:v>
                </c:pt>
                <c:pt idx="5">
                  <c:v>Rådighedstarif </c:v>
                </c:pt>
              </c:strCache>
            </c:strRef>
          </c:cat>
          <c:val>
            <c:numRef>
              <c:f>('1.3 Varslingsanalyse'!$AE$17:$AE$19,'1.3 Varslingsanalyse'!$AE$23:$AE$24,'1.3 Varslingsanalyse'!$AE$27,'1.3 Varslingsanalyse'!$AE$30)</c:f>
              <c:numCache>
                <c:formatCode>#,##0.00_);\(#,##0.00\);"-"_);@_)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7EC1-45CF-93D5-F89D4158E8E6}"/>
            </c:ext>
          </c:extLst>
        </c:ser>
        <c:ser>
          <c:idx val="1"/>
          <c:order val="1"/>
          <c:tx>
            <c:strRef>
              <c:f>'1.3 Varslingsanalyse'!$AG$12:$AN$12</c:f>
              <c:strCache>
                <c:ptCount val="1"/>
                <c:pt idx="0">
                  <c:v>Gamle tariffer </c:v>
                </c:pt>
              </c:strCache>
            </c:strRef>
          </c:tx>
          <c:spPr>
            <a:solidFill>
              <a:srgbClr val="222221"/>
            </a:solidFill>
            <a:ln>
              <a:noFill/>
            </a:ln>
            <a:effectLst/>
          </c:spPr>
          <c:invertIfNegative val="0"/>
          <c:val>
            <c:numRef>
              <c:f>('1.3 Varslingsanalyse'!$AN$17:$AN$19,'1.3 Varslingsanalyse'!$AN$23:$AN$24,'1.3 Varslingsanalyse'!$AN$27,'1.3 Varslingsanalyse'!$AN$30)</c:f>
              <c:numCache>
                <c:formatCode>#,##0.00_);\(#,##0.00\);"-"_);@_)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7EC1-45CF-93D5-F89D4158E8E6}"/>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00_);\(#,##0.00\);&quot;-&quot;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Abonnement -</a:t>
            </a:r>
            <a:r>
              <a:rPr lang="da-DK" baseline="0"/>
              <a:t> C (DKK/installation)</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Varslingsanalyse'!$AE$36:$AE$39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0-2BE6-4A63-B971-1C1233B97D02}"/>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Varslingsanalyse'!$AN$36:$AN$39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1-2BE6-4A63-B971-1C1233B97D02}"/>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Abonnement -</a:t>
            </a:r>
            <a:r>
              <a:rPr lang="da-DK" baseline="0"/>
              <a:t> A0 (DKK/installation)</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Varslingsanalyse'!$Z$36:$Z$39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0-CFD8-4A7B-BA46-873A4B74714D}"/>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setup'!$K$129:$K$132</c:f>
              <c:strCache>
                <c:ptCount val="4"/>
                <c:pt idx="0">
                  <c:v>Forbrugsabon. </c:v>
                </c:pt>
                <c:pt idx="1">
                  <c:v>Producentabon. </c:v>
                </c:pt>
                <c:pt idx="2">
                  <c:v>Producentabon., ej måler </c:v>
                </c:pt>
                <c:pt idx="3">
                  <c:v>Egenproducentabon. </c:v>
                </c:pt>
              </c:strCache>
            </c:strRef>
          </c:cat>
          <c:val>
            <c:numRef>
              <c:f>'1.3 Varslingsanalyse'!$AI$36:$AI$39</c:f>
              <c:numCache>
                <c:formatCode>#,##0_);\(#,##0\);"-"_);@_)</c:formatCode>
                <c:ptCount val="4"/>
                <c:pt idx="0">
                  <c:v>0</c:v>
                </c:pt>
                <c:pt idx="1">
                  <c:v>0</c:v>
                </c:pt>
                <c:pt idx="2">
                  <c:v>0</c:v>
                </c:pt>
                <c:pt idx="3">
                  <c:v>0</c:v>
                </c:pt>
              </c:numCache>
            </c:numRef>
          </c:val>
          <c:extLst>
            <c:ext xmlns:c16="http://schemas.microsoft.com/office/drawing/2014/chart" uri="{C3380CC4-5D6E-409C-BE32-E72D297353CC}">
              <c16:uniqueId val="{00000001-CFD8-4A7B-BA46-873A4B74714D}"/>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Indfødningstarif -</a:t>
            </a:r>
            <a:r>
              <a:rPr lang="da-DK" baseline="0"/>
              <a:t> A-høj+ (DKK/kWh)</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setup'!$K$127</c:f>
              <c:strCache>
                <c:ptCount val="1"/>
                <c:pt idx="0">
                  <c:v>Indfødningstarif </c:v>
                </c:pt>
              </c:strCache>
            </c:strRef>
          </c:cat>
          <c:val>
            <c:numRef>
              <c:f>'1.3 Varslingsanalyse'!$X$27</c:f>
              <c:numCache>
                <c:formatCode>#,##0.00_);\(#,##0.00\);"-"_);@_)</c:formatCode>
                <c:ptCount val="1"/>
                <c:pt idx="0">
                  <c:v>0</c:v>
                </c:pt>
              </c:numCache>
            </c:numRef>
          </c:val>
          <c:extLst>
            <c:ext xmlns:c16="http://schemas.microsoft.com/office/drawing/2014/chart" uri="{C3380CC4-5D6E-409C-BE32-E72D297353CC}">
              <c16:uniqueId val="{00000000-656B-48AA-9AF1-A5FC1C57A7B5}"/>
            </c:ext>
          </c:extLst>
        </c:ser>
        <c:ser>
          <c:idx val="1"/>
          <c:order val="1"/>
          <c:tx>
            <c:strRef>
              <c:f>'1.3 Varslingsanalyse'!$AG$12:$AN$12</c:f>
              <c:strCache>
                <c:ptCount val="1"/>
                <c:pt idx="0">
                  <c:v>Gamle tariffer </c:v>
                </c:pt>
              </c:strCache>
            </c:strRef>
          </c:tx>
          <c:spPr>
            <a:solidFill>
              <a:srgbClr val="222221"/>
            </a:solidFill>
            <a:ln>
              <a:noFill/>
            </a:ln>
            <a:effectLst/>
          </c:spPr>
          <c:invertIfNegative val="0"/>
          <c:cat>
            <c:strRef>
              <c:f>'2.1 Model setup'!$K$127</c:f>
              <c:strCache>
                <c:ptCount val="1"/>
                <c:pt idx="0">
                  <c:v>Indfødningstarif </c:v>
                </c:pt>
              </c:strCache>
            </c:strRef>
          </c:cat>
          <c:val>
            <c:numRef>
              <c:f>('1.3 Varslingsanalyse'!$AK$17:$AK$19,'1.3 Varslingsanalyse'!$AK$30)</c:f>
              <c:numCache>
                <c:formatCode>#,##0.00_);\(#,##0.00\);"-"_);@_)</c:formatCode>
                <c:ptCount val="4"/>
                <c:pt idx="0">
                  <c:v>0</c:v>
                </c:pt>
                <c:pt idx="1">
                  <c:v>0</c:v>
                </c:pt>
                <c:pt idx="2">
                  <c:v>0</c:v>
                </c:pt>
                <c:pt idx="3">
                  <c:v>0</c:v>
                </c:pt>
              </c:numCache>
            </c:numRef>
          </c:val>
          <c:extLst>
            <c:ext xmlns:c16="http://schemas.microsoft.com/office/drawing/2014/chart" uri="{C3380CC4-5D6E-409C-BE32-E72D297353CC}">
              <c16:uniqueId val="{00000001-656B-48AA-9AF1-A5FC1C57A7B5}"/>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00_);\(#,##0.00\);&quot;-&quot;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min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a-DK"/>
              <a:t>Indfødningstarif</a:t>
            </a:r>
            <a:r>
              <a:rPr lang="da-DK" baseline="0"/>
              <a:t> </a:t>
            </a:r>
            <a:r>
              <a:rPr lang="da-DK"/>
              <a:t>-</a:t>
            </a:r>
            <a:r>
              <a:rPr lang="da-DK" baseline="0"/>
              <a:t> A-høj+,maske (DKK/kWh)</a:t>
            </a:r>
            <a:endParaRPr lang="da-DK"/>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a-DK"/>
        </a:p>
      </c:txPr>
    </c:title>
    <c:autoTitleDeleted val="0"/>
    <c:plotArea>
      <c:layout/>
      <c:barChart>
        <c:barDir val="bar"/>
        <c:grouping val="clustered"/>
        <c:varyColors val="0"/>
        <c:ser>
          <c:idx val="0"/>
          <c:order val="0"/>
          <c:tx>
            <c:strRef>
              <c:f>'1.3 Varslingsanalyse'!$X$12:$AE$12</c:f>
              <c:strCache>
                <c:ptCount val="1"/>
                <c:pt idx="0">
                  <c:v>Nye tariffer </c:v>
                </c:pt>
              </c:strCache>
            </c:strRef>
          </c:tx>
          <c:spPr>
            <a:solidFill>
              <a:srgbClr val="6FC2B6"/>
            </a:solidFill>
            <a:ln>
              <a:noFill/>
            </a:ln>
            <a:effectLst/>
          </c:spPr>
          <c:invertIfNegative val="0"/>
          <c:cat>
            <c:strRef>
              <c:f>'2.1 Model setup'!$K$127</c:f>
              <c:strCache>
                <c:ptCount val="1"/>
                <c:pt idx="0">
                  <c:v>Indfødningstarif </c:v>
                </c:pt>
              </c:strCache>
            </c:strRef>
          </c:cat>
          <c:val>
            <c:numRef>
              <c:f>'1.3 Varslingsanalyse'!$Y$27</c:f>
              <c:numCache>
                <c:formatCode>#,##0.00_);\(#,##0.00\);"-"_);@_)</c:formatCode>
                <c:ptCount val="1"/>
                <c:pt idx="0">
                  <c:v>0</c:v>
                </c:pt>
              </c:numCache>
            </c:numRef>
          </c:val>
          <c:extLst>
            <c:ext xmlns:c16="http://schemas.microsoft.com/office/drawing/2014/chart" uri="{C3380CC4-5D6E-409C-BE32-E72D297353CC}">
              <c16:uniqueId val="{00000000-07FD-49CC-B535-639502A8DAE3}"/>
            </c:ext>
          </c:extLst>
        </c:ser>
        <c:ser>
          <c:idx val="1"/>
          <c:order val="1"/>
          <c:tx>
            <c:strRef>
              <c:f>'1.3 Varslingsanalyse'!$AG$12:$AN$12</c:f>
              <c:strCache>
                <c:ptCount val="1"/>
                <c:pt idx="0">
                  <c:v>Gamle tariffer </c:v>
                </c:pt>
              </c:strCache>
            </c:strRef>
          </c:tx>
          <c:spPr>
            <a:solidFill>
              <a:schemeClr val="accent2"/>
            </a:solidFill>
            <a:ln>
              <a:noFill/>
            </a:ln>
            <a:effectLst/>
          </c:spPr>
          <c:invertIfNegative val="0"/>
          <c:cat>
            <c:strRef>
              <c:f>'2.1 Model setup'!$K$127</c:f>
              <c:strCache>
                <c:ptCount val="1"/>
                <c:pt idx="0">
                  <c:v>Indfødningstarif </c:v>
                </c:pt>
              </c:strCache>
            </c:strRef>
          </c:cat>
          <c:val>
            <c:numRef>
              <c:f>('1.3 Varslingsanalyse'!$AL$17:$AL$19,'1.3 Varslingsanalyse'!$AL$30)</c:f>
              <c:numCache>
                <c:formatCode>#,##0.00_);\(#,##0.00\);"-"_);@_)</c:formatCode>
                <c:ptCount val="4"/>
                <c:pt idx="0">
                  <c:v>0</c:v>
                </c:pt>
                <c:pt idx="1">
                  <c:v>0</c:v>
                </c:pt>
                <c:pt idx="2">
                  <c:v>0</c:v>
                </c:pt>
                <c:pt idx="3">
                  <c:v>0</c:v>
                </c:pt>
              </c:numCache>
            </c:numRef>
          </c:val>
          <c:extLst>
            <c:ext xmlns:c16="http://schemas.microsoft.com/office/drawing/2014/chart" uri="{C3380CC4-5D6E-409C-BE32-E72D297353CC}">
              <c16:uniqueId val="{00000001-07FD-49CC-B535-639502A8DAE3}"/>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00_);\(#,##0.00\);&quot;-&quot;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a-DK"/>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på kundekategorier (DKKt)</a:t>
            </a:r>
          </a:p>
        </c:rich>
      </c:tx>
      <c:layout>
        <c:manualLayout>
          <c:xMode val="edge"/>
          <c:yMode val="edge"/>
          <c:x val="0.17080702015701629"/>
          <c:y val="8.4895277521134294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stacked"/>
        <c:varyColors val="0"/>
        <c:ser>
          <c:idx val="0"/>
          <c:order val="0"/>
          <c:tx>
            <c:strRef>
              <c:f>'2.1 Model setup'!$K$110</c:f>
              <c:strCache>
                <c:ptCount val="1"/>
                <c:pt idx="0">
                  <c:v>Indfødningstarif </c:v>
                </c:pt>
              </c:strCache>
            </c:strRef>
          </c:tx>
          <c:spPr>
            <a:solidFill>
              <a:srgbClr val="6FC2B6"/>
            </a:solidFill>
            <a:ln>
              <a:noFill/>
            </a:ln>
            <a:effectLst/>
          </c:spPr>
          <c:invertIfNegative val="0"/>
          <c:dLbls>
            <c:delete val="1"/>
          </c:dLbls>
          <c:cat>
            <c:strRef>
              <c:f>'1.5 Indfødningstarif'!$O$10:$V$10</c:f>
              <c:strCache>
                <c:ptCount val="7"/>
                <c:pt idx="0">
                  <c:v>A-høj+ </c:v>
                </c:pt>
                <c:pt idx="1">
                  <c:v>A-høj+,maske </c:v>
                </c:pt>
                <c:pt idx="2">
                  <c:v>A-høj </c:v>
                </c:pt>
                <c:pt idx="3">
                  <c:v>A-lav </c:v>
                </c:pt>
                <c:pt idx="4">
                  <c:v>B-høj </c:v>
                </c:pt>
                <c:pt idx="5">
                  <c:v>B-lav </c:v>
                </c:pt>
                <c:pt idx="6">
                  <c:v>C </c:v>
                </c:pt>
              </c:strCache>
            </c:strRef>
          </c:cat>
          <c:val>
            <c:numRef>
              <c:f>'1.5 Indfødningstarif'!$O$20:$V$20</c:f>
              <c:numCache>
                <c:formatCode>#,##0_);\(#,##0\);"-"_);@_)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CAF-4DD2-9B3E-86D6B3CDDEC5}"/>
            </c:ext>
          </c:extLst>
        </c:ser>
        <c:dLbls>
          <c:showLegendKey val="0"/>
          <c:showVal val="1"/>
          <c:showCatName val="0"/>
          <c:showSerName val="0"/>
          <c:showPercent val="0"/>
          <c:showBubbleSize val="0"/>
        </c:dLbls>
        <c:gapWidth val="150"/>
        <c:overlap val="10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plotVisOnly val="1"/>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rtl="0">
              <a:defRPr lang="da-DK" sz="1000" b="1" i="0" u="none" strike="noStrike" kern="1200" spc="0" baseline="0">
                <a:solidFill>
                  <a:schemeClr val="tx1"/>
                </a:solidFill>
                <a:latin typeface="Arial"/>
                <a:ea typeface="Arial"/>
                <a:cs typeface="Arial"/>
              </a:defRPr>
            </a:pPr>
            <a:r>
              <a:rPr lang="da-DK" sz="1000" b="1" i="0" u="none" strike="noStrike" kern="1200" baseline="0">
                <a:solidFill>
                  <a:schemeClr val="tx1"/>
                </a:solidFill>
                <a:latin typeface="Arial"/>
                <a:ea typeface="Arial"/>
                <a:cs typeface="Arial"/>
              </a:rPr>
              <a:t>Indfødningstariffer (Øre/kWh)</a:t>
            </a:r>
          </a:p>
        </c:rich>
      </c:tx>
      <c:overlay val="0"/>
      <c:spPr>
        <a:noFill/>
        <a:ln>
          <a:noFill/>
        </a:ln>
        <a:effectLst/>
      </c:spPr>
      <c:txPr>
        <a:bodyPr rot="0" spcFirstLastPara="1" vertOverflow="ellipsis" vert="horz" wrap="square" anchor="ctr" anchorCtr="1"/>
        <a:lstStyle/>
        <a:p>
          <a:pPr algn="l" rtl="0">
            <a:defRPr lang="da-DK" sz="1000" b="1" i="0" u="none" strike="noStrike" kern="1200" spc="0" baseline="0">
              <a:solidFill>
                <a:schemeClr val="tx1"/>
              </a:solidFill>
              <a:latin typeface="Arial"/>
              <a:ea typeface="Arial"/>
              <a:cs typeface="Arial"/>
            </a:defRPr>
          </a:pPr>
          <a:endParaRPr lang="da-DK"/>
        </a:p>
      </c:txPr>
    </c:title>
    <c:autoTitleDeleted val="0"/>
    <c:plotArea>
      <c:layout/>
      <c:barChart>
        <c:barDir val="bar"/>
        <c:grouping val="clustered"/>
        <c:varyColors val="0"/>
        <c:ser>
          <c:idx val="0"/>
          <c:order val="0"/>
          <c:tx>
            <c:strRef>
              <c:f>'1.3 Varslingsanalyse'!$X$12:$AE$12</c:f>
              <c:strCache>
                <c:ptCount val="8"/>
                <c:pt idx="0">
                  <c:v>Nye tariffer </c:v>
                </c:pt>
              </c:strCache>
            </c:strRef>
          </c:tx>
          <c:spPr>
            <a:solidFill>
              <a:srgbClr val="6FC2B6"/>
            </a:solidFill>
            <a:ln>
              <a:noFill/>
            </a:ln>
            <a:effectLst/>
          </c:spPr>
          <c:invertIfNegative val="0"/>
          <c:cat>
            <c:strRef>
              <c:f>'2.1 Model setup'!$O$25:$V$25</c:f>
              <c:strCache>
                <c:ptCount val="8"/>
                <c:pt idx="0">
                  <c:v>A-høj+ </c:v>
                </c:pt>
                <c:pt idx="1">
                  <c:v>A-høj+,maske </c:v>
                </c:pt>
                <c:pt idx="2">
                  <c:v>A0 </c:v>
                </c:pt>
                <c:pt idx="3">
                  <c:v>A-høj </c:v>
                </c:pt>
                <c:pt idx="4">
                  <c:v>A-lav </c:v>
                </c:pt>
                <c:pt idx="5">
                  <c:v>B-høj </c:v>
                </c:pt>
                <c:pt idx="6">
                  <c:v>B-lav </c:v>
                </c:pt>
                <c:pt idx="7">
                  <c:v>C </c:v>
                </c:pt>
              </c:strCache>
            </c:strRef>
          </c:cat>
          <c:val>
            <c:numRef>
              <c:f>'1.5 Indfødningstarif'!$O$45:$V$45</c:f>
              <c:numCache>
                <c:formatCode>#,##0.00_);\(#,##0.00\);"-"_);@_)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91B-4C67-B199-09E72F4C6B0C}"/>
            </c:ext>
          </c:extLst>
        </c:ser>
        <c:ser>
          <c:idx val="1"/>
          <c:order val="1"/>
          <c:tx>
            <c:strRef>
              <c:f>'1.3 Varslingsanalyse'!$AG$12:$AN$12</c:f>
              <c:strCache>
                <c:ptCount val="8"/>
                <c:pt idx="0">
                  <c:v>Gamle tariffer </c:v>
                </c:pt>
              </c:strCache>
            </c:strRef>
          </c:tx>
          <c:spPr>
            <a:solidFill>
              <a:schemeClr val="tx1"/>
            </a:solidFill>
            <a:ln>
              <a:noFill/>
            </a:ln>
            <a:effectLst/>
          </c:spPr>
          <c:invertIfNegative val="0"/>
          <c:cat>
            <c:strRef>
              <c:f>'2.1 Model setup'!$O$25:$V$25</c:f>
              <c:strCache>
                <c:ptCount val="8"/>
                <c:pt idx="0">
                  <c:v>A-høj+ </c:v>
                </c:pt>
                <c:pt idx="1">
                  <c:v>A-høj+,maske </c:v>
                </c:pt>
                <c:pt idx="2">
                  <c:v>A0 </c:v>
                </c:pt>
                <c:pt idx="3">
                  <c:v>A-høj </c:v>
                </c:pt>
                <c:pt idx="4">
                  <c:v>A-lav </c:v>
                </c:pt>
                <c:pt idx="5">
                  <c:v>B-høj </c:v>
                </c:pt>
                <c:pt idx="6">
                  <c:v>B-lav </c:v>
                </c:pt>
                <c:pt idx="7">
                  <c:v>C </c:v>
                </c:pt>
              </c:strCache>
            </c:strRef>
          </c:cat>
          <c:val>
            <c:numRef>
              <c:f>'1.5 Indfødningstarif'!$O$49:$V$49</c:f>
              <c:numCache>
                <c:formatCode>#,##0.00_);\(#,##0.00\);"-"_);@_)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A91B-4C67-B199-09E72F4C6B0C}"/>
            </c:ext>
          </c:extLst>
        </c:ser>
        <c:dLbls>
          <c:showLegendKey val="0"/>
          <c:showVal val="0"/>
          <c:showCatName val="0"/>
          <c:showSerName val="0"/>
          <c:showPercent val="0"/>
          <c:showBubbleSize val="0"/>
        </c:dLbls>
        <c:gapWidth val="219"/>
        <c:axId val="322889759"/>
        <c:axId val="52784543"/>
      </c:barChart>
      <c:catAx>
        <c:axId val="3228897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800" b="0" i="0" u="none" strike="noStrike" kern="1200" baseline="0">
                <a:solidFill>
                  <a:schemeClr val="tx1"/>
                </a:solidFill>
                <a:latin typeface="+mn-lt"/>
                <a:ea typeface="+mn-ea"/>
                <a:cs typeface="+mn-cs"/>
              </a:defRPr>
            </a:pPr>
            <a:endParaRPr lang="da-DK"/>
          </a:p>
        </c:txPr>
        <c:crossAx val="52784543"/>
        <c:crosses val="autoZero"/>
        <c:auto val="1"/>
        <c:lblAlgn val="ctr"/>
        <c:lblOffset val="100"/>
        <c:noMultiLvlLbl val="0"/>
      </c:catAx>
      <c:valAx>
        <c:axId val="5278454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800" b="0" i="0" u="none" strike="noStrike" kern="1200" baseline="0">
                <a:solidFill>
                  <a:schemeClr val="tx1"/>
                </a:solidFill>
                <a:latin typeface="+mn-lt"/>
                <a:ea typeface="+mn-ea"/>
                <a:cs typeface="+mn-cs"/>
              </a:defRPr>
            </a:pPr>
            <a:endParaRPr lang="da-DK"/>
          </a:p>
        </c:txPr>
        <c:crossAx val="322889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800" b="0" i="0" u="none" strike="noStrike" kern="1200" baseline="0">
              <a:solidFill>
                <a:schemeClr val="tx1"/>
              </a:solidFill>
              <a:latin typeface="+mn-lt"/>
              <a:ea typeface="+mn-ea"/>
              <a:cs typeface="+mn-cs"/>
            </a:defRPr>
          </a:pPr>
          <a:endParaRPr lang="da-D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da-D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Branchefordeling fordelt</a:t>
            </a:r>
            <a:r>
              <a:rPr lang="en-US" baseline="0">
                <a:solidFill>
                  <a:schemeClr val="tx1"/>
                </a:solidFill>
              </a:rPr>
              <a:t> på lastzoner</a:t>
            </a:r>
            <a:r>
              <a:rPr lang="en-US">
                <a:solidFill>
                  <a:schemeClr val="tx1"/>
                </a:solidFill>
              </a:rPr>
              <a:t> (%)</a:t>
            </a:r>
          </a:p>
        </c:rich>
      </c:tx>
      <c:layout>
        <c:manualLayout>
          <c:xMode val="edge"/>
          <c:yMode val="edge"/>
          <c:x val="0.24894646110514196"/>
          <c:y val="7.9321306946737127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stacked"/>
        <c:varyColors val="0"/>
        <c:ser>
          <c:idx val="0"/>
          <c:order val="0"/>
          <c:tx>
            <c:strRef>
              <c:f>'2.1 Model setup'!$K$65</c:f>
              <c:strCache>
                <c:ptCount val="1"/>
                <c:pt idx="0">
                  <c:v>Lavlast </c:v>
                </c:pt>
              </c:strCache>
            </c:strRef>
          </c:tx>
          <c:spPr>
            <a:solidFill>
              <a:srgbClr val="6FC2B6"/>
            </a:solidFill>
            <a:ln>
              <a:noFill/>
            </a:ln>
            <a:effectLst/>
          </c:spPr>
          <c:invertIfNegative val="0"/>
          <c:dLbls>
            <c:delete val="1"/>
          </c:dLbls>
          <c:cat>
            <c:strRef>
              <c:f>'Hjælpeark, forbrugsnøgler'!$R$10:$V$10</c:f>
              <c:strCache>
                <c:ptCount val="5"/>
                <c:pt idx="0">
                  <c:v>A-høj </c:v>
                </c:pt>
                <c:pt idx="1">
                  <c:v>A-lav </c:v>
                </c:pt>
                <c:pt idx="2">
                  <c:v>B-høj </c:v>
                </c:pt>
                <c:pt idx="3">
                  <c:v>B-lav </c:v>
                </c:pt>
                <c:pt idx="4">
                  <c:v>C </c:v>
                </c:pt>
              </c:strCache>
            </c:strRef>
          </c:cat>
          <c:val>
            <c:numRef>
              <c:f>'Hjælpeark, forbrugsnøgler'!$R$415:$V$415</c:f>
              <c:numCache>
                <c:formatCode>0.0%_);\(0.0%\);"-"_);@_)</c:formatCode>
                <c:ptCount val="5"/>
                <c:pt idx="0">
                  <c:v>0.34810599675786491</c:v>
                </c:pt>
                <c:pt idx="1">
                  <c:v>0.35300930829138766</c:v>
                </c:pt>
                <c:pt idx="2">
                  <c:v>0.33152509472857211</c:v>
                </c:pt>
                <c:pt idx="3">
                  <c:v>0.29930398999203978</c:v>
                </c:pt>
                <c:pt idx="4">
                  <c:v>0.17805744659148284</c:v>
                </c:pt>
              </c:numCache>
            </c:numRef>
          </c:val>
          <c:extLst>
            <c:ext xmlns:c16="http://schemas.microsoft.com/office/drawing/2014/chart" uri="{C3380CC4-5D6E-409C-BE32-E72D297353CC}">
              <c16:uniqueId val="{00000000-41EC-4096-985C-E1B01A1F3594}"/>
            </c:ext>
          </c:extLst>
        </c:ser>
        <c:ser>
          <c:idx val="2"/>
          <c:order val="1"/>
          <c:tx>
            <c:strRef>
              <c:f>'2.1 Model setup'!$K$66</c:f>
              <c:strCache>
                <c:ptCount val="1"/>
                <c:pt idx="0">
                  <c:v>Højlast </c:v>
                </c:pt>
              </c:strCache>
            </c:strRef>
          </c:tx>
          <c:spPr>
            <a:solidFill>
              <a:srgbClr val="222221"/>
            </a:solidFill>
            <a:ln>
              <a:noFill/>
            </a:ln>
            <a:effectLst/>
          </c:spPr>
          <c:invertIfNegative val="0"/>
          <c:dLbls>
            <c:delete val="1"/>
          </c:dLbls>
          <c:cat>
            <c:strRef>
              <c:f>'Hjælpeark, forbrugsnøgler'!$R$10:$V$10</c:f>
              <c:strCache>
                <c:ptCount val="5"/>
                <c:pt idx="0">
                  <c:v>A-høj </c:v>
                </c:pt>
                <c:pt idx="1">
                  <c:v>A-lav </c:v>
                </c:pt>
                <c:pt idx="2">
                  <c:v>B-høj </c:v>
                </c:pt>
                <c:pt idx="3">
                  <c:v>B-lav </c:v>
                </c:pt>
                <c:pt idx="4">
                  <c:v>C </c:v>
                </c:pt>
              </c:strCache>
            </c:strRef>
          </c:cat>
          <c:val>
            <c:numRef>
              <c:f>'Hjælpeark, forbrugsnøgler'!$R$416:$V$416</c:f>
              <c:numCache>
                <c:formatCode>0.0%_);\(0.0%\);"-"_);@_)</c:formatCode>
                <c:ptCount val="5"/>
                <c:pt idx="0">
                  <c:v>0.4186292443516858</c:v>
                </c:pt>
                <c:pt idx="1">
                  <c:v>0.41168426066296254</c:v>
                </c:pt>
                <c:pt idx="2">
                  <c:v>0.41725296897544328</c:v>
                </c:pt>
                <c:pt idx="3">
                  <c:v>0.42609846275548269</c:v>
                </c:pt>
                <c:pt idx="4">
                  <c:v>0.61170886240689504</c:v>
                </c:pt>
              </c:numCache>
            </c:numRef>
          </c:val>
          <c:extLst>
            <c:ext xmlns:c16="http://schemas.microsoft.com/office/drawing/2014/chart" uri="{C3380CC4-5D6E-409C-BE32-E72D297353CC}">
              <c16:uniqueId val="{00000001-41EC-4096-985C-E1B01A1F3594}"/>
            </c:ext>
          </c:extLst>
        </c:ser>
        <c:ser>
          <c:idx val="1"/>
          <c:order val="2"/>
          <c:tx>
            <c:strRef>
              <c:f>'2.1 Model setup'!$K$67</c:f>
              <c:strCache>
                <c:ptCount val="1"/>
                <c:pt idx="0">
                  <c:v>Spidslast </c:v>
                </c:pt>
              </c:strCache>
            </c:strRef>
          </c:tx>
          <c:spPr>
            <a:solidFill>
              <a:srgbClr val="CFCFCF"/>
            </a:solidFill>
            <a:ln>
              <a:noFill/>
            </a:ln>
            <a:effectLst/>
          </c:spPr>
          <c:invertIfNegative val="0"/>
          <c:dLbls>
            <c:delete val="1"/>
          </c:dLbls>
          <c:cat>
            <c:strRef>
              <c:f>'Hjælpeark, forbrugsnøgler'!$R$10:$V$10</c:f>
              <c:strCache>
                <c:ptCount val="5"/>
                <c:pt idx="0">
                  <c:v>A-høj </c:v>
                </c:pt>
                <c:pt idx="1">
                  <c:v>A-lav </c:v>
                </c:pt>
                <c:pt idx="2">
                  <c:v>B-høj </c:v>
                </c:pt>
                <c:pt idx="3">
                  <c:v>B-lav </c:v>
                </c:pt>
                <c:pt idx="4">
                  <c:v>C </c:v>
                </c:pt>
              </c:strCache>
            </c:strRef>
          </c:cat>
          <c:val>
            <c:numRef>
              <c:f>'Hjælpeark, forbrugsnøgler'!$R$417:$V$417</c:f>
              <c:numCache>
                <c:formatCode>0.0%_);\(0.0%\);"-"_);@_)</c:formatCode>
                <c:ptCount val="5"/>
                <c:pt idx="0">
                  <c:v>0.23326475889044879</c:v>
                </c:pt>
                <c:pt idx="1">
                  <c:v>0.23530643104564983</c:v>
                </c:pt>
                <c:pt idx="2">
                  <c:v>0.25122193629598449</c:v>
                </c:pt>
                <c:pt idx="3">
                  <c:v>0.2745975472524772</c:v>
                </c:pt>
                <c:pt idx="4">
                  <c:v>0.21023369100162212</c:v>
                </c:pt>
              </c:numCache>
            </c:numRef>
          </c:val>
          <c:extLst>
            <c:ext xmlns:c16="http://schemas.microsoft.com/office/drawing/2014/chart" uri="{C3380CC4-5D6E-409C-BE32-E72D297353CC}">
              <c16:uniqueId val="{00000002-41EC-4096-985C-E1B01A1F3594}"/>
            </c:ext>
          </c:extLst>
        </c:ser>
        <c:dLbls>
          <c:showLegendKey val="0"/>
          <c:showVal val="1"/>
          <c:showCatName val="0"/>
          <c:showSerName val="0"/>
          <c:showPercent val="0"/>
          <c:showBubbleSize val="0"/>
        </c:dLbls>
        <c:gapWidth val="150"/>
        <c:overlap val="10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max val="1"/>
        </c:scaling>
        <c:delete val="0"/>
        <c:axPos val="b"/>
        <c:majorGridlines>
          <c:spPr>
            <a:ln w="6350" cap="flat" cmpd="sng" algn="ctr">
              <a:solidFill>
                <a:srgbClr val="BFBFBF"/>
              </a:solidFill>
              <a:prstDash val="solid"/>
              <a:round/>
            </a:ln>
            <a:effectLst/>
          </c:spPr>
        </c:majorGridlines>
        <c:numFmt formatCode="0.0%_);\(0.0%\);&quot;-&quot;_);@_)"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legend>
    <c:plotVisOnly val="1"/>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baseline="0">
                <a:solidFill>
                  <a:schemeClr val="tx1"/>
                </a:solidFill>
              </a:rPr>
              <a:t>Implicit fordeling i model fordelt på lastzoner</a:t>
            </a:r>
            <a:r>
              <a:rPr lang="en-US">
                <a:solidFill>
                  <a:schemeClr val="tx1"/>
                </a:solidFill>
              </a:rPr>
              <a:t> (%)</a:t>
            </a:r>
          </a:p>
        </c:rich>
      </c:tx>
      <c:layout>
        <c:manualLayout>
          <c:xMode val="edge"/>
          <c:yMode val="edge"/>
          <c:x val="0.14769840167099066"/>
          <c:y val="7.9321353988668436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stacked"/>
        <c:varyColors val="0"/>
        <c:ser>
          <c:idx val="0"/>
          <c:order val="0"/>
          <c:tx>
            <c:strRef>
              <c:f>'2.1 Model setup'!$K$65</c:f>
              <c:strCache>
                <c:ptCount val="1"/>
                <c:pt idx="0">
                  <c:v>Lavlast </c:v>
                </c:pt>
              </c:strCache>
            </c:strRef>
          </c:tx>
          <c:spPr>
            <a:solidFill>
              <a:srgbClr val="6FC2B6"/>
            </a:solidFill>
            <a:ln>
              <a:noFill/>
            </a:ln>
            <a:effectLst/>
          </c:spPr>
          <c:invertIfNegative val="0"/>
          <c:dLbls>
            <c:delete val="1"/>
          </c:dLbls>
          <c:cat>
            <c:strRef>
              <c:f>'Hjælpeark, forbrugsnøgler'!$R$10:$V$10</c:f>
              <c:strCache>
                <c:ptCount val="5"/>
                <c:pt idx="0">
                  <c:v>A-høj </c:v>
                </c:pt>
                <c:pt idx="1">
                  <c:v>A-lav </c:v>
                </c:pt>
                <c:pt idx="2">
                  <c:v>B-høj </c:v>
                </c:pt>
                <c:pt idx="3">
                  <c:v>B-lav </c:v>
                </c:pt>
                <c:pt idx="4">
                  <c:v>C </c:v>
                </c:pt>
              </c:strCache>
            </c:strRef>
          </c:cat>
          <c:val>
            <c:numRef>
              <c:f>'Hjælpeark, forbrugsnøgler'!$R$267:$V$267</c:f>
              <c:numCache>
                <c:formatCode>0.0%_);\(0.0%\);"-"_);@_)</c:formatCode>
                <c:ptCount val="5"/>
                <c:pt idx="0">
                  <c:v>0</c:v>
                </c:pt>
                <c:pt idx="1">
                  <c:v>0</c:v>
                </c:pt>
                <c:pt idx="2">
                  <c:v>0</c:v>
                </c:pt>
                <c:pt idx="3">
                  <c:v>0</c:v>
                </c:pt>
                <c:pt idx="4">
                  <c:v>0</c:v>
                </c:pt>
              </c:numCache>
            </c:numRef>
          </c:val>
          <c:extLst>
            <c:ext xmlns:c16="http://schemas.microsoft.com/office/drawing/2014/chart" uri="{C3380CC4-5D6E-409C-BE32-E72D297353CC}">
              <c16:uniqueId val="{00000000-41EC-4096-985C-E1B01A1F3594}"/>
            </c:ext>
          </c:extLst>
        </c:ser>
        <c:ser>
          <c:idx val="2"/>
          <c:order val="1"/>
          <c:tx>
            <c:strRef>
              <c:f>'2.1 Model setup'!$K$66</c:f>
              <c:strCache>
                <c:ptCount val="1"/>
                <c:pt idx="0">
                  <c:v>Højlast </c:v>
                </c:pt>
              </c:strCache>
            </c:strRef>
          </c:tx>
          <c:spPr>
            <a:solidFill>
              <a:srgbClr val="222221"/>
            </a:solidFill>
            <a:ln>
              <a:noFill/>
            </a:ln>
            <a:effectLst/>
          </c:spPr>
          <c:invertIfNegative val="0"/>
          <c:dLbls>
            <c:delete val="1"/>
          </c:dLbls>
          <c:cat>
            <c:strRef>
              <c:f>'Hjælpeark, forbrugsnøgler'!$R$10:$V$10</c:f>
              <c:strCache>
                <c:ptCount val="5"/>
                <c:pt idx="0">
                  <c:v>A-høj </c:v>
                </c:pt>
                <c:pt idx="1">
                  <c:v>A-lav </c:v>
                </c:pt>
                <c:pt idx="2">
                  <c:v>B-høj </c:v>
                </c:pt>
                <c:pt idx="3">
                  <c:v>B-lav </c:v>
                </c:pt>
                <c:pt idx="4">
                  <c:v>C </c:v>
                </c:pt>
              </c:strCache>
            </c:strRef>
          </c:cat>
          <c:val>
            <c:numRef>
              <c:f>'Hjælpeark, forbrugsnøgler'!$R$268:$V$268</c:f>
              <c:numCache>
                <c:formatCode>0.0%_);\(0.0%\);"-"_);@_)</c:formatCode>
                <c:ptCount val="5"/>
                <c:pt idx="0">
                  <c:v>0</c:v>
                </c:pt>
                <c:pt idx="1">
                  <c:v>0</c:v>
                </c:pt>
                <c:pt idx="2">
                  <c:v>0</c:v>
                </c:pt>
                <c:pt idx="3">
                  <c:v>0</c:v>
                </c:pt>
                <c:pt idx="4">
                  <c:v>0</c:v>
                </c:pt>
              </c:numCache>
            </c:numRef>
          </c:val>
          <c:extLst>
            <c:ext xmlns:c16="http://schemas.microsoft.com/office/drawing/2014/chart" uri="{C3380CC4-5D6E-409C-BE32-E72D297353CC}">
              <c16:uniqueId val="{00000001-41EC-4096-985C-E1B01A1F3594}"/>
            </c:ext>
          </c:extLst>
        </c:ser>
        <c:ser>
          <c:idx val="1"/>
          <c:order val="2"/>
          <c:tx>
            <c:strRef>
              <c:f>'2.1 Model setup'!$K$67</c:f>
              <c:strCache>
                <c:ptCount val="1"/>
                <c:pt idx="0">
                  <c:v>Spidslast </c:v>
                </c:pt>
              </c:strCache>
            </c:strRef>
          </c:tx>
          <c:spPr>
            <a:solidFill>
              <a:srgbClr val="CFCFCF"/>
            </a:solidFill>
            <a:ln>
              <a:noFill/>
            </a:ln>
            <a:effectLst/>
          </c:spPr>
          <c:invertIfNegative val="0"/>
          <c:dLbls>
            <c:delete val="1"/>
          </c:dLbls>
          <c:cat>
            <c:strRef>
              <c:f>'Hjælpeark, forbrugsnøgler'!$R$10:$V$10</c:f>
              <c:strCache>
                <c:ptCount val="5"/>
                <c:pt idx="0">
                  <c:v>A-høj </c:v>
                </c:pt>
                <c:pt idx="1">
                  <c:v>A-lav </c:v>
                </c:pt>
                <c:pt idx="2">
                  <c:v>B-høj </c:v>
                </c:pt>
                <c:pt idx="3">
                  <c:v>B-lav </c:v>
                </c:pt>
                <c:pt idx="4">
                  <c:v>C </c:v>
                </c:pt>
              </c:strCache>
            </c:strRef>
          </c:cat>
          <c:val>
            <c:numRef>
              <c:f>'Hjælpeark, forbrugsnøgler'!$R$269:$V$269</c:f>
              <c:numCache>
                <c:formatCode>0.0%_);\(0.0%\);"-"_);@_)</c:formatCode>
                <c:ptCount val="5"/>
                <c:pt idx="0">
                  <c:v>0</c:v>
                </c:pt>
                <c:pt idx="1">
                  <c:v>0</c:v>
                </c:pt>
                <c:pt idx="2">
                  <c:v>0</c:v>
                </c:pt>
                <c:pt idx="3">
                  <c:v>0</c:v>
                </c:pt>
                <c:pt idx="4">
                  <c:v>0</c:v>
                </c:pt>
              </c:numCache>
            </c:numRef>
          </c:val>
          <c:extLst>
            <c:ext xmlns:c16="http://schemas.microsoft.com/office/drawing/2014/chart" uri="{C3380CC4-5D6E-409C-BE32-E72D297353CC}">
              <c16:uniqueId val="{00000002-41EC-4096-985C-E1B01A1F3594}"/>
            </c:ext>
          </c:extLst>
        </c:ser>
        <c:dLbls>
          <c:showLegendKey val="0"/>
          <c:showVal val="1"/>
          <c:showCatName val="0"/>
          <c:showSerName val="0"/>
          <c:showPercent val="0"/>
          <c:showBubbleSize val="0"/>
        </c:dLbls>
        <c:gapWidth val="150"/>
        <c:overlap val="10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max val="1"/>
        </c:scaling>
        <c:delete val="0"/>
        <c:axPos val="b"/>
        <c:majorGridlines>
          <c:spPr>
            <a:ln w="6350" cap="flat" cmpd="sng" algn="ctr">
              <a:solidFill>
                <a:srgbClr val="BFBFBF"/>
              </a:solidFill>
              <a:prstDash val="solid"/>
              <a:round/>
            </a:ln>
            <a:effectLst/>
          </c:spPr>
        </c:majorGridlines>
        <c:numFmt formatCode="0.0%_);\(0.0%\);&quot;-&quot;_);@_)" sourceLinked="1"/>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legend>
    <c:plotVisOnly val="1"/>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for A-lav (DKKt)</a:t>
            </a:r>
          </a:p>
        </c:rich>
      </c:tx>
      <c:layout>
        <c:manualLayout>
          <c:xMode val="edge"/>
          <c:yMode val="edge"/>
          <c:x val="0.23901275786437803"/>
          <c:y val="7.9275410265853524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clustered"/>
        <c:varyColors val="0"/>
        <c:ser>
          <c:idx val="0"/>
          <c:order val="0"/>
          <c:tx>
            <c:v>Provenu fordelt for A-lav (DKKt)</c:v>
          </c:tx>
          <c:spPr>
            <a:solidFill>
              <a:srgbClr val="6FC2B6"/>
            </a:solidFill>
            <a:ln>
              <a:solidFill>
                <a:sysClr val="window" lastClr="FFFFFF"/>
              </a:solidFill>
            </a:ln>
            <a:effectLst/>
          </c:spPr>
          <c:invertIfNegative val="0"/>
          <c:dLbls>
            <c:delete val="1"/>
          </c:dLbls>
          <c:cat>
            <c:strRef>
              <c:f>'2.1 Model setup'!$K$105:$K$115</c:f>
              <c:strCache>
                <c:ptCount val="11"/>
                <c:pt idx="0">
                  <c:v>Tarif, lavlast </c:v>
                </c:pt>
                <c:pt idx="1">
                  <c:v>Tarif, højlast </c:v>
                </c:pt>
                <c:pt idx="2">
                  <c:v>Tarif, spidslast </c:v>
                </c:pt>
                <c:pt idx="3">
                  <c:v>Rådighedstarif </c:v>
                </c:pt>
                <c:pt idx="4">
                  <c:v>Rådighedsbetaling </c:v>
                </c:pt>
                <c:pt idx="5">
                  <c:v>Indfødningstarif </c:v>
                </c:pt>
                <c:pt idx="6">
                  <c:v>Effekt </c:v>
                </c:pt>
                <c:pt idx="7">
                  <c:v>Forbrugsabon. </c:v>
                </c:pt>
                <c:pt idx="8">
                  <c:v>Producentabon. </c:v>
                </c:pt>
                <c:pt idx="9">
                  <c:v>Producentabon., ej måler </c:v>
                </c:pt>
                <c:pt idx="10">
                  <c:v>Egenproducentabon. </c:v>
                </c:pt>
              </c:strCache>
            </c:strRef>
          </c:cat>
          <c:val>
            <c:numRef>
              <c:f>('1.1 Provenu'!$S$21:$S$26,'1.1 Provenu'!$S$30,'1.1 Provenu'!$S$33:$S$36)</c:f>
              <c:numCache>
                <c:formatCode>#,##0_);\(#,##0\);"-"_);@_)</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AD40-4C0B-8DD0-8A316FC0C1C4}"/>
            </c:ext>
          </c:extLst>
        </c:ser>
        <c:dLbls>
          <c:showLegendKey val="0"/>
          <c:showVal val="1"/>
          <c:showCatName val="0"/>
          <c:showSerName val="0"/>
          <c:showPercent val="0"/>
          <c:showBubbleSize val="0"/>
        </c:dLbls>
        <c:gapWidth val="15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lgn="ctr">
              <a:defRPr lang="en-US"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plotVisOnly val="0"/>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for B-høj</a:t>
            </a:r>
            <a:r>
              <a:rPr lang="en-US" baseline="0">
                <a:solidFill>
                  <a:schemeClr val="tx1"/>
                </a:solidFill>
              </a:rPr>
              <a:t> (DKKt)</a:t>
            </a:r>
            <a:endParaRPr lang="en-US">
              <a:solidFill>
                <a:schemeClr val="tx1"/>
              </a:solidFill>
            </a:endParaRPr>
          </a:p>
        </c:rich>
      </c:tx>
      <c:layout>
        <c:manualLayout>
          <c:xMode val="edge"/>
          <c:yMode val="edge"/>
          <c:x val="0.24295943367138606"/>
          <c:y val="7.9639648678686101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clustered"/>
        <c:varyColors val="0"/>
        <c:ser>
          <c:idx val="0"/>
          <c:order val="0"/>
          <c:tx>
            <c:v>Provenu fordelt for B-høj (DKKt)</c:v>
          </c:tx>
          <c:spPr>
            <a:solidFill>
              <a:srgbClr val="6FC2B6"/>
            </a:solidFill>
            <a:ln>
              <a:solidFill>
                <a:sysClr val="window" lastClr="FFFFFF"/>
              </a:solidFill>
            </a:ln>
            <a:effectLst/>
          </c:spPr>
          <c:invertIfNegative val="0"/>
          <c:dLbls>
            <c:delete val="1"/>
          </c:dLbls>
          <c:cat>
            <c:strRef>
              <c:f>'2.1 Model setup'!$K$105:$K$115</c:f>
              <c:strCache>
                <c:ptCount val="11"/>
                <c:pt idx="0">
                  <c:v>Tarif, lavlast </c:v>
                </c:pt>
                <c:pt idx="1">
                  <c:v>Tarif, højlast </c:v>
                </c:pt>
                <c:pt idx="2">
                  <c:v>Tarif, spidslast </c:v>
                </c:pt>
                <c:pt idx="3">
                  <c:v>Rådighedstarif </c:v>
                </c:pt>
                <c:pt idx="4">
                  <c:v>Rådighedsbetaling </c:v>
                </c:pt>
                <c:pt idx="5">
                  <c:v>Indfødningstarif </c:v>
                </c:pt>
                <c:pt idx="6">
                  <c:v>Effekt </c:v>
                </c:pt>
                <c:pt idx="7">
                  <c:v>Forbrugsabon. </c:v>
                </c:pt>
                <c:pt idx="8">
                  <c:v>Producentabon. </c:v>
                </c:pt>
                <c:pt idx="9">
                  <c:v>Producentabon., ej måler </c:v>
                </c:pt>
                <c:pt idx="10">
                  <c:v>Egenproducentabon. </c:v>
                </c:pt>
              </c:strCache>
            </c:strRef>
          </c:cat>
          <c:val>
            <c:numRef>
              <c:f>('1.1 Provenu'!$T$21:$T$26,'1.1 Provenu'!$T$30,'1.1 Provenu'!$T$33:$T$36)</c:f>
              <c:numCache>
                <c:formatCode>#,##0_);\(#,##0\);"-"_);@_)</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0B63-4A25-BCBF-0482C088D6D7}"/>
            </c:ext>
          </c:extLst>
        </c:ser>
        <c:dLbls>
          <c:showLegendKey val="0"/>
          <c:showVal val="1"/>
          <c:showCatName val="0"/>
          <c:showSerName val="0"/>
          <c:showPercent val="0"/>
          <c:showBubbleSize val="0"/>
        </c:dLbls>
        <c:gapWidth val="15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lgn="ctr">
              <a:defRPr lang="en-US"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plotVisOnly val="0"/>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for B-lav (DKKt)</a:t>
            </a:r>
          </a:p>
        </c:rich>
      </c:tx>
      <c:layout>
        <c:manualLayout>
          <c:xMode val="edge"/>
          <c:yMode val="edge"/>
          <c:x val="0.23901275786437803"/>
          <c:y val="7.9275410265853524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clustered"/>
        <c:varyColors val="0"/>
        <c:ser>
          <c:idx val="0"/>
          <c:order val="0"/>
          <c:tx>
            <c:v>Provenu fordelt for B-lav (DKKt)</c:v>
          </c:tx>
          <c:spPr>
            <a:solidFill>
              <a:srgbClr val="6FC2B6"/>
            </a:solidFill>
            <a:ln>
              <a:solidFill>
                <a:sysClr val="window" lastClr="FFFFFF"/>
              </a:solidFill>
            </a:ln>
            <a:effectLst/>
          </c:spPr>
          <c:invertIfNegative val="0"/>
          <c:dLbls>
            <c:delete val="1"/>
          </c:dLbls>
          <c:cat>
            <c:strRef>
              <c:f>'2.1 Model setup'!$K$105:$K$115</c:f>
              <c:strCache>
                <c:ptCount val="11"/>
                <c:pt idx="0">
                  <c:v>Tarif, lavlast </c:v>
                </c:pt>
                <c:pt idx="1">
                  <c:v>Tarif, højlast </c:v>
                </c:pt>
                <c:pt idx="2">
                  <c:v>Tarif, spidslast </c:v>
                </c:pt>
                <c:pt idx="3">
                  <c:v>Rådighedstarif </c:v>
                </c:pt>
                <c:pt idx="4">
                  <c:v>Rådighedsbetaling </c:v>
                </c:pt>
                <c:pt idx="5">
                  <c:v>Indfødningstarif </c:v>
                </c:pt>
                <c:pt idx="6">
                  <c:v>Effekt </c:v>
                </c:pt>
                <c:pt idx="7">
                  <c:v>Forbrugsabon. </c:v>
                </c:pt>
                <c:pt idx="8">
                  <c:v>Producentabon. </c:v>
                </c:pt>
                <c:pt idx="9">
                  <c:v>Producentabon., ej måler </c:v>
                </c:pt>
                <c:pt idx="10">
                  <c:v>Egenproducentabon. </c:v>
                </c:pt>
              </c:strCache>
            </c:strRef>
          </c:cat>
          <c:val>
            <c:numRef>
              <c:f>('1.1 Provenu'!$U$21:$U$26,'1.1 Provenu'!$U$30,'1.1 Provenu'!$U$33:$U$36)</c:f>
              <c:numCache>
                <c:formatCode>#,##0_);\(#,##0\);"-"_);@_)</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72D6-4962-A137-90F05F5D5D07}"/>
            </c:ext>
          </c:extLst>
        </c:ser>
        <c:dLbls>
          <c:showLegendKey val="0"/>
          <c:showVal val="1"/>
          <c:showCatName val="0"/>
          <c:showSerName val="0"/>
          <c:showPercent val="0"/>
          <c:showBubbleSize val="0"/>
        </c:dLbls>
        <c:gapWidth val="15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plotVisOnly val="0"/>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for C (DKKt)</a:t>
            </a:r>
          </a:p>
        </c:rich>
      </c:tx>
      <c:layout>
        <c:manualLayout>
          <c:xMode val="edge"/>
          <c:yMode val="edge"/>
          <c:x val="0.23901275786437803"/>
          <c:y val="7.9275410265853524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clustered"/>
        <c:varyColors val="0"/>
        <c:ser>
          <c:idx val="0"/>
          <c:order val="0"/>
          <c:tx>
            <c:v>Provenu fordelt for C (DKKt)</c:v>
          </c:tx>
          <c:spPr>
            <a:solidFill>
              <a:srgbClr val="6FC2B6"/>
            </a:solidFill>
            <a:ln>
              <a:solidFill>
                <a:sysClr val="window" lastClr="FFFFFF"/>
              </a:solidFill>
            </a:ln>
            <a:effectLst/>
          </c:spPr>
          <c:invertIfNegative val="0"/>
          <c:dLbls>
            <c:delete val="1"/>
          </c:dLbls>
          <c:cat>
            <c:strRef>
              <c:f>'2.1 Model setup'!$K$105:$K$115</c:f>
              <c:strCache>
                <c:ptCount val="11"/>
                <c:pt idx="0">
                  <c:v>Tarif, lavlast </c:v>
                </c:pt>
                <c:pt idx="1">
                  <c:v>Tarif, højlast </c:v>
                </c:pt>
                <c:pt idx="2">
                  <c:v>Tarif, spidslast </c:v>
                </c:pt>
                <c:pt idx="3">
                  <c:v>Rådighedstarif </c:v>
                </c:pt>
                <c:pt idx="4">
                  <c:v>Rådighedsbetaling </c:v>
                </c:pt>
                <c:pt idx="5">
                  <c:v>Indfødningstarif </c:v>
                </c:pt>
                <c:pt idx="6">
                  <c:v>Effekt </c:v>
                </c:pt>
                <c:pt idx="7">
                  <c:v>Forbrugsabon. </c:v>
                </c:pt>
                <c:pt idx="8">
                  <c:v>Producentabon. </c:v>
                </c:pt>
                <c:pt idx="9">
                  <c:v>Producentabon., ej måler </c:v>
                </c:pt>
                <c:pt idx="10">
                  <c:v>Egenproducentabon. </c:v>
                </c:pt>
              </c:strCache>
            </c:strRef>
          </c:cat>
          <c:val>
            <c:numRef>
              <c:f>('1.1 Provenu'!$V$21:$V$26,'1.1 Provenu'!$V$30,'1.1 Provenu'!$V$33:$V$36)</c:f>
              <c:numCache>
                <c:formatCode>#,##0_);\(#,##0\);"-"_);@_)</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C178-4A2A-8CED-70DCDCC6D207}"/>
            </c:ext>
          </c:extLst>
        </c:ser>
        <c:dLbls>
          <c:showLegendKey val="0"/>
          <c:showVal val="1"/>
          <c:showCatName val="0"/>
          <c:showSerName val="0"/>
          <c:showPercent val="0"/>
          <c:showBubbleSize val="0"/>
        </c:dLbls>
        <c:gapWidth val="15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plotVisOnly val="0"/>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for A0 (DKKt)</a:t>
            </a:r>
          </a:p>
        </c:rich>
      </c:tx>
      <c:layout>
        <c:manualLayout>
          <c:xMode val="edge"/>
          <c:yMode val="edge"/>
          <c:x val="0.28334544675426659"/>
          <c:y val="7.9493418896059001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clustered"/>
        <c:varyColors val="0"/>
        <c:ser>
          <c:idx val="0"/>
          <c:order val="0"/>
          <c:tx>
            <c:v>Provenu fordelt for A-0 (DKKt)</c:v>
          </c:tx>
          <c:spPr>
            <a:solidFill>
              <a:srgbClr val="6FC2B6"/>
            </a:solidFill>
            <a:ln>
              <a:solidFill>
                <a:sysClr val="window" lastClr="FFFFFF"/>
              </a:solidFill>
            </a:ln>
            <a:effectLst/>
          </c:spPr>
          <c:invertIfNegative val="0"/>
          <c:dLbls>
            <c:delete val="1"/>
          </c:dLbls>
          <c:cat>
            <c:strRef>
              <c:f>'2.1 Model setup'!$K$105:$K$115</c:f>
              <c:strCache>
                <c:ptCount val="11"/>
                <c:pt idx="0">
                  <c:v>Tarif, lavlast </c:v>
                </c:pt>
                <c:pt idx="1">
                  <c:v>Tarif, højlast </c:v>
                </c:pt>
                <c:pt idx="2">
                  <c:v>Tarif, spidslast </c:v>
                </c:pt>
                <c:pt idx="3">
                  <c:v>Rådighedstarif </c:v>
                </c:pt>
                <c:pt idx="4">
                  <c:v>Rådighedsbetaling </c:v>
                </c:pt>
                <c:pt idx="5">
                  <c:v>Indfødningstarif </c:v>
                </c:pt>
                <c:pt idx="6">
                  <c:v>Effekt </c:v>
                </c:pt>
                <c:pt idx="7">
                  <c:v>Forbrugsabon. </c:v>
                </c:pt>
                <c:pt idx="8">
                  <c:v>Producentabon. </c:v>
                </c:pt>
                <c:pt idx="9">
                  <c:v>Producentabon., ej måler </c:v>
                </c:pt>
                <c:pt idx="10">
                  <c:v>Egenproducentabon. </c:v>
                </c:pt>
              </c:strCache>
            </c:strRef>
          </c:cat>
          <c:val>
            <c:numRef>
              <c:f>('1.1 Provenu'!$Q$21:$Q$26,'1.1 Provenu'!$Q$30,'1.1 Provenu'!$Q$33:$Q$36)</c:f>
              <c:numCache>
                <c:formatCode>#,##0_);\(#,##0\);"-"_);@_)</c:formatCode>
                <c:ptCount val="11"/>
                <c:pt idx="7">
                  <c:v>0</c:v>
                </c:pt>
                <c:pt idx="8">
                  <c:v>0</c:v>
                </c:pt>
                <c:pt idx="9">
                  <c:v>0</c:v>
                </c:pt>
                <c:pt idx="10">
                  <c:v>0</c:v>
                </c:pt>
              </c:numCache>
            </c:numRef>
          </c:val>
          <c:extLst>
            <c:ext xmlns:c16="http://schemas.microsoft.com/office/drawing/2014/chart" uri="{C3380CC4-5D6E-409C-BE32-E72D297353CC}">
              <c16:uniqueId val="{00000003-08EC-4080-8B75-366C6037A4B7}"/>
            </c:ext>
          </c:extLst>
        </c:ser>
        <c:dLbls>
          <c:showLegendKey val="0"/>
          <c:showVal val="1"/>
          <c:showCatName val="0"/>
          <c:showSerName val="0"/>
          <c:showPercent val="0"/>
          <c:showBubbleSize val="0"/>
        </c:dLbls>
        <c:gapWidth val="15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plotVisOnly val="0"/>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for A-høj+,maske (DKKt)</a:t>
            </a:r>
          </a:p>
        </c:rich>
      </c:tx>
      <c:layout>
        <c:manualLayout>
          <c:xMode val="edge"/>
          <c:yMode val="edge"/>
          <c:x val="0.23901275786437803"/>
          <c:y val="7.9275410265853524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clustered"/>
        <c:varyColors val="0"/>
        <c:ser>
          <c:idx val="0"/>
          <c:order val="0"/>
          <c:tx>
            <c:v>Provenu fordelt for A-høj+,maske (DKKt)</c:v>
          </c:tx>
          <c:spPr>
            <a:solidFill>
              <a:srgbClr val="6FC2B6"/>
            </a:solidFill>
            <a:ln>
              <a:solidFill>
                <a:sysClr val="window" lastClr="FFFFFF"/>
              </a:solidFill>
            </a:ln>
            <a:effectLst/>
          </c:spPr>
          <c:invertIfNegative val="0"/>
          <c:dLbls>
            <c:delete val="1"/>
          </c:dLbls>
          <c:cat>
            <c:strRef>
              <c:f>'2.1 Model setup'!$K$105:$K$115</c:f>
              <c:strCache>
                <c:ptCount val="11"/>
                <c:pt idx="0">
                  <c:v>Tarif, lavlast </c:v>
                </c:pt>
                <c:pt idx="1">
                  <c:v>Tarif, højlast </c:v>
                </c:pt>
                <c:pt idx="2">
                  <c:v>Tarif, spidslast </c:v>
                </c:pt>
                <c:pt idx="3">
                  <c:v>Rådighedstarif </c:v>
                </c:pt>
                <c:pt idx="4">
                  <c:v>Rådighedsbetaling </c:v>
                </c:pt>
                <c:pt idx="5">
                  <c:v>Indfødningstarif </c:v>
                </c:pt>
                <c:pt idx="6">
                  <c:v>Effekt </c:v>
                </c:pt>
                <c:pt idx="7">
                  <c:v>Forbrugsabon. </c:v>
                </c:pt>
                <c:pt idx="8">
                  <c:v>Producentabon. </c:v>
                </c:pt>
                <c:pt idx="9">
                  <c:v>Producentabon., ej måler </c:v>
                </c:pt>
                <c:pt idx="10">
                  <c:v>Egenproducentabon. </c:v>
                </c:pt>
              </c:strCache>
            </c:strRef>
          </c:cat>
          <c:val>
            <c:numRef>
              <c:f>('1.1 Provenu'!$P$21:$P$26,'1.1 Provenu'!$P$30,'1.1 Provenu'!$P$33:$P$36)</c:f>
              <c:numCache>
                <c:formatCode>#,##0_);\(#,##0\);"-"_);@_)</c:formatCode>
                <c:ptCount val="11"/>
                <c:pt idx="5">
                  <c:v>0</c:v>
                </c:pt>
              </c:numCache>
            </c:numRef>
          </c:val>
          <c:extLst>
            <c:ext xmlns:c16="http://schemas.microsoft.com/office/drawing/2014/chart" uri="{C3380CC4-5D6E-409C-BE32-E72D297353CC}">
              <c16:uniqueId val="{00000000-855A-4709-9C85-420F1033E8F9}"/>
            </c:ext>
          </c:extLst>
        </c:ser>
        <c:dLbls>
          <c:showLegendKey val="0"/>
          <c:showVal val="1"/>
          <c:showCatName val="0"/>
          <c:showSerName val="0"/>
          <c:showPercent val="0"/>
          <c:showBubbleSize val="0"/>
        </c:dLbls>
        <c:gapWidth val="15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plotVisOnly val="0"/>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r>
              <a:rPr lang="en-US">
                <a:solidFill>
                  <a:schemeClr val="tx1"/>
                </a:solidFill>
              </a:rPr>
              <a:t>Provenu fordelt for A-høj+ (DKKt)</a:t>
            </a:r>
          </a:p>
        </c:rich>
      </c:tx>
      <c:layout>
        <c:manualLayout>
          <c:xMode val="edge"/>
          <c:yMode val="edge"/>
          <c:x val="0.23901275786437803"/>
          <c:y val="7.9275410265853524E-2"/>
        </c:manualLayout>
      </c:layout>
      <c:overlay val="0"/>
      <c:spPr>
        <a:noFill/>
        <a:ln>
          <a:noFill/>
        </a:ln>
        <a:effectLst/>
      </c:spPr>
      <c:txPr>
        <a:bodyPr rot="0" spcFirstLastPara="1" vertOverflow="ellipsis" vert="horz" wrap="square" anchor="ctr" anchorCtr="1"/>
        <a:lstStyle/>
        <a:p>
          <a:pPr algn="l">
            <a:defRPr sz="1000" b="1" i="0" u="none" strike="noStrike" kern="1200" baseline="0">
              <a:solidFill>
                <a:srgbClr val="44546A"/>
              </a:solidFill>
              <a:latin typeface="Arial"/>
              <a:ea typeface="Arial"/>
              <a:cs typeface="Arial"/>
            </a:defRPr>
          </a:pPr>
          <a:endParaRPr lang="da-DK"/>
        </a:p>
      </c:txPr>
    </c:title>
    <c:autoTitleDeleted val="0"/>
    <c:plotArea>
      <c:layout/>
      <c:barChart>
        <c:barDir val="bar"/>
        <c:grouping val="clustered"/>
        <c:varyColors val="0"/>
        <c:ser>
          <c:idx val="0"/>
          <c:order val="0"/>
          <c:tx>
            <c:v>Provenu fordelt for A-høj+ (DKKt)</c:v>
          </c:tx>
          <c:spPr>
            <a:solidFill>
              <a:srgbClr val="6FC2B6"/>
            </a:solidFill>
            <a:ln>
              <a:solidFill>
                <a:sysClr val="window" lastClr="FFFFFF"/>
              </a:solidFill>
            </a:ln>
            <a:effectLst/>
          </c:spPr>
          <c:invertIfNegative val="0"/>
          <c:dLbls>
            <c:delete val="1"/>
          </c:dLbls>
          <c:cat>
            <c:strRef>
              <c:f>'2.1 Model setup'!$K$105:$K$115</c:f>
              <c:strCache>
                <c:ptCount val="11"/>
                <c:pt idx="0">
                  <c:v>Tarif, lavlast </c:v>
                </c:pt>
                <c:pt idx="1">
                  <c:v>Tarif, højlast </c:v>
                </c:pt>
                <c:pt idx="2">
                  <c:v>Tarif, spidslast </c:v>
                </c:pt>
                <c:pt idx="3">
                  <c:v>Rådighedstarif </c:v>
                </c:pt>
                <c:pt idx="4">
                  <c:v>Rådighedsbetaling </c:v>
                </c:pt>
                <c:pt idx="5">
                  <c:v>Indfødningstarif </c:v>
                </c:pt>
                <c:pt idx="6">
                  <c:v>Effekt </c:v>
                </c:pt>
                <c:pt idx="7">
                  <c:v>Forbrugsabon. </c:v>
                </c:pt>
                <c:pt idx="8">
                  <c:v>Producentabon. </c:v>
                </c:pt>
                <c:pt idx="9">
                  <c:v>Producentabon., ej måler </c:v>
                </c:pt>
                <c:pt idx="10">
                  <c:v>Egenproducentabon. </c:v>
                </c:pt>
              </c:strCache>
            </c:strRef>
          </c:cat>
          <c:val>
            <c:numRef>
              <c:f>('1.1 Provenu'!$O$21:$O$26,'1.1 Provenu'!$O$30,'1.1 Provenu'!$O$33:$O$36)</c:f>
              <c:numCache>
                <c:formatCode>#,##0_);\(#,##0\);"-"_);@_)</c:formatCode>
                <c:ptCount val="11"/>
                <c:pt idx="5">
                  <c:v>0</c:v>
                </c:pt>
              </c:numCache>
            </c:numRef>
          </c:val>
          <c:extLst>
            <c:ext xmlns:c16="http://schemas.microsoft.com/office/drawing/2014/chart" uri="{C3380CC4-5D6E-409C-BE32-E72D297353CC}">
              <c16:uniqueId val="{00000000-A764-4875-BE3E-36A5379A8DFC}"/>
            </c:ext>
          </c:extLst>
        </c:ser>
        <c:dLbls>
          <c:showLegendKey val="0"/>
          <c:showVal val="1"/>
          <c:showCatName val="0"/>
          <c:showSerName val="0"/>
          <c:showPercent val="0"/>
          <c:showBubbleSize val="0"/>
        </c:dLbls>
        <c:gapWidth val="150"/>
        <c:axId val="234617472"/>
        <c:axId val="234774912"/>
      </c:barChart>
      <c:catAx>
        <c:axId val="234617472"/>
        <c:scaling>
          <c:orientation val="minMax"/>
        </c:scaling>
        <c:delete val="0"/>
        <c:axPos val="l"/>
        <c:numFmt formatCode="General" sourceLinked="1"/>
        <c:majorTickMark val="out"/>
        <c:minorTickMark val="none"/>
        <c:tickLblPos val="low"/>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774912"/>
        <c:crosses val="autoZero"/>
        <c:auto val="1"/>
        <c:lblAlgn val="ctr"/>
        <c:lblOffset val="100"/>
        <c:noMultiLvlLbl val="0"/>
      </c:catAx>
      <c:valAx>
        <c:axId val="234774912"/>
        <c:scaling>
          <c:orientation val="minMax"/>
        </c:scaling>
        <c:delete val="0"/>
        <c:axPos val="b"/>
        <c:majorGridlines>
          <c:spPr>
            <a:ln w="6350" cap="flat" cmpd="sng" algn="ctr">
              <a:solidFill>
                <a:srgbClr val="BFBFBF"/>
              </a:solidFill>
              <a:prstDash val="solid"/>
              <a:round/>
            </a:ln>
            <a:effectLst/>
          </c:spPr>
        </c:majorGridlines>
        <c:numFmt formatCode="_(* #,##0_);_(* \(#,##0\);_(* &quot;-&quot;_);@_)" sourceLinked="0"/>
        <c:majorTickMark val="none"/>
        <c:minorTickMark val="none"/>
        <c:tickLblPos val="low"/>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da-DK"/>
          </a:p>
        </c:txPr>
        <c:crossAx val="234617472"/>
        <c:crosses val="autoZero"/>
        <c:crossBetween val="between"/>
        <c:dispUnits>
          <c:custUnit val="1"/>
        </c:dispUnits>
      </c:valAx>
      <c:spPr>
        <a:noFill/>
        <a:ln w="25400">
          <a:noFill/>
        </a:ln>
        <a:effectLst/>
      </c:spPr>
    </c:plotArea>
    <c:plotVisOnly val="0"/>
    <c:dispBlanksAs val="gap"/>
    <c:showDLblsOverMax val="0"/>
  </c:chart>
  <c:spPr>
    <a:noFill/>
    <a:ln w="6350" cap="flat" cmpd="sng" algn="ctr">
      <a:noFill/>
      <a:prstDash val="solid"/>
      <a:round/>
    </a:ln>
    <a:effectLst/>
  </c:spPr>
  <c:txPr>
    <a:bodyPr/>
    <a:lstStyle/>
    <a:p>
      <a:pPr>
        <a:defRPr sz="800"/>
      </a:pPr>
      <a:endParaRPr lang="da-DK"/>
    </a:p>
  </c:txPr>
  <c:printSettings>
    <c:headerFooter/>
    <c:pageMargins b="0.75000000000000111" l="0.70000000000000062" r="0.70000000000000062" t="0.75000000000000111"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5.xml"/><Relationship Id="rId2" Type="http://schemas.openxmlformats.org/officeDocument/2006/relationships/chart" Target="../charts/chart11.xml"/><Relationship Id="rId16" Type="http://schemas.openxmlformats.org/officeDocument/2006/relationships/chart" Target="../charts/chart24.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image" Target="../media/image1.png"/><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2.3 Selskabsspecifikke input'!B2"/><Relationship Id="rId13" Type="http://schemas.openxmlformats.org/officeDocument/2006/relationships/hyperlink" Target="#'4.1 Fejl- og kontroloversigt'!B2"/><Relationship Id="rId18" Type="http://schemas.openxmlformats.org/officeDocument/2006/relationships/image" Target="../media/image1.png"/><Relationship Id="rId3" Type="http://schemas.openxmlformats.org/officeDocument/2006/relationships/hyperlink" Target="#'1.1 Provenu'!B2"/><Relationship Id="rId21" Type="http://schemas.openxmlformats.org/officeDocument/2006/relationships/hyperlink" Target="#'1.5 Indf&#248;dningstarif'!B2"/><Relationship Id="rId7" Type="http://schemas.openxmlformats.org/officeDocument/2006/relationships/hyperlink" Target="#'1.3 Varslingsanalyse'!B2"/><Relationship Id="rId12" Type="http://schemas.openxmlformats.org/officeDocument/2006/relationships/hyperlink" Target="#'2.1 Model setup'!B2"/><Relationship Id="rId17" Type="http://schemas.openxmlformats.org/officeDocument/2006/relationships/hyperlink" Target="#'Opdateringslog, netselskab'!B2"/><Relationship Id="rId2" Type="http://schemas.openxmlformats.org/officeDocument/2006/relationships/hyperlink" Target="#Modeloverblik!B2"/><Relationship Id="rId16" Type="http://schemas.openxmlformats.org/officeDocument/2006/relationships/hyperlink" Target="#'1.4 Hoveddata'!B2"/><Relationship Id="rId20" Type="http://schemas.openxmlformats.org/officeDocument/2006/relationships/hyperlink" Target="#'Hj&#230;lpeark, fall-back-metoden'!B2"/><Relationship Id="rId1" Type="http://schemas.openxmlformats.org/officeDocument/2006/relationships/hyperlink" Target="#Disclaimer!B2"/><Relationship Id="rId6" Type="http://schemas.openxmlformats.org/officeDocument/2006/relationships/hyperlink" Target="#'1.2 Tarifoversigt'!B2"/><Relationship Id="rId11" Type="http://schemas.openxmlformats.org/officeDocument/2006/relationships/hyperlink" Target="#'3.4 Tidsdifferentieret tarif'!B2"/><Relationship Id="rId5" Type="http://schemas.openxmlformats.org/officeDocument/2006/relationships/hyperlink" Target="#'2.2 Generelle input'!B2"/><Relationship Id="rId15" Type="http://schemas.openxmlformats.org/officeDocument/2006/relationships/hyperlink" Target="#'Opdateringslog, Green Power Den'!B2"/><Relationship Id="rId10" Type="http://schemas.openxmlformats.org/officeDocument/2006/relationships/hyperlink" Target="#'3.3 Forbrugstariffer og effekt'!B2"/><Relationship Id="rId19" Type="http://schemas.openxmlformats.org/officeDocument/2006/relationships/hyperlink" Target="#'3.5 Indf&#248;dningstarif'!B2"/><Relationship Id="rId4" Type="http://schemas.openxmlformats.org/officeDocument/2006/relationships/hyperlink" Target="#'3.1 Opsplitning af forbrug'!B2"/><Relationship Id="rId9" Type="http://schemas.openxmlformats.org/officeDocument/2006/relationships/hyperlink" Target="#'3.2 Abonnement'!B2"/><Relationship Id="rId14" Type="http://schemas.openxmlformats.org/officeDocument/2006/relationships/hyperlink" Target="#'Hj&#230;lpeark, forbrugsn&#248;gler'!B2"/></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9.xml"/><Relationship Id="rId1" Type="http://schemas.openxmlformats.org/officeDocument/2006/relationships/chart" Target="../charts/chart28.xml"/></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212912</xdr:colOff>
      <xdr:row>8</xdr:row>
      <xdr:rowOff>69796</xdr:rowOff>
    </xdr:from>
    <xdr:to>
      <xdr:col>9</xdr:col>
      <xdr:colOff>336177</xdr:colOff>
      <xdr:row>19</xdr:row>
      <xdr:rowOff>101216</xdr:rowOff>
    </xdr:to>
    <xdr:pic>
      <xdr:nvPicPr>
        <xdr:cNvPr id="2" name="Picture 1">
          <a:extLst>
            <a:ext uri="{FF2B5EF4-FFF2-40B4-BE49-F238E27FC236}">
              <a16:creationId xmlns:a16="http://schemas.microsoft.com/office/drawing/2014/main" id="{CE04FF3F-C710-46AB-8FEF-8938B116127D}"/>
            </a:ext>
          </a:extLst>
        </xdr:cNvPr>
        <xdr:cNvPicPr>
          <a:picLocks noChangeAspect="1"/>
        </xdr:cNvPicPr>
      </xdr:nvPicPr>
      <xdr:blipFill>
        <a:blip xmlns:r="http://schemas.openxmlformats.org/officeDocument/2006/relationships" r:embed="rId1"/>
        <a:stretch>
          <a:fillRect/>
        </a:stretch>
      </xdr:blipFill>
      <xdr:spPr>
        <a:xfrm>
          <a:off x="448236" y="1728267"/>
          <a:ext cx="4045323" cy="17571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11.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12.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13.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14.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15.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16.xml><?xml version="1.0" encoding="utf-8"?>
<xdr:wsDr xmlns:xdr="http://schemas.openxmlformats.org/drawingml/2006/spreadsheetDrawing" xmlns:a="http://schemas.openxmlformats.org/drawingml/2006/main">
  <xdr:twoCellAnchor>
    <xdr:from>
      <xdr:col>22</xdr:col>
      <xdr:colOff>125117</xdr:colOff>
      <xdr:row>18</xdr:row>
      <xdr:rowOff>188597</xdr:rowOff>
    </xdr:from>
    <xdr:to>
      <xdr:col>28</xdr:col>
      <xdr:colOff>142484</xdr:colOff>
      <xdr:row>22</xdr:row>
      <xdr:rowOff>11206</xdr:rowOff>
    </xdr:to>
    <xdr:sp macro="" textlink="">
      <xdr:nvSpPr>
        <xdr:cNvPr id="2" name="TextBox 1">
          <a:extLst>
            <a:ext uri="{FF2B5EF4-FFF2-40B4-BE49-F238E27FC236}">
              <a16:creationId xmlns:a16="http://schemas.microsoft.com/office/drawing/2014/main" id="{73271E32-45C5-460C-9257-6DF5FB6A88EE}"/>
            </a:ext>
          </a:extLst>
        </xdr:cNvPr>
        <xdr:cNvSpPr txBox="1"/>
      </xdr:nvSpPr>
      <xdr:spPr>
        <a:xfrm>
          <a:off x="16777058" y="3404685"/>
          <a:ext cx="5732367" cy="584609"/>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baseline="0"/>
            <a:t>Cellen bliver automatisk skraveret, hvis den tidsdifferentierede tarif om sommeren for en given kundekategori og lastniveau er den samme som den om vinteren (som følge af samme skaleringsfaktor for sommer og vinter).</a:t>
          </a:r>
          <a:endParaRPr lang="da-DK" sz="900" b="0" i="0" baseline="0">
            <a:solidFill>
              <a:sysClr val="windowText" lastClr="000000"/>
            </a:solidFill>
          </a:endParaRPr>
        </a:p>
      </xdr:txBody>
    </xdr:sp>
    <xdr:clientData/>
  </xdr:twoCellAnchor>
  <xdr:twoCellAnchor editAs="oneCell">
    <xdr:from>
      <xdr:col>22</xdr:col>
      <xdr:colOff>127022</xdr:colOff>
      <xdr:row>30</xdr:row>
      <xdr:rowOff>179294</xdr:rowOff>
    </xdr:from>
    <xdr:to>
      <xdr:col>28</xdr:col>
      <xdr:colOff>141848</xdr:colOff>
      <xdr:row>32</xdr:row>
      <xdr:rowOff>28762</xdr:rowOff>
    </xdr:to>
    <xdr:sp macro="" textlink="">
      <xdr:nvSpPr>
        <xdr:cNvPr id="4" name="TextBox 3">
          <a:extLst>
            <a:ext uri="{FF2B5EF4-FFF2-40B4-BE49-F238E27FC236}">
              <a16:creationId xmlns:a16="http://schemas.microsoft.com/office/drawing/2014/main" id="{05638078-9D15-4FA7-AE03-833C20B44DAC}"/>
            </a:ext>
          </a:extLst>
        </xdr:cNvPr>
        <xdr:cNvSpPr txBox="1"/>
      </xdr:nvSpPr>
      <xdr:spPr>
        <a:xfrm>
          <a:off x="16778963" y="5681382"/>
          <a:ext cx="5736176" cy="224118"/>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baseline="0"/>
            <a:t>A-høj blokkene er på 1 MW, A-lav blokkene er på 0,5 MW og B-høj blokkene er på 0,1 MW</a:t>
          </a:r>
          <a:endParaRPr lang="da-DK" sz="900" b="0" i="1" baseline="0">
            <a:solidFill>
              <a:srgbClr val="FF0000"/>
            </a:solidFill>
          </a:endParaRPr>
        </a:p>
      </xdr:txBody>
    </xdr:sp>
    <xdr:clientData/>
  </xdr:twoCellAnchor>
  <xdr:twoCellAnchor editAs="oneCell">
    <xdr:from>
      <xdr:col>1</xdr:col>
      <xdr:colOff>93010</xdr:colOff>
      <xdr:row>3</xdr:row>
      <xdr:rowOff>93010</xdr:rowOff>
    </xdr:from>
    <xdr:to>
      <xdr:col>4</xdr:col>
      <xdr:colOff>1230773</xdr:colOff>
      <xdr:row>7</xdr:row>
      <xdr:rowOff>122306</xdr:rowOff>
    </xdr:to>
    <xdr:pic>
      <xdr:nvPicPr>
        <xdr:cNvPr id="6" name="Picture 5">
          <a:extLst>
            <a:ext uri="{FF2B5EF4-FFF2-40B4-BE49-F238E27FC236}">
              <a16:creationId xmlns:a16="http://schemas.microsoft.com/office/drawing/2014/main" id="{7C9CF7DF-D685-4B1C-A7D6-F4661EDF48DB}"/>
            </a:ext>
          </a:extLst>
        </xdr:cNvPr>
        <xdr:cNvPicPr>
          <a:picLocks noChangeAspect="1"/>
        </xdr:cNvPicPr>
      </xdr:nvPicPr>
      <xdr:blipFill>
        <a:blip xmlns:r="http://schemas.openxmlformats.org/officeDocument/2006/relationships" r:embed="rId1"/>
        <a:stretch>
          <a:fillRect/>
        </a:stretch>
      </xdr:blipFill>
      <xdr:spPr>
        <a:xfrm>
          <a:off x="169210" y="588310"/>
          <a:ext cx="1852138" cy="7912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124721</xdr:colOff>
      <xdr:row>51</xdr:row>
      <xdr:rowOff>61969</xdr:rowOff>
    </xdr:from>
    <xdr:to>
      <xdr:col>8</xdr:col>
      <xdr:colOff>175280</xdr:colOff>
      <xdr:row>61</xdr:row>
      <xdr:rowOff>58720</xdr:rowOff>
    </xdr:to>
    <xdr:graphicFrame macro="">
      <xdr:nvGraphicFramePr>
        <xdr:cNvPr id="2" name="Chart 1">
          <a:extLst>
            <a:ext uri="{FF2B5EF4-FFF2-40B4-BE49-F238E27FC236}">
              <a16:creationId xmlns:a16="http://schemas.microsoft.com/office/drawing/2014/main" id="{6D8BEB75-96EF-499A-B067-64D1B02121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124721</xdr:colOff>
      <xdr:row>61</xdr:row>
      <xdr:rowOff>101863</xdr:rowOff>
    </xdr:from>
    <xdr:to>
      <xdr:col>8</xdr:col>
      <xdr:colOff>175280</xdr:colOff>
      <xdr:row>72</xdr:row>
      <xdr:rowOff>68022</xdr:rowOff>
    </xdr:to>
    <xdr:graphicFrame macro="">
      <xdr:nvGraphicFramePr>
        <xdr:cNvPr id="4" name="Chart 3">
          <a:extLst>
            <a:ext uri="{FF2B5EF4-FFF2-40B4-BE49-F238E27FC236}">
              <a16:creationId xmlns:a16="http://schemas.microsoft.com/office/drawing/2014/main" id="{73851F93-F2C0-4862-8F99-F5C02B9FB0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124721</xdr:colOff>
      <xdr:row>72</xdr:row>
      <xdr:rowOff>111165</xdr:rowOff>
    </xdr:from>
    <xdr:to>
      <xdr:col>8</xdr:col>
      <xdr:colOff>175280</xdr:colOff>
      <xdr:row>79</xdr:row>
      <xdr:rowOff>111613</xdr:rowOff>
    </xdr:to>
    <xdr:graphicFrame macro="">
      <xdr:nvGraphicFramePr>
        <xdr:cNvPr id="5" name="Chart 4">
          <a:extLst>
            <a:ext uri="{FF2B5EF4-FFF2-40B4-BE49-F238E27FC236}">
              <a16:creationId xmlns:a16="http://schemas.microsoft.com/office/drawing/2014/main" id="{266C0422-9F20-47A8-A7D6-5E83C41AC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278357</xdr:colOff>
      <xdr:row>51</xdr:row>
      <xdr:rowOff>61969</xdr:rowOff>
    </xdr:from>
    <xdr:to>
      <xdr:col>15</xdr:col>
      <xdr:colOff>0</xdr:colOff>
      <xdr:row>61</xdr:row>
      <xdr:rowOff>62530</xdr:rowOff>
    </xdr:to>
    <xdr:graphicFrame macro="">
      <xdr:nvGraphicFramePr>
        <xdr:cNvPr id="6" name="Chart 5">
          <a:extLst>
            <a:ext uri="{FF2B5EF4-FFF2-40B4-BE49-F238E27FC236}">
              <a16:creationId xmlns:a16="http://schemas.microsoft.com/office/drawing/2014/main" id="{A9966AB5-35EF-4A0C-A19E-D2ABB77E8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278357</xdr:colOff>
      <xdr:row>61</xdr:row>
      <xdr:rowOff>112059</xdr:rowOff>
    </xdr:from>
    <xdr:to>
      <xdr:col>15</xdr:col>
      <xdr:colOff>0</xdr:colOff>
      <xdr:row>72</xdr:row>
      <xdr:rowOff>66116</xdr:rowOff>
    </xdr:to>
    <xdr:graphicFrame macro="">
      <xdr:nvGraphicFramePr>
        <xdr:cNvPr id="7" name="Chart 6">
          <a:extLst>
            <a:ext uri="{FF2B5EF4-FFF2-40B4-BE49-F238E27FC236}">
              <a16:creationId xmlns:a16="http://schemas.microsoft.com/office/drawing/2014/main" id="{823719F5-BC0E-4C4C-A7E6-DAACC710C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278357</xdr:colOff>
      <xdr:row>72</xdr:row>
      <xdr:rowOff>111165</xdr:rowOff>
    </xdr:from>
    <xdr:to>
      <xdr:col>15</xdr:col>
      <xdr:colOff>0</xdr:colOff>
      <xdr:row>79</xdr:row>
      <xdr:rowOff>101304</xdr:rowOff>
    </xdr:to>
    <xdr:graphicFrame macro="">
      <xdr:nvGraphicFramePr>
        <xdr:cNvPr id="8" name="Chart 7">
          <a:extLst>
            <a:ext uri="{FF2B5EF4-FFF2-40B4-BE49-F238E27FC236}">
              <a16:creationId xmlns:a16="http://schemas.microsoft.com/office/drawing/2014/main" id="{ED3C5EB6-F983-40B7-9ACC-5E12B238F1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499226</xdr:colOff>
      <xdr:row>51</xdr:row>
      <xdr:rowOff>56029</xdr:rowOff>
    </xdr:from>
    <xdr:to>
      <xdr:col>19</xdr:col>
      <xdr:colOff>246528</xdr:colOff>
      <xdr:row>61</xdr:row>
      <xdr:rowOff>76313</xdr:rowOff>
    </xdr:to>
    <xdr:graphicFrame macro="">
      <xdr:nvGraphicFramePr>
        <xdr:cNvPr id="9" name="Chart 8">
          <a:extLst>
            <a:ext uri="{FF2B5EF4-FFF2-40B4-BE49-F238E27FC236}">
              <a16:creationId xmlns:a16="http://schemas.microsoft.com/office/drawing/2014/main" id="{2372BC65-A691-40AA-A2C9-BD9DCA0EA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499226</xdr:colOff>
      <xdr:row>61</xdr:row>
      <xdr:rowOff>124275</xdr:rowOff>
    </xdr:from>
    <xdr:to>
      <xdr:col>19</xdr:col>
      <xdr:colOff>246528</xdr:colOff>
      <xdr:row>72</xdr:row>
      <xdr:rowOff>63764</xdr:rowOff>
    </xdr:to>
    <xdr:graphicFrame macro="">
      <xdr:nvGraphicFramePr>
        <xdr:cNvPr id="10" name="Chart 9">
          <a:extLst>
            <a:ext uri="{FF2B5EF4-FFF2-40B4-BE49-F238E27FC236}">
              <a16:creationId xmlns:a16="http://schemas.microsoft.com/office/drawing/2014/main" id="{23CE4ED9-3819-4EC6-BF07-03DB835C0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499226</xdr:colOff>
      <xdr:row>72</xdr:row>
      <xdr:rowOff>111165</xdr:rowOff>
    </xdr:from>
    <xdr:to>
      <xdr:col>19</xdr:col>
      <xdr:colOff>246528</xdr:colOff>
      <xdr:row>79</xdr:row>
      <xdr:rowOff>114415</xdr:rowOff>
    </xdr:to>
    <xdr:graphicFrame macro="">
      <xdr:nvGraphicFramePr>
        <xdr:cNvPr id="11" name="Chart 10">
          <a:extLst>
            <a:ext uri="{FF2B5EF4-FFF2-40B4-BE49-F238E27FC236}">
              <a16:creationId xmlns:a16="http://schemas.microsoft.com/office/drawing/2014/main" id="{1D120A15-93C6-4D1B-9800-0CB6FB9852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124721</xdr:colOff>
      <xdr:row>79</xdr:row>
      <xdr:rowOff>154757</xdr:rowOff>
    </xdr:from>
    <xdr:to>
      <xdr:col>8</xdr:col>
      <xdr:colOff>175280</xdr:colOff>
      <xdr:row>89</xdr:row>
      <xdr:rowOff>155318</xdr:rowOff>
    </xdr:to>
    <xdr:graphicFrame macro="">
      <xdr:nvGraphicFramePr>
        <xdr:cNvPr id="12" name="Chart 11">
          <a:extLst>
            <a:ext uri="{FF2B5EF4-FFF2-40B4-BE49-F238E27FC236}">
              <a16:creationId xmlns:a16="http://schemas.microsoft.com/office/drawing/2014/main" id="{37AB1D9E-012F-42A9-B786-84BF60E496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124721</xdr:colOff>
      <xdr:row>90</xdr:row>
      <xdr:rowOff>32274</xdr:rowOff>
    </xdr:from>
    <xdr:to>
      <xdr:col>8</xdr:col>
      <xdr:colOff>175280</xdr:colOff>
      <xdr:row>100</xdr:row>
      <xdr:rowOff>154978</xdr:rowOff>
    </xdr:to>
    <xdr:graphicFrame macro="">
      <xdr:nvGraphicFramePr>
        <xdr:cNvPr id="13" name="Chart 12">
          <a:extLst>
            <a:ext uri="{FF2B5EF4-FFF2-40B4-BE49-F238E27FC236}">
              <a16:creationId xmlns:a16="http://schemas.microsoft.com/office/drawing/2014/main" id="{0D69003E-AA02-4A8C-B678-21BF604C5C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278357</xdr:colOff>
      <xdr:row>79</xdr:row>
      <xdr:rowOff>154757</xdr:rowOff>
    </xdr:from>
    <xdr:to>
      <xdr:col>15</xdr:col>
      <xdr:colOff>0</xdr:colOff>
      <xdr:row>89</xdr:row>
      <xdr:rowOff>168314</xdr:rowOff>
    </xdr:to>
    <xdr:graphicFrame macro="">
      <xdr:nvGraphicFramePr>
        <xdr:cNvPr id="14" name="Chart 13">
          <a:extLst>
            <a:ext uri="{FF2B5EF4-FFF2-40B4-BE49-F238E27FC236}">
              <a16:creationId xmlns:a16="http://schemas.microsoft.com/office/drawing/2014/main" id="{498E8F11-9A4D-417A-8CD6-94F301986D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289563</xdr:colOff>
      <xdr:row>90</xdr:row>
      <xdr:rowOff>40120</xdr:rowOff>
    </xdr:from>
    <xdr:to>
      <xdr:col>15</xdr:col>
      <xdr:colOff>0</xdr:colOff>
      <xdr:row>100</xdr:row>
      <xdr:rowOff>143773</xdr:rowOff>
    </xdr:to>
    <xdr:graphicFrame macro="">
      <xdr:nvGraphicFramePr>
        <xdr:cNvPr id="15" name="Chart 14">
          <a:extLst>
            <a:ext uri="{FF2B5EF4-FFF2-40B4-BE49-F238E27FC236}">
              <a16:creationId xmlns:a16="http://schemas.microsoft.com/office/drawing/2014/main" id="{31B809D1-C38A-4584-A583-0EBD6CD02E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124721</xdr:colOff>
      <xdr:row>40</xdr:row>
      <xdr:rowOff>134470</xdr:rowOff>
    </xdr:from>
    <xdr:to>
      <xdr:col>8</xdr:col>
      <xdr:colOff>175280</xdr:colOff>
      <xdr:row>51</xdr:row>
      <xdr:rowOff>7620</xdr:rowOff>
    </xdr:to>
    <xdr:graphicFrame macro="">
      <xdr:nvGraphicFramePr>
        <xdr:cNvPr id="19" name="Chart 18">
          <a:extLst>
            <a:ext uri="{FF2B5EF4-FFF2-40B4-BE49-F238E27FC236}">
              <a16:creationId xmlns:a16="http://schemas.microsoft.com/office/drawing/2014/main" id="{5788F23A-2D87-418B-8CE1-B00396E9C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xdr:col>
      <xdr:colOff>93010</xdr:colOff>
      <xdr:row>3</xdr:row>
      <xdr:rowOff>93010</xdr:rowOff>
    </xdr:from>
    <xdr:to>
      <xdr:col>4</xdr:col>
      <xdr:colOff>1230773</xdr:colOff>
      <xdr:row>7</xdr:row>
      <xdr:rowOff>122306</xdr:rowOff>
    </xdr:to>
    <xdr:pic>
      <xdr:nvPicPr>
        <xdr:cNvPr id="17" name="Picture 16">
          <a:extLst>
            <a:ext uri="{FF2B5EF4-FFF2-40B4-BE49-F238E27FC236}">
              <a16:creationId xmlns:a16="http://schemas.microsoft.com/office/drawing/2014/main" id="{949DCEDC-3F7A-41B0-B17E-DB12B537287F}"/>
            </a:ext>
          </a:extLst>
        </xdr:cNvPr>
        <xdr:cNvPicPr>
          <a:picLocks noChangeAspect="1"/>
        </xdr:cNvPicPr>
      </xdr:nvPicPr>
      <xdr:blipFill>
        <a:blip xmlns:r="http://schemas.openxmlformats.org/officeDocument/2006/relationships" r:embed="rId15"/>
        <a:stretch>
          <a:fillRect/>
        </a:stretch>
      </xdr:blipFill>
      <xdr:spPr>
        <a:xfrm>
          <a:off x="169210" y="588310"/>
          <a:ext cx="1852138" cy="791296"/>
        </a:xfrm>
        <a:prstGeom prst="rect">
          <a:avLst/>
        </a:prstGeom>
      </xdr:spPr>
    </xdr:pic>
    <xdr:clientData/>
  </xdr:twoCellAnchor>
  <xdr:twoCellAnchor>
    <xdr:from>
      <xdr:col>9</xdr:col>
      <xdr:colOff>278357</xdr:colOff>
      <xdr:row>40</xdr:row>
      <xdr:rowOff>145676</xdr:rowOff>
    </xdr:from>
    <xdr:to>
      <xdr:col>15</xdr:col>
      <xdr:colOff>0</xdr:colOff>
      <xdr:row>51</xdr:row>
      <xdr:rowOff>11206</xdr:rowOff>
    </xdr:to>
    <xdr:graphicFrame macro="">
      <xdr:nvGraphicFramePr>
        <xdr:cNvPr id="18" name="Chart 17">
          <a:extLst>
            <a:ext uri="{FF2B5EF4-FFF2-40B4-BE49-F238E27FC236}">
              <a16:creationId xmlns:a16="http://schemas.microsoft.com/office/drawing/2014/main" id="{2463B6D7-6FE9-4A88-BC7C-8107354DA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15</xdr:col>
      <xdr:colOff>499226</xdr:colOff>
      <xdr:row>40</xdr:row>
      <xdr:rowOff>145676</xdr:rowOff>
    </xdr:from>
    <xdr:to>
      <xdr:col>19</xdr:col>
      <xdr:colOff>246528</xdr:colOff>
      <xdr:row>51</xdr:row>
      <xdr:rowOff>0</xdr:rowOff>
    </xdr:to>
    <xdr:graphicFrame macro="">
      <xdr:nvGraphicFramePr>
        <xdr:cNvPr id="22" name="Chart 21">
          <a:extLst>
            <a:ext uri="{FF2B5EF4-FFF2-40B4-BE49-F238E27FC236}">
              <a16:creationId xmlns:a16="http://schemas.microsoft.com/office/drawing/2014/main" id="{BC2AB50E-CCB5-4CFE-B3A7-996536A49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93010</xdr:colOff>
      <xdr:row>3</xdr:row>
      <xdr:rowOff>93010</xdr:rowOff>
    </xdr:from>
    <xdr:to>
      <xdr:col>4</xdr:col>
      <xdr:colOff>1227598</xdr:colOff>
      <xdr:row>7</xdr:row>
      <xdr:rowOff>125481</xdr:rowOff>
    </xdr:to>
    <xdr:pic>
      <xdr:nvPicPr>
        <xdr:cNvPr id="3" name="Picture 2">
          <a:extLst>
            <a:ext uri="{FF2B5EF4-FFF2-40B4-BE49-F238E27FC236}">
              <a16:creationId xmlns:a16="http://schemas.microsoft.com/office/drawing/2014/main" id="{2DBD0C9D-674C-4B68-9FE4-89F67EDFB5F6}"/>
            </a:ext>
          </a:extLst>
        </xdr:cNvPr>
        <xdr:cNvPicPr>
          <a:picLocks noChangeAspect="1"/>
        </xdr:cNvPicPr>
      </xdr:nvPicPr>
      <xdr:blipFill>
        <a:blip xmlns:r="http://schemas.openxmlformats.org/officeDocument/2006/relationships" r:embed="rId1"/>
        <a:stretch>
          <a:fillRect/>
        </a:stretch>
      </xdr:blipFill>
      <xdr:spPr>
        <a:xfrm>
          <a:off x="169210" y="588310"/>
          <a:ext cx="1852138" cy="79129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93010</xdr:colOff>
      <xdr:row>3</xdr:row>
      <xdr:rowOff>93010</xdr:rowOff>
    </xdr:from>
    <xdr:to>
      <xdr:col>4</xdr:col>
      <xdr:colOff>1230773</xdr:colOff>
      <xdr:row>7</xdr:row>
      <xdr:rowOff>122306</xdr:rowOff>
    </xdr:to>
    <xdr:pic>
      <xdr:nvPicPr>
        <xdr:cNvPr id="2" name="Picture 1">
          <a:extLst>
            <a:ext uri="{FF2B5EF4-FFF2-40B4-BE49-F238E27FC236}">
              <a16:creationId xmlns:a16="http://schemas.microsoft.com/office/drawing/2014/main" id="{5D44907D-5685-4B7D-8ABA-7873CC756877}"/>
            </a:ext>
          </a:extLst>
        </xdr:cNvPr>
        <xdr:cNvPicPr>
          <a:picLocks noChangeAspect="1"/>
        </xdr:cNvPicPr>
      </xdr:nvPicPr>
      <xdr:blipFill>
        <a:blip xmlns:r="http://schemas.openxmlformats.org/officeDocument/2006/relationships" r:embed="rId1"/>
        <a:stretch>
          <a:fillRect/>
        </a:stretch>
      </xdr:blipFill>
      <xdr:spPr>
        <a:xfrm>
          <a:off x="169210" y="588310"/>
          <a:ext cx="1852138" cy="791296"/>
        </a:xfrm>
        <a:prstGeom prst="rect">
          <a:avLst/>
        </a:prstGeom>
      </xdr:spPr>
    </xdr:pic>
    <xdr:clientData/>
  </xdr:twoCellAnchor>
  <xdr:twoCellAnchor editAs="oneCell">
    <xdr:from>
      <xdr:col>4</xdr:col>
      <xdr:colOff>790759</xdr:colOff>
      <xdr:row>23</xdr:row>
      <xdr:rowOff>182468</xdr:rowOff>
    </xdr:from>
    <xdr:to>
      <xdr:col>10</xdr:col>
      <xdr:colOff>829234</xdr:colOff>
      <xdr:row>34</xdr:row>
      <xdr:rowOff>159723</xdr:rowOff>
    </xdr:to>
    <xdr:graphicFrame macro="">
      <xdr:nvGraphicFramePr>
        <xdr:cNvPr id="3" name="Chart 2">
          <a:extLst>
            <a:ext uri="{FF2B5EF4-FFF2-40B4-BE49-F238E27FC236}">
              <a16:creationId xmlns:a16="http://schemas.microsoft.com/office/drawing/2014/main" id="{8CC180C4-7092-45CB-9468-70454B3D3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481853</xdr:colOff>
      <xdr:row>50</xdr:row>
      <xdr:rowOff>156883</xdr:rowOff>
    </xdr:from>
    <xdr:to>
      <xdr:col>10</xdr:col>
      <xdr:colOff>325850</xdr:colOff>
      <xdr:row>61</xdr:row>
      <xdr:rowOff>30033</xdr:rowOff>
    </xdr:to>
    <xdr:graphicFrame macro="">
      <xdr:nvGraphicFramePr>
        <xdr:cNvPr id="5" name="Chart 4">
          <a:extLst>
            <a:ext uri="{FF2B5EF4-FFF2-40B4-BE49-F238E27FC236}">
              <a16:creationId xmlns:a16="http://schemas.microsoft.com/office/drawing/2014/main" id="{2E652C65-0183-4C1E-9355-F2B8DCC6D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22</xdr:col>
      <xdr:colOff>239179</xdr:colOff>
      <xdr:row>27</xdr:row>
      <xdr:rowOff>160493</xdr:rowOff>
    </xdr:from>
    <xdr:to>
      <xdr:col>23</xdr:col>
      <xdr:colOff>341092</xdr:colOff>
      <xdr:row>30</xdr:row>
      <xdr:rowOff>121583</xdr:rowOff>
    </xdr:to>
    <xdr:sp macro="" textlink="">
      <xdr:nvSpPr>
        <xdr:cNvPr id="3" name="XbltRiPXxyHuvXmFcyI">
          <a:hlinkClick xmlns:r="http://schemas.openxmlformats.org/officeDocument/2006/relationships" r:id="rId1" tooltip="Gå til disclaimer"/>
          <a:extLst>
            <a:ext uri="{FF2B5EF4-FFF2-40B4-BE49-F238E27FC236}">
              <a16:creationId xmlns:a16="http://schemas.microsoft.com/office/drawing/2014/main" id="{00000000-0008-0000-0000-000003000000}"/>
            </a:ext>
          </a:extLst>
        </xdr:cNvPr>
        <xdr:cNvSpPr/>
      </xdr:nvSpPr>
      <xdr:spPr>
        <a:xfrm>
          <a:off x="11405410" y="5106166"/>
          <a:ext cx="1076394" cy="532590"/>
        </a:xfrm>
        <a:prstGeom prst="rect">
          <a:avLst/>
        </a:prstGeom>
        <a:solidFill>
          <a:srgbClr val="222221"/>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Disclaimer</a:t>
          </a:r>
        </a:p>
      </xdr:txBody>
    </xdr:sp>
    <xdr:clientData/>
  </xdr:twoCellAnchor>
  <xdr:twoCellAnchor>
    <xdr:from>
      <xdr:col>21</xdr:col>
      <xdr:colOff>54460</xdr:colOff>
      <xdr:row>27</xdr:row>
      <xdr:rowOff>163668</xdr:rowOff>
    </xdr:from>
    <xdr:to>
      <xdr:col>22</xdr:col>
      <xdr:colOff>159548</xdr:colOff>
      <xdr:row>30</xdr:row>
      <xdr:rowOff>124758</xdr:rowOff>
    </xdr:to>
    <xdr:sp macro="" textlink="">
      <xdr:nvSpPr>
        <xdr:cNvPr id="4" name="aXchiUrqS">
          <a:hlinkClick xmlns:r="http://schemas.openxmlformats.org/officeDocument/2006/relationships" r:id="rId2" tooltip="Gå til modeloverblik"/>
          <a:extLst>
            <a:ext uri="{FF2B5EF4-FFF2-40B4-BE49-F238E27FC236}">
              <a16:creationId xmlns:a16="http://schemas.microsoft.com/office/drawing/2014/main" id="{00000000-0008-0000-0000-000004000000}"/>
            </a:ext>
          </a:extLst>
        </xdr:cNvPr>
        <xdr:cNvSpPr/>
      </xdr:nvSpPr>
      <xdr:spPr>
        <a:xfrm>
          <a:off x="10246210" y="5109341"/>
          <a:ext cx="1079569" cy="532590"/>
        </a:xfrm>
        <a:prstGeom prst="rect">
          <a:avLst/>
        </a:prstGeom>
        <a:solidFill>
          <a:srgbClr val="222221"/>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Modeloverblik</a:t>
          </a:r>
        </a:p>
      </xdr:txBody>
    </xdr:sp>
    <xdr:clientData/>
  </xdr:twoCellAnchor>
  <xdr:twoCellAnchor>
    <xdr:from>
      <xdr:col>28</xdr:col>
      <xdr:colOff>154553</xdr:colOff>
      <xdr:row>32</xdr:row>
      <xdr:rowOff>9815</xdr:rowOff>
    </xdr:from>
    <xdr:to>
      <xdr:col>28</xdr:col>
      <xdr:colOff>1331753</xdr:colOff>
      <xdr:row>34</xdr:row>
      <xdr:rowOff>137060</xdr:rowOff>
    </xdr:to>
    <xdr:sp macro="" textlink="">
      <xdr:nvSpPr>
        <xdr:cNvPr id="8" name="funLIzZM">
          <a:hlinkClick xmlns:r="http://schemas.openxmlformats.org/officeDocument/2006/relationships" r:id="rId3" tooltip="Gå til provenu"/>
          <a:extLst>
            <a:ext uri="{FF2B5EF4-FFF2-40B4-BE49-F238E27FC236}">
              <a16:creationId xmlns:a16="http://schemas.microsoft.com/office/drawing/2014/main" id="{00000000-0008-0000-0000-000008000000}"/>
            </a:ext>
          </a:extLst>
        </xdr:cNvPr>
        <xdr:cNvSpPr/>
      </xdr:nvSpPr>
      <xdr:spPr>
        <a:xfrm>
          <a:off x="17182322" y="5900661"/>
          <a:ext cx="1177200" cy="508245"/>
        </a:xfrm>
        <a:prstGeom prst="rect">
          <a:avLst/>
        </a:prstGeom>
        <a:solidFill>
          <a:srgbClr val="307675"/>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Provenu</a:t>
          </a:r>
        </a:p>
      </xdr:txBody>
    </xdr:sp>
    <xdr:clientData/>
  </xdr:twoCellAnchor>
  <xdr:twoCellAnchor>
    <xdr:from>
      <xdr:col>22</xdr:col>
      <xdr:colOff>898936</xdr:colOff>
      <xdr:row>36</xdr:row>
      <xdr:rowOff>41556</xdr:rowOff>
    </xdr:from>
    <xdr:to>
      <xdr:col>24</xdr:col>
      <xdr:colOff>258289</xdr:colOff>
      <xdr:row>39</xdr:row>
      <xdr:rowOff>3066</xdr:rowOff>
    </xdr:to>
    <xdr:sp macro="" textlink="">
      <xdr:nvSpPr>
        <xdr:cNvPr id="18" name="jiOUBWkLcDUavgEdWKLmVvTqtpFjSQv">
          <a:hlinkClick xmlns:r="http://schemas.openxmlformats.org/officeDocument/2006/relationships" r:id="rId4" tooltip="Gå til opsplitning af forbrug"/>
          <a:extLst>
            <a:ext uri="{FF2B5EF4-FFF2-40B4-BE49-F238E27FC236}">
              <a16:creationId xmlns:a16="http://schemas.microsoft.com/office/drawing/2014/main" id="{00000000-0008-0000-0000-000012000000}"/>
            </a:ext>
          </a:extLst>
        </xdr:cNvPr>
        <xdr:cNvSpPr/>
      </xdr:nvSpPr>
      <xdr:spPr>
        <a:xfrm>
          <a:off x="12065167" y="6694402"/>
          <a:ext cx="1308314" cy="533010"/>
        </a:xfrm>
        <a:prstGeom prst="rect">
          <a:avLst/>
        </a:prstGeom>
        <a:solidFill>
          <a:srgbClr val="966432"/>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Tarifering,</a:t>
          </a:r>
          <a:r>
            <a:rPr lang="en-US" sz="1000" b="0" i="0" u="none" strike="noStrike" baseline="0">
              <a:solidFill>
                <a:srgbClr val="FFFFFF"/>
              </a:solidFill>
              <a:latin typeface="Arial"/>
              <a:ea typeface="+mn-ea"/>
              <a:cs typeface="Arial"/>
            </a:rPr>
            <a:t> opsplitning</a:t>
          </a:r>
          <a:endParaRPr lang="en-US" sz="1000" b="0" i="0" u="none" strike="noStrike">
            <a:solidFill>
              <a:srgbClr val="FFFFFF"/>
            </a:solidFill>
            <a:latin typeface="Arial"/>
            <a:ea typeface="+mn-ea"/>
            <a:cs typeface="Arial"/>
          </a:endParaRPr>
        </a:p>
      </xdr:txBody>
    </xdr:sp>
    <xdr:clientData/>
  </xdr:twoCellAnchor>
  <xdr:twoCellAnchor>
    <xdr:from>
      <xdr:col>21</xdr:col>
      <xdr:colOff>32273</xdr:colOff>
      <xdr:row>33</xdr:row>
      <xdr:rowOff>126288</xdr:rowOff>
    </xdr:from>
    <xdr:to>
      <xdr:col>22</xdr:col>
      <xdr:colOff>286976</xdr:colOff>
      <xdr:row>36</xdr:row>
      <xdr:rowOff>89703</xdr:rowOff>
    </xdr:to>
    <xdr:sp macro="" textlink="">
      <xdr:nvSpPr>
        <xdr:cNvPr id="19" name="xUlmyrHYyYlfHXZVmulOfC">
          <a:hlinkClick xmlns:r="http://schemas.openxmlformats.org/officeDocument/2006/relationships" r:id="rId5" tooltip="Gå til generelle input"/>
          <a:extLst>
            <a:ext uri="{FF2B5EF4-FFF2-40B4-BE49-F238E27FC236}">
              <a16:creationId xmlns:a16="http://schemas.microsoft.com/office/drawing/2014/main" id="{00000000-0008-0000-0000-000013000000}"/>
            </a:ext>
          </a:extLst>
        </xdr:cNvPr>
        <xdr:cNvSpPr/>
      </xdr:nvSpPr>
      <xdr:spPr>
        <a:xfrm>
          <a:off x="10211599" y="6205723"/>
          <a:ext cx="1223768" cy="534915"/>
        </a:xfrm>
        <a:prstGeom prst="rect">
          <a:avLst/>
        </a:prstGeom>
        <a:solidFill>
          <a:srgbClr val="CFCFCF"/>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ysClr val="windowText" lastClr="000000"/>
              </a:solidFill>
              <a:latin typeface="Arial"/>
              <a:ea typeface="+mn-ea"/>
              <a:cs typeface="Arial"/>
            </a:rPr>
            <a:t>Generelle input</a:t>
          </a:r>
        </a:p>
      </xdr:txBody>
    </xdr:sp>
    <xdr:clientData/>
  </xdr:twoCellAnchor>
  <xdr:twoCellAnchor>
    <xdr:from>
      <xdr:col>28</xdr:col>
      <xdr:colOff>154553</xdr:colOff>
      <xdr:row>36</xdr:row>
      <xdr:rowOff>39726</xdr:rowOff>
    </xdr:from>
    <xdr:to>
      <xdr:col>28</xdr:col>
      <xdr:colOff>1331753</xdr:colOff>
      <xdr:row>38</xdr:row>
      <xdr:rowOff>186021</xdr:rowOff>
    </xdr:to>
    <xdr:sp macro="" textlink="">
      <xdr:nvSpPr>
        <xdr:cNvPr id="20" name="funLIzZM">
          <a:hlinkClick xmlns:r="http://schemas.openxmlformats.org/officeDocument/2006/relationships" r:id="rId6" tooltip="Gå til tarifoversigt"/>
          <a:extLst>
            <a:ext uri="{FF2B5EF4-FFF2-40B4-BE49-F238E27FC236}">
              <a16:creationId xmlns:a16="http://schemas.microsoft.com/office/drawing/2014/main" id="{00000000-0008-0000-0000-000014000000}"/>
            </a:ext>
          </a:extLst>
        </xdr:cNvPr>
        <xdr:cNvSpPr/>
      </xdr:nvSpPr>
      <xdr:spPr>
        <a:xfrm>
          <a:off x="17182322" y="6692572"/>
          <a:ext cx="1177200" cy="527295"/>
        </a:xfrm>
        <a:prstGeom prst="rect">
          <a:avLst/>
        </a:prstGeom>
        <a:solidFill>
          <a:srgbClr val="307675"/>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Tarifoversigt</a:t>
          </a:r>
        </a:p>
      </xdr:txBody>
    </xdr:sp>
    <xdr:clientData/>
  </xdr:twoCellAnchor>
  <xdr:twoCellAnchor>
    <xdr:from>
      <xdr:col>28</xdr:col>
      <xdr:colOff>154553</xdr:colOff>
      <xdr:row>46</xdr:row>
      <xdr:rowOff>102577</xdr:rowOff>
    </xdr:from>
    <xdr:to>
      <xdr:col>28</xdr:col>
      <xdr:colOff>1331753</xdr:colOff>
      <xdr:row>49</xdr:row>
      <xdr:rowOff>74677</xdr:rowOff>
    </xdr:to>
    <xdr:sp macro="" textlink="">
      <xdr:nvSpPr>
        <xdr:cNvPr id="21" name="funLIzZM">
          <a:hlinkClick xmlns:r="http://schemas.openxmlformats.org/officeDocument/2006/relationships" r:id="rId7" tooltip="Gå til varslingsanalyse"/>
          <a:extLst>
            <a:ext uri="{FF2B5EF4-FFF2-40B4-BE49-F238E27FC236}">
              <a16:creationId xmlns:a16="http://schemas.microsoft.com/office/drawing/2014/main" id="{B7DA2025-7BEA-4A4D-8C1D-3F3675D2A700}"/>
            </a:ext>
          </a:extLst>
        </xdr:cNvPr>
        <xdr:cNvSpPr/>
      </xdr:nvSpPr>
      <xdr:spPr>
        <a:xfrm>
          <a:off x="17187494" y="8652665"/>
          <a:ext cx="1177200" cy="543600"/>
        </a:xfrm>
        <a:prstGeom prst="rect">
          <a:avLst/>
        </a:prstGeom>
        <a:solidFill>
          <a:srgbClr val="307675"/>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Varslingsanalyse</a:t>
          </a:r>
        </a:p>
      </xdr:txBody>
    </xdr:sp>
    <xdr:clientData/>
  </xdr:twoCellAnchor>
  <xdr:twoCellAnchor>
    <xdr:from>
      <xdr:col>21</xdr:col>
      <xdr:colOff>28450</xdr:colOff>
      <xdr:row>38</xdr:row>
      <xdr:rowOff>140643</xdr:rowOff>
    </xdr:from>
    <xdr:to>
      <xdr:col>22</xdr:col>
      <xdr:colOff>302203</xdr:colOff>
      <xdr:row>41</xdr:row>
      <xdr:rowOff>102153</xdr:rowOff>
    </xdr:to>
    <xdr:sp macro="" textlink="">
      <xdr:nvSpPr>
        <xdr:cNvPr id="22" name="xUlmyrHYyYlfHXZVmulOfC">
          <a:hlinkClick xmlns:r="http://schemas.openxmlformats.org/officeDocument/2006/relationships" r:id="rId8" tooltip="Gå til selskabsspecifikke input"/>
          <a:extLst>
            <a:ext uri="{FF2B5EF4-FFF2-40B4-BE49-F238E27FC236}">
              <a16:creationId xmlns:a16="http://schemas.microsoft.com/office/drawing/2014/main" id="{8896A6BA-C156-4841-A7EB-C0F7D7B20F78}"/>
            </a:ext>
          </a:extLst>
        </xdr:cNvPr>
        <xdr:cNvSpPr/>
      </xdr:nvSpPr>
      <xdr:spPr>
        <a:xfrm>
          <a:off x="10184481" y="7177237"/>
          <a:ext cx="1244113" cy="533010"/>
        </a:xfrm>
        <a:prstGeom prst="rect">
          <a:avLst/>
        </a:prstGeom>
        <a:solidFill>
          <a:srgbClr val="CFCFCF"/>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algn="ctr"/>
          <a:r>
            <a:rPr lang="en-US" sz="1100" u="none">
              <a:solidFill>
                <a:schemeClr val="tx1"/>
              </a:solidFill>
            </a:rPr>
            <a:t> Selskabsspecifikke input</a:t>
          </a:r>
        </a:p>
      </xdr:txBody>
    </xdr:sp>
    <xdr:clientData/>
  </xdr:twoCellAnchor>
  <xdr:twoCellAnchor>
    <xdr:from>
      <xdr:col>24</xdr:col>
      <xdr:colOff>674434</xdr:colOff>
      <xdr:row>33</xdr:row>
      <xdr:rowOff>126287</xdr:rowOff>
    </xdr:from>
    <xdr:to>
      <xdr:col>26</xdr:col>
      <xdr:colOff>446688</xdr:colOff>
      <xdr:row>36</xdr:row>
      <xdr:rowOff>94787</xdr:rowOff>
    </xdr:to>
    <xdr:sp macro="" textlink="">
      <xdr:nvSpPr>
        <xdr:cNvPr id="23" name="jiOUBWkLcDUavgEdWKLmVvTqtpFjSQv">
          <a:hlinkClick xmlns:r="http://schemas.openxmlformats.org/officeDocument/2006/relationships" r:id="rId9" tooltip="Gå til abonnement"/>
          <a:extLst>
            <a:ext uri="{FF2B5EF4-FFF2-40B4-BE49-F238E27FC236}">
              <a16:creationId xmlns:a16="http://schemas.microsoft.com/office/drawing/2014/main" id="{C6BF880A-6A0F-485B-8C05-EFDB41BFDFEE}"/>
            </a:ext>
          </a:extLst>
        </xdr:cNvPr>
        <xdr:cNvSpPr/>
      </xdr:nvSpPr>
      <xdr:spPr>
        <a:xfrm>
          <a:off x="13789626" y="6207633"/>
          <a:ext cx="1281600" cy="540000"/>
        </a:xfrm>
        <a:prstGeom prst="rect">
          <a:avLst/>
        </a:prstGeom>
        <a:solidFill>
          <a:srgbClr val="966432"/>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Abonnement</a:t>
          </a:r>
        </a:p>
      </xdr:txBody>
    </xdr:sp>
    <xdr:clientData/>
  </xdr:twoCellAnchor>
  <xdr:twoCellAnchor>
    <xdr:from>
      <xdr:col>24</xdr:col>
      <xdr:colOff>674435</xdr:colOff>
      <xdr:row>38</xdr:row>
      <xdr:rowOff>148900</xdr:rowOff>
    </xdr:from>
    <xdr:to>
      <xdr:col>26</xdr:col>
      <xdr:colOff>445268</xdr:colOff>
      <xdr:row>41</xdr:row>
      <xdr:rowOff>116125</xdr:rowOff>
    </xdr:to>
    <xdr:sp macro="" textlink="">
      <xdr:nvSpPr>
        <xdr:cNvPr id="24" name="jiOUBWkLcDUavgEdWKLmVvTqtpFjSQv">
          <a:hlinkClick xmlns:r="http://schemas.openxmlformats.org/officeDocument/2006/relationships" r:id="rId10" tooltip="Gå til Forbrugstariffer og effekt"/>
          <a:extLst>
            <a:ext uri="{FF2B5EF4-FFF2-40B4-BE49-F238E27FC236}">
              <a16:creationId xmlns:a16="http://schemas.microsoft.com/office/drawing/2014/main" id="{3889FB48-1A90-41CB-A8BB-9B4C16060724}"/>
            </a:ext>
          </a:extLst>
        </xdr:cNvPr>
        <xdr:cNvSpPr/>
      </xdr:nvSpPr>
      <xdr:spPr>
        <a:xfrm>
          <a:off x="13789627" y="7182746"/>
          <a:ext cx="1280179" cy="538725"/>
        </a:xfrm>
        <a:prstGeom prst="rect">
          <a:avLst/>
        </a:prstGeom>
        <a:solidFill>
          <a:srgbClr val="966432"/>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Tarif og effekt</a:t>
          </a:r>
        </a:p>
      </xdr:txBody>
    </xdr:sp>
    <xdr:clientData/>
  </xdr:twoCellAnchor>
  <xdr:twoCellAnchor>
    <xdr:from>
      <xdr:col>22</xdr:col>
      <xdr:colOff>286976</xdr:colOff>
      <xdr:row>35</xdr:row>
      <xdr:rowOff>12746</xdr:rowOff>
    </xdr:from>
    <xdr:to>
      <xdr:col>24</xdr:col>
      <xdr:colOff>674434</xdr:colOff>
      <xdr:row>35</xdr:row>
      <xdr:rowOff>15287</xdr:rowOff>
    </xdr:to>
    <xdr:cxnSp macro="">
      <xdr:nvCxnSpPr>
        <xdr:cNvPr id="25" name="RCwDZNgRv">
          <a:extLst>
            <a:ext uri="{FF2B5EF4-FFF2-40B4-BE49-F238E27FC236}">
              <a16:creationId xmlns:a16="http://schemas.microsoft.com/office/drawing/2014/main" id="{E464906E-2E79-4B65-BDB4-DFF1D13AD67C}"/>
            </a:ext>
          </a:extLst>
        </xdr:cNvPr>
        <xdr:cNvCxnSpPr>
          <a:stCxn id="19" idx="3"/>
          <a:endCxn id="23" idx="1"/>
        </xdr:cNvCxnSpPr>
      </xdr:nvCxnSpPr>
      <xdr:spPr>
        <a:xfrm>
          <a:off x="11453207" y="6475092"/>
          <a:ext cx="2336419" cy="2541"/>
        </a:xfrm>
        <a:prstGeom prst="straightConnector1">
          <a:avLst/>
        </a:prstGeom>
        <a:ln w="12700">
          <a:solidFill>
            <a:schemeClr val="tx1"/>
          </a:solidFill>
          <a:tailEnd type="triangl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22</xdr:col>
      <xdr:colOff>302203</xdr:colOff>
      <xdr:row>40</xdr:row>
      <xdr:rowOff>26148</xdr:rowOff>
    </xdr:from>
    <xdr:to>
      <xdr:col>24</xdr:col>
      <xdr:colOff>674435</xdr:colOff>
      <xdr:row>40</xdr:row>
      <xdr:rowOff>37263</xdr:rowOff>
    </xdr:to>
    <xdr:cxnSp macro="">
      <xdr:nvCxnSpPr>
        <xdr:cNvPr id="26" name="RCwDZNgRv">
          <a:extLst>
            <a:ext uri="{FF2B5EF4-FFF2-40B4-BE49-F238E27FC236}">
              <a16:creationId xmlns:a16="http://schemas.microsoft.com/office/drawing/2014/main" id="{F04FC61D-4FCF-4A8E-A11E-0DA0A8BBD4C4}"/>
            </a:ext>
          </a:extLst>
        </xdr:cNvPr>
        <xdr:cNvCxnSpPr>
          <a:stCxn id="22" idx="3"/>
          <a:endCxn id="24" idx="1"/>
        </xdr:cNvCxnSpPr>
      </xdr:nvCxnSpPr>
      <xdr:spPr>
        <a:xfrm>
          <a:off x="11468434" y="7440994"/>
          <a:ext cx="2321193" cy="11115"/>
        </a:xfrm>
        <a:prstGeom prst="straightConnector1">
          <a:avLst/>
        </a:prstGeom>
        <a:ln w="12700">
          <a:solidFill>
            <a:schemeClr val="tx1"/>
          </a:solidFill>
          <a:tailEnd type="triangl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22</xdr:col>
      <xdr:colOff>586092</xdr:colOff>
      <xdr:row>35</xdr:row>
      <xdr:rowOff>19558</xdr:rowOff>
    </xdr:from>
    <xdr:to>
      <xdr:col>22</xdr:col>
      <xdr:colOff>597318</xdr:colOff>
      <xdr:row>40</xdr:row>
      <xdr:rowOff>43185</xdr:rowOff>
    </xdr:to>
    <xdr:cxnSp macro="">
      <xdr:nvCxnSpPr>
        <xdr:cNvPr id="28" name="RCwDZNgRv">
          <a:extLst>
            <a:ext uri="{FF2B5EF4-FFF2-40B4-BE49-F238E27FC236}">
              <a16:creationId xmlns:a16="http://schemas.microsoft.com/office/drawing/2014/main" id="{4657BA7F-600E-491D-8624-DE7E5DD9D583}"/>
            </a:ext>
          </a:extLst>
        </xdr:cNvPr>
        <xdr:cNvCxnSpPr/>
      </xdr:nvCxnSpPr>
      <xdr:spPr>
        <a:xfrm flipH="1" flipV="1">
          <a:off x="11746217" y="6472746"/>
          <a:ext cx="11226" cy="976127"/>
        </a:xfrm>
        <a:prstGeom prst="straightConnector1">
          <a:avLst/>
        </a:prstGeom>
        <a:ln w="12700">
          <a:solidFill>
            <a:schemeClr val="tx1"/>
          </a:solidFill>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22</xdr:col>
      <xdr:colOff>591206</xdr:colOff>
      <xdr:row>37</xdr:row>
      <xdr:rowOff>117562</xdr:rowOff>
    </xdr:from>
    <xdr:to>
      <xdr:col>22</xdr:col>
      <xdr:colOff>895126</xdr:colOff>
      <xdr:row>37</xdr:row>
      <xdr:rowOff>124810</xdr:rowOff>
    </xdr:to>
    <xdr:cxnSp macro="">
      <xdr:nvCxnSpPr>
        <xdr:cNvPr id="32" name="RCwDZNgRv">
          <a:extLst>
            <a:ext uri="{FF2B5EF4-FFF2-40B4-BE49-F238E27FC236}">
              <a16:creationId xmlns:a16="http://schemas.microsoft.com/office/drawing/2014/main" id="{1F8BB601-75A0-468D-A3EC-E65FAE7CAF7B}"/>
            </a:ext>
          </a:extLst>
        </xdr:cNvPr>
        <xdr:cNvCxnSpPr/>
      </xdr:nvCxnSpPr>
      <xdr:spPr>
        <a:xfrm flipV="1">
          <a:off x="11725603" y="6962424"/>
          <a:ext cx="303920" cy="7248"/>
        </a:xfrm>
        <a:prstGeom prst="straightConnector1">
          <a:avLst/>
        </a:prstGeom>
        <a:ln w="12700">
          <a:solidFill>
            <a:schemeClr val="tx1"/>
          </a:solidFill>
          <a:tailEnd type="triangl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448179</xdr:colOff>
      <xdr:row>35</xdr:row>
      <xdr:rowOff>17126</xdr:rowOff>
    </xdr:from>
    <xdr:to>
      <xdr:col>24</xdr:col>
      <xdr:colOff>453259</xdr:colOff>
      <xdr:row>40</xdr:row>
      <xdr:rowOff>39414</xdr:rowOff>
    </xdr:to>
    <xdr:cxnSp macro="">
      <xdr:nvCxnSpPr>
        <xdr:cNvPr id="35" name="RCwDZNgRv">
          <a:extLst>
            <a:ext uri="{FF2B5EF4-FFF2-40B4-BE49-F238E27FC236}">
              <a16:creationId xmlns:a16="http://schemas.microsoft.com/office/drawing/2014/main" id="{B419297B-4485-4918-8039-BAD5CD2213FE}"/>
            </a:ext>
          </a:extLst>
        </xdr:cNvPr>
        <xdr:cNvCxnSpPr/>
      </xdr:nvCxnSpPr>
      <xdr:spPr>
        <a:xfrm flipH="1" flipV="1">
          <a:off x="13526989" y="6480988"/>
          <a:ext cx="5080" cy="974788"/>
        </a:xfrm>
        <a:prstGeom prst="straightConnector1">
          <a:avLst/>
        </a:prstGeom>
        <a:ln w="12700">
          <a:solidFill>
            <a:schemeClr val="tx1"/>
          </a:solidFill>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24</xdr:col>
      <xdr:colOff>249555</xdr:colOff>
      <xdr:row>37</xdr:row>
      <xdr:rowOff>133350</xdr:rowOff>
    </xdr:from>
    <xdr:to>
      <xdr:col>24</xdr:col>
      <xdr:colOff>449904</xdr:colOff>
      <xdr:row>37</xdr:row>
      <xdr:rowOff>133755</xdr:rowOff>
    </xdr:to>
    <xdr:cxnSp macro="">
      <xdr:nvCxnSpPr>
        <xdr:cNvPr id="37" name="RCwDZNgRv">
          <a:extLst>
            <a:ext uri="{FF2B5EF4-FFF2-40B4-BE49-F238E27FC236}">
              <a16:creationId xmlns:a16="http://schemas.microsoft.com/office/drawing/2014/main" id="{25F949B0-5B5E-4CB8-9ABC-63682D03A558}"/>
            </a:ext>
          </a:extLst>
        </xdr:cNvPr>
        <xdr:cNvCxnSpPr/>
      </xdr:nvCxnSpPr>
      <xdr:spPr>
        <a:xfrm>
          <a:off x="12149725" y="6971084"/>
          <a:ext cx="200349" cy="405"/>
        </a:xfrm>
        <a:prstGeom prst="straightConnector1">
          <a:avLst/>
        </a:prstGeom>
        <a:ln w="12700">
          <a:solidFill>
            <a:schemeClr val="tx1"/>
          </a:solidFill>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445268</xdr:colOff>
      <xdr:row>40</xdr:row>
      <xdr:rowOff>30596</xdr:rowOff>
    </xdr:from>
    <xdr:to>
      <xdr:col>26</xdr:col>
      <xdr:colOff>801641</xdr:colOff>
      <xdr:row>40</xdr:row>
      <xdr:rowOff>37263</xdr:rowOff>
    </xdr:to>
    <xdr:cxnSp macro="">
      <xdr:nvCxnSpPr>
        <xdr:cNvPr id="48" name="RCwDZNgRv">
          <a:extLst>
            <a:ext uri="{FF2B5EF4-FFF2-40B4-BE49-F238E27FC236}">
              <a16:creationId xmlns:a16="http://schemas.microsoft.com/office/drawing/2014/main" id="{AF7067BC-B480-4510-95B8-48A50F2A87AA}"/>
            </a:ext>
          </a:extLst>
        </xdr:cNvPr>
        <xdr:cNvCxnSpPr>
          <a:stCxn id="24" idx="3"/>
          <a:endCxn id="38" idx="1"/>
        </xdr:cNvCxnSpPr>
      </xdr:nvCxnSpPr>
      <xdr:spPr>
        <a:xfrm flipV="1">
          <a:off x="15069806" y="7445442"/>
          <a:ext cx="356373" cy="6667"/>
        </a:xfrm>
        <a:prstGeom prst="straightConnector1">
          <a:avLst/>
        </a:prstGeom>
        <a:ln w="12700">
          <a:solidFill>
            <a:schemeClr val="tx1"/>
          </a:solidFill>
          <a:tailEnd type="triangl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475677</xdr:colOff>
      <xdr:row>35</xdr:row>
      <xdr:rowOff>9525</xdr:rowOff>
    </xdr:from>
    <xdr:to>
      <xdr:col>27</xdr:col>
      <xdr:colOff>1267239</xdr:colOff>
      <xdr:row>35</xdr:row>
      <xdr:rowOff>15287</xdr:rowOff>
    </xdr:to>
    <xdr:cxnSp macro="">
      <xdr:nvCxnSpPr>
        <xdr:cNvPr id="51" name="RCwDZNgRv">
          <a:extLst>
            <a:ext uri="{FF2B5EF4-FFF2-40B4-BE49-F238E27FC236}">
              <a16:creationId xmlns:a16="http://schemas.microsoft.com/office/drawing/2014/main" id="{EA829B50-4FE4-444A-80A9-D6811D12F61A}"/>
            </a:ext>
          </a:extLst>
        </xdr:cNvPr>
        <xdr:cNvCxnSpPr/>
      </xdr:nvCxnSpPr>
      <xdr:spPr>
        <a:xfrm flipV="1">
          <a:off x="15061351" y="6469960"/>
          <a:ext cx="1760627" cy="5762"/>
        </a:xfrm>
        <a:prstGeom prst="straightConnector1">
          <a:avLst/>
        </a:prstGeom>
        <a:ln w="12700">
          <a:solidFill>
            <a:schemeClr val="tx1"/>
          </a:solidFill>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27</xdr:col>
      <xdr:colOff>1261286</xdr:colOff>
      <xdr:row>33</xdr:row>
      <xdr:rowOff>66261</xdr:rowOff>
    </xdr:from>
    <xdr:to>
      <xdr:col>28</xdr:col>
      <xdr:colOff>150026</xdr:colOff>
      <xdr:row>33</xdr:row>
      <xdr:rowOff>73439</xdr:rowOff>
    </xdr:to>
    <xdr:cxnSp macro="">
      <xdr:nvCxnSpPr>
        <xdr:cNvPr id="59" name="RCwDZNgRv">
          <a:extLst>
            <a:ext uri="{FF2B5EF4-FFF2-40B4-BE49-F238E27FC236}">
              <a16:creationId xmlns:a16="http://schemas.microsoft.com/office/drawing/2014/main" id="{B9D46397-311D-4262-BAFB-3D2E99255225}"/>
            </a:ext>
          </a:extLst>
        </xdr:cNvPr>
        <xdr:cNvCxnSpPr/>
      </xdr:nvCxnSpPr>
      <xdr:spPr>
        <a:xfrm>
          <a:off x="16804895" y="6150355"/>
          <a:ext cx="317490" cy="7178"/>
        </a:xfrm>
        <a:prstGeom prst="straightConnector1">
          <a:avLst/>
        </a:prstGeom>
        <a:ln w="12700">
          <a:solidFill>
            <a:schemeClr val="tx1"/>
          </a:solidFill>
          <a:tailEnd type="triangl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27</xdr:col>
      <xdr:colOff>1275522</xdr:colOff>
      <xdr:row>37</xdr:row>
      <xdr:rowOff>120389</xdr:rowOff>
    </xdr:from>
    <xdr:to>
      <xdr:col>28</xdr:col>
      <xdr:colOff>155979</xdr:colOff>
      <xdr:row>37</xdr:row>
      <xdr:rowOff>124239</xdr:rowOff>
    </xdr:to>
    <xdr:cxnSp macro="">
      <xdr:nvCxnSpPr>
        <xdr:cNvPr id="62" name="RCwDZNgRv">
          <a:extLst>
            <a:ext uri="{FF2B5EF4-FFF2-40B4-BE49-F238E27FC236}">
              <a16:creationId xmlns:a16="http://schemas.microsoft.com/office/drawing/2014/main" id="{CBE642BA-56F2-4462-B6B3-3104A713E592}"/>
            </a:ext>
          </a:extLst>
        </xdr:cNvPr>
        <xdr:cNvCxnSpPr/>
      </xdr:nvCxnSpPr>
      <xdr:spPr>
        <a:xfrm flipV="1">
          <a:off x="16830261" y="6961824"/>
          <a:ext cx="313348" cy="3850"/>
        </a:xfrm>
        <a:prstGeom prst="straightConnector1">
          <a:avLst/>
        </a:prstGeom>
        <a:ln w="12700">
          <a:solidFill>
            <a:schemeClr val="tx1"/>
          </a:solidFill>
          <a:tailEnd type="triangl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19217</xdr:colOff>
      <xdr:row>18</xdr:row>
      <xdr:rowOff>21296</xdr:rowOff>
    </xdr:from>
    <xdr:to>
      <xdr:col>20</xdr:col>
      <xdr:colOff>302559</xdr:colOff>
      <xdr:row>57</xdr:row>
      <xdr:rowOff>145677</xdr:rowOff>
    </xdr:to>
    <xdr:sp macro="" textlink="">
      <xdr:nvSpPr>
        <xdr:cNvPr id="5" name="TextBox 4">
          <a:extLst>
            <a:ext uri="{FF2B5EF4-FFF2-40B4-BE49-F238E27FC236}">
              <a16:creationId xmlns:a16="http://schemas.microsoft.com/office/drawing/2014/main" id="{5DD69CCC-1C3C-44C9-90AD-F69580ACD376}"/>
            </a:ext>
          </a:extLst>
        </xdr:cNvPr>
        <xdr:cNvSpPr txBox="1"/>
      </xdr:nvSpPr>
      <xdr:spPr>
        <a:xfrm>
          <a:off x="332982" y="3237384"/>
          <a:ext cx="9180812" cy="64108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000" b="1">
              <a:solidFill>
                <a:sysClr val="windowText" lastClr="000000"/>
              </a:solidFill>
              <a:latin typeface="Arial" panose="020B0604020202020204" pitchFamily="34" charset="0"/>
              <a:cs typeface="Arial" panose="020B0604020202020204" pitchFamily="34" charset="0"/>
            </a:rPr>
            <a:t>Introduktion til modellen</a:t>
          </a:r>
        </a:p>
        <a:p>
          <a:endParaRPr lang="da-DK" sz="1000">
            <a:solidFill>
              <a:sysClr val="windowText" lastClr="000000"/>
            </a:solidFill>
            <a:latin typeface="Arial" panose="020B0604020202020204" pitchFamily="34" charset="0"/>
            <a:cs typeface="Arial" panose="020B0604020202020204" pitchFamily="34" charset="0"/>
          </a:endParaRPr>
        </a:p>
        <a:p>
          <a:r>
            <a:rPr lang="da-DK" sz="1000">
              <a:solidFill>
                <a:sysClr val="windowText" lastClr="000000"/>
              </a:solidFill>
              <a:latin typeface="Arial" panose="020B0604020202020204" pitchFamily="34" charset="0"/>
              <a:cs typeface="Arial" panose="020B0604020202020204" pitchFamily="34" charset="0"/>
            </a:rPr>
            <a:t>Denne model udgør Green Power Denmarks</a:t>
          </a:r>
          <a:r>
            <a:rPr lang="da-DK" sz="1000" baseline="0">
              <a:solidFill>
                <a:sysClr val="windowText" lastClr="000000"/>
              </a:solidFill>
              <a:latin typeface="Arial" panose="020B0604020202020204" pitchFamily="34" charset="0"/>
              <a:cs typeface="Arial" panose="020B0604020202020204" pitchFamily="34" charset="0"/>
            </a:rPr>
            <a:t> </a:t>
          </a:r>
          <a:r>
            <a:rPr lang="da-DK" sz="1000">
              <a:solidFill>
                <a:sysClr val="windowText" lastClr="000000"/>
              </a:solidFill>
              <a:latin typeface="Arial" panose="020B0604020202020204" pitchFamily="34" charset="0"/>
              <a:cs typeface="Arial" panose="020B0604020202020204" pitchFamily="34" charset="0"/>
            </a:rPr>
            <a:t>branchemodel til brug for beregning af tariffer for netselskaberne. Modellen skal anvendes som standard for, hvordan branchen beregner tarifferne. </a:t>
          </a:r>
        </a:p>
        <a:p>
          <a:endParaRPr lang="da-DK" sz="1000">
            <a:solidFill>
              <a:sysClr val="windowText" lastClr="000000"/>
            </a:solidFill>
            <a:latin typeface="Arial" panose="020B0604020202020204" pitchFamily="34" charset="0"/>
            <a:cs typeface="Arial" panose="020B0604020202020204" pitchFamily="34" charset="0"/>
          </a:endParaRPr>
        </a:p>
        <a:p>
          <a:r>
            <a:rPr lang="da-DK" sz="1000">
              <a:solidFill>
                <a:sysClr val="windowText" lastClr="000000"/>
              </a:solidFill>
              <a:latin typeface="Arial" panose="020B0604020202020204" pitchFamily="34" charset="0"/>
              <a:cs typeface="Arial" panose="020B0604020202020204" pitchFamily="34" charset="0"/>
            </a:rPr>
            <a:t>Bemærk at modellen er låst - med undtagelse af det selskabsspecifikke inputark, opdateringsloggen</a:t>
          </a:r>
          <a:r>
            <a:rPr lang="da-DK" sz="1000" baseline="0">
              <a:solidFill>
                <a:sysClr val="windowText" lastClr="000000"/>
              </a:solidFill>
              <a:latin typeface="Arial" panose="020B0604020202020204" pitchFamily="34" charset="0"/>
              <a:cs typeface="Arial" panose="020B0604020202020204" pitchFamily="34" charset="0"/>
            </a:rPr>
            <a:t> til netselskaberne samt hjælpearket til beregning af forbrugsnøgler</a:t>
          </a:r>
          <a:r>
            <a:rPr lang="da-DK" sz="1000">
              <a:solidFill>
                <a:sysClr val="windowText" lastClr="000000"/>
              </a:solidFill>
              <a:latin typeface="Arial" panose="020B0604020202020204" pitchFamily="34" charset="0"/>
              <a:cs typeface="Arial" panose="020B0604020202020204" pitchFamily="34" charset="0"/>
            </a:rPr>
            <a:t> - for at undgå ændringer til modellen, der kan give anledning til fejl.</a:t>
          </a:r>
        </a:p>
        <a:p>
          <a:endParaRPr lang="da-DK" sz="1000">
            <a:solidFill>
              <a:sysClr val="windowText" lastClr="000000"/>
            </a:solidFill>
            <a:latin typeface="Arial" panose="020B0604020202020204" pitchFamily="34" charset="0"/>
            <a:cs typeface="Arial" panose="020B0604020202020204" pitchFamily="34" charset="0"/>
          </a:endParaRPr>
        </a:p>
        <a:p>
          <a:r>
            <a:rPr lang="da-DK" sz="1000">
              <a:solidFill>
                <a:sysClr val="windowText" lastClr="000000"/>
              </a:solidFill>
              <a:latin typeface="Arial" panose="020B0604020202020204" pitchFamily="34" charset="0"/>
              <a:cs typeface="Arial" panose="020B0604020202020204" pitchFamily="34" charset="0"/>
            </a:rPr>
            <a:t>Modellen er inddelt i fire hovedsektioner:</a:t>
          </a:r>
        </a:p>
        <a:p>
          <a:endParaRPr lang="da-DK" sz="1000">
            <a:solidFill>
              <a:sysClr val="windowText" lastClr="000000"/>
            </a:solidFill>
            <a:latin typeface="Arial" panose="020B0604020202020204" pitchFamily="34" charset="0"/>
            <a:cs typeface="Arial" panose="020B0604020202020204" pitchFamily="34" charset="0"/>
          </a:endParaRPr>
        </a:p>
        <a:p>
          <a:r>
            <a:rPr lang="da-DK" sz="1000" b="1">
              <a:solidFill>
                <a:sysClr val="windowText" lastClr="000000"/>
              </a:solidFill>
              <a:latin typeface="Arial" panose="020B0604020202020204" pitchFamily="34" charset="0"/>
              <a:cs typeface="Arial" panose="020B0604020202020204" pitchFamily="34" charset="0"/>
            </a:rPr>
            <a:t>1) Output</a:t>
          </a:r>
        </a:p>
        <a:p>
          <a:r>
            <a:rPr lang="da-DK" sz="1000" b="1">
              <a:solidFill>
                <a:sysClr val="windowText" lastClr="000000"/>
              </a:solidFill>
              <a:latin typeface="Arial" panose="020B0604020202020204" pitchFamily="34" charset="0"/>
              <a:ea typeface="+mn-ea"/>
              <a:cs typeface="Arial" panose="020B0604020202020204" pitchFamily="34" charset="0"/>
            </a:rPr>
            <a:t>2) Input (herunder både generelle og selskabsspecifikke input)</a:t>
          </a:r>
        </a:p>
        <a:p>
          <a:r>
            <a:rPr lang="da-DK" sz="1000" b="1">
              <a:solidFill>
                <a:sysClr val="windowText" lastClr="000000"/>
              </a:solidFill>
              <a:latin typeface="Arial" panose="020B0604020202020204" pitchFamily="34" charset="0"/>
              <a:ea typeface="+mn-ea"/>
              <a:cs typeface="Arial" panose="020B0604020202020204" pitchFamily="34" charset="0"/>
            </a:rPr>
            <a:t>3) Beregninger</a:t>
          </a:r>
        </a:p>
        <a:p>
          <a:r>
            <a:rPr lang="da-DK" sz="1000" b="1">
              <a:solidFill>
                <a:sysClr val="windowText" lastClr="000000"/>
              </a:solidFill>
              <a:latin typeface="Arial" panose="020B0604020202020204" pitchFamily="34" charset="0"/>
              <a:ea typeface="+mn-ea"/>
              <a:cs typeface="Arial" panose="020B0604020202020204" pitchFamily="34" charset="0"/>
            </a:rPr>
            <a:t>4) Fejl og kontrol</a:t>
          </a:r>
        </a:p>
        <a:p>
          <a:endParaRPr lang="da-DK" sz="1000">
            <a:solidFill>
              <a:sysClr val="windowText" lastClr="000000"/>
            </a:solidFill>
            <a:latin typeface="Arial" panose="020B0604020202020204" pitchFamily="34" charset="0"/>
            <a:cs typeface="Arial" panose="020B0604020202020204" pitchFamily="34" charset="0"/>
          </a:endParaRPr>
        </a:p>
        <a:p>
          <a:r>
            <a:rPr lang="da-DK" sz="1000">
              <a:solidFill>
                <a:sysClr val="windowText" lastClr="000000"/>
              </a:solidFill>
              <a:latin typeface="Arial" panose="020B0604020202020204" pitchFamily="34" charset="0"/>
              <a:cs typeface="Arial" panose="020B0604020202020204" pitchFamily="34" charset="0"/>
            </a:rPr>
            <a:t>Nedenfor beskrives hovedsektionerne</a:t>
          </a:r>
          <a:r>
            <a:rPr lang="da-DK" sz="1000" baseline="0">
              <a:solidFill>
                <a:sysClr val="windowText" lastClr="000000"/>
              </a:solidFill>
              <a:latin typeface="Arial" panose="020B0604020202020204" pitchFamily="34" charset="0"/>
              <a:cs typeface="Arial" panose="020B0604020202020204" pitchFamily="34" charset="0"/>
            </a:rPr>
            <a:t> nærmere</a:t>
          </a:r>
          <a:r>
            <a:rPr lang="da-DK" sz="1000">
              <a:solidFill>
                <a:sysClr val="windowText" lastClr="000000"/>
              </a:solidFill>
              <a:latin typeface="Arial" panose="020B0604020202020204" pitchFamily="34" charset="0"/>
              <a:cs typeface="Arial" panose="020B0604020202020204" pitchFamily="34" charset="0"/>
            </a:rPr>
            <a:t>.</a:t>
          </a:r>
        </a:p>
        <a:p>
          <a:endParaRPr lang="da-DK" sz="1000" b="0">
            <a:solidFill>
              <a:sysClr val="windowText" lastClr="000000"/>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000" b="1">
              <a:solidFill>
                <a:sysClr val="windowText" lastClr="000000"/>
              </a:solidFill>
              <a:effectLst/>
              <a:latin typeface="Arial" panose="020B0604020202020204" pitchFamily="34" charset="0"/>
              <a:ea typeface="+mn-ea"/>
              <a:cs typeface="Arial" panose="020B0604020202020204" pitchFamily="34" charset="0"/>
            </a:rPr>
            <a:t>1) Output</a:t>
          </a:r>
          <a:endParaRPr lang="da-DK" sz="1000">
            <a:solidFill>
              <a:sysClr val="windowText" lastClr="000000"/>
            </a:solidFill>
            <a:effectLst/>
            <a:latin typeface="Arial" panose="020B0604020202020204" pitchFamily="34" charset="0"/>
            <a:cs typeface="Arial" panose="020B0604020202020204" pitchFamily="34" charset="0"/>
          </a:endParaRPr>
        </a:p>
        <a:p>
          <a:r>
            <a:rPr lang="da-DK" sz="1000" b="0">
              <a:solidFill>
                <a:sysClr val="windowText" lastClr="000000"/>
              </a:solidFill>
              <a:latin typeface="Arial" panose="020B0604020202020204" pitchFamily="34" charset="0"/>
              <a:cs typeface="Arial" panose="020B0604020202020204" pitchFamily="34" charset="0"/>
            </a:rPr>
            <a:t>Modellen har fem output-ark,</a:t>
          </a:r>
          <a:r>
            <a:rPr lang="da-DK" sz="1000" b="0" baseline="0">
              <a:solidFill>
                <a:sysClr val="windowText" lastClr="000000"/>
              </a:solidFill>
              <a:latin typeface="Arial" panose="020B0604020202020204" pitchFamily="34" charset="0"/>
              <a:cs typeface="Arial" panose="020B0604020202020204" pitchFamily="34" charset="0"/>
            </a:rPr>
            <a:t> bestående af i) en oversigt over provenuet fordelt på priselementer, omkostnings-/forrentningsgrupper og det, der kommer fra eget kontra overliggende spændingsniveauer (vandfald), ii) en oversigt over alle tariffer, iii) en varslingsanalyse, hvor de nye tariffer beregnet i denne model sammenlignes med gamle tariffer (der kan kopieres ind i de selskabsspecifikke input), iv) en oversigt over hoveddata samt v) en oversigt over output relateret til indfødningstariffer. </a:t>
          </a:r>
          <a:r>
            <a:rPr lang="da-DK" sz="1000" b="0" baseline="0">
              <a:solidFill>
                <a:sysClr val="windowText" lastClr="000000"/>
              </a:solidFill>
              <a:effectLst/>
              <a:latin typeface="Arial" panose="020B0604020202020204" pitchFamily="34" charset="0"/>
              <a:ea typeface="+mn-ea"/>
              <a:cs typeface="Arial" panose="020B0604020202020204" pitchFamily="34" charset="0"/>
            </a:rPr>
            <a:t>Det enkelte netselskab skal ikke ændre i disse ark.</a:t>
          </a:r>
          <a:endParaRPr lang="da-DK" sz="1000" b="0" baseline="0">
            <a:solidFill>
              <a:sysClr val="windowText" lastClr="000000"/>
            </a:solidFill>
            <a:latin typeface="Arial" panose="020B0604020202020204" pitchFamily="34" charset="0"/>
            <a:cs typeface="Arial" panose="020B0604020202020204" pitchFamily="34" charset="0"/>
          </a:endParaRPr>
        </a:p>
        <a:p>
          <a:endParaRPr lang="da-DK" sz="1000" b="0">
            <a:solidFill>
              <a:sysClr val="windowText" lastClr="000000"/>
            </a:solidFill>
            <a:latin typeface="Arial" panose="020B0604020202020204" pitchFamily="34" charset="0"/>
            <a:cs typeface="Arial" panose="020B0604020202020204" pitchFamily="34" charset="0"/>
          </a:endParaRPr>
        </a:p>
        <a:p>
          <a:r>
            <a:rPr lang="da-DK" sz="1000" b="1">
              <a:solidFill>
                <a:sysClr val="windowText" lastClr="000000"/>
              </a:solidFill>
              <a:latin typeface="Arial" panose="020B0604020202020204" pitchFamily="34" charset="0"/>
              <a:cs typeface="Arial" panose="020B0604020202020204" pitchFamily="34" charset="0"/>
            </a:rPr>
            <a:t>2) Input</a:t>
          </a:r>
        </a:p>
        <a:p>
          <a:r>
            <a:rPr lang="da-DK" sz="1000">
              <a:solidFill>
                <a:sysClr val="windowText" lastClr="000000"/>
              </a:solidFill>
              <a:latin typeface="Arial" panose="020B0604020202020204" pitchFamily="34" charset="0"/>
              <a:cs typeface="Arial" panose="020B0604020202020204" pitchFamily="34" charset="0"/>
            </a:rPr>
            <a:t>Modellen har tre input-ark.</a:t>
          </a:r>
          <a:r>
            <a:rPr lang="da-DK" sz="1000" baseline="0">
              <a:solidFill>
                <a:sysClr val="windowText" lastClr="000000"/>
              </a:solidFill>
              <a:latin typeface="Arial" panose="020B0604020202020204" pitchFamily="34" charset="0"/>
              <a:cs typeface="Arial" panose="020B0604020202020204" pitchFamily="34" charset="0"/>
            </a:rPr>
            <a:t> Arket "2.1 Model setup" vedrører overordnede indstillinger for modellen og skal ikke justeres. De to andre ark</a:t>
          </a:r>
          <a:r>
            <a:rPr lang="da-DK" sz="1000">
              <a:solidFill>
                <a:sysClr val="windowText" lastClr="000000"/>
              </a:solidFill>
              <a:latin typeface="Arial" panose="020B0604020202020204" pitchFamily="34" charset="0"/>
              <a:cs typeface="Arial" panose="020B0604020202020204" pitchFamily="34" charset="0"/>
            </a:rPr>
            <a:t> vedrører to forskellige kategorier af input. Disse beskrives nærmere</a:t>
          </a:r>
          <a:r>
            <a:rPr lang="da-DK" sz="1000" baseline="0">
              <a:solidFill>
                <a:sysClr val="windowText" lastClr="000000"/>
              </a:solidFill>
              <a:latin typeface="Arial" panose="020B0604020202020204" pitchFamily="34" charset="0"/>
              <a:cs typeface="Arial" panose="020B0604020202020204" pitchFamily="34" charset="0"/>
            </a:rPr>
            <a:t> nedenfor:</a:t>
          </a:r>
          <a:endParaRPr lang="da-DK" sz="1000">
            <a:solidFill>
              <a:sysClr val="windowText" lastClr="000000"/>
            </a:solidFill>
            <a:latin typeface="Arial" panose="020B0604020202020204" pitchFamily="34" charset="0"/>
            <a:cs typeface="Arial" panose="020B0604020202020204" pitchFamily="34" charset="0"/>
          </a:endParaRPr>
        </a:p>
        <a:p>
          <a:endParaRPr lang="da-DK" sz="1000">
            <a:solidFill>
              <a:sysClr val="windowText" lastClr="000000"/>
            </a:solidFill>
            <a:latin typeface="Arial" panose="020B0604020202020204" pitchFamily="34" charset="0"/>
            <a:cs typeface="Arial" panose="020B0604020202020204" pitchFamily="34" charset="0"/>
          </a:endParaRPr>
        </a:p>
        <a:p>
          <a:r>
            <a:rPr lang="da-DK" sz="1000" b="1" i="1" u="none">
              <a:solidFill>
                <a:sysClr val="windowText" lastClr="000000"/>
              </a:solidFill>
              <a:latin typeface="Arial" panose="020B0604020202020204" pitchFamily="34" charset="0"/>
              <a:cs typeface="Arial" panose="020B0604020202020204" pitchFamily="34" charset="0"/>
            </a:rPr>
            <a:t>2.2) Generelle input: </a:t>
          </a:r>
          <a:r>
            <a:rPr lang="da-DK" sz="1000">
              <a:solidFill>
                <a:sysClr val="windowText" lastClr="000000"/>
              </a:solidFill>
              <a:latin typeface="Arial" panose="020B0604020202020204" pitchFamily="34" charset="0"/>
              <a:cs typeface="Arial" panose="020B0604020202020204" pitchFamily="34" charset="0"/>
            </a:rPr>
            <a:t>De generelle input vedrører forudsætninger, der vil gøre sig gældende for alle netselskaber. Disse vil således ikke variere på tværs af selskaberne. Derfor skal disse input ikke udfyldes af hvert af de enkelte netselskaber, men alene evt. opdateres af Green Power Denmark.</a:t>
          </a:r>
        </a:p>
        <a:p>
          <a:endParaRPr lang="da-DK" sz="1000">
            <a:solidFill>
              <a:sysClr val="windowText" lastClr="000000"/>
            </a:solidFill>
            <a:latin typeface="Arial" panose="020B0604020202020204" pitchFamily="34" charset="0"/>
            <a:cs typeface="Arial" panose="020B0604020202020204" pitchFamily="34" charset="0"/>
          </a:endParaRPr>
        </a:p>
        <a:p>
          <a:r>
            <a:rPr lang="da-DK" sz="1000" b="1" i="1">
              <a:solidFill>
                <a:sysClr val="windowText" lastClr="000000"/>
              </a:solidFill>
              <a:latin typeface="Arial" panose="020B0604020202020204" pitchFamily="34" charset="0"/>
              <a:cs typeface="Arial" panose="020B0604020202020204" pitchFamily="34" charset="0"/>
            </a:rPr>
            <a:t>2.3) Selskabsspecifikke input: </a:t>
          </a:r>
          <a:r>
            <a:rPr lang="da-DK" sz="1000">
              <a:solidFill>
                <a:sysClr val="windowText" lastClr="000000"/>
              </a:solidFill>
              <a:latin typeface="Arial" panose="020B0604020202020204" pitchFamily="34" charset="0"/>
              <a:cs typeface="Arial" panose="020B0604020202020204" pitchFamily="34" charset="0"/>
            </a:rPr>
            <a:t>De selskabsspecifikke input bør udfyldes af hvert af de enkelte netselskaber. Dette vedrører eksempelvis selskabernes indtægtsramme, omkostninger</a:t>
          </a:r>
          <a:r>
            <a:rPr lang="da-DK" sz="1000" baseline="0">
              <a:solidFill>
                <a:sysClr val="windowText" lastClr="000000"/>
              </a:solidFill>
              <a:latin typeface="Arial" panose="020B0604020202020204" pitchFamily="34" charset="0"/>
              <a:cs typeface="Arial" panose="020B0604020202020204" pitchFamily="34" charset="0"/>
            </a:rPr>
            <a:t> samt leverede mængder</a:t>
          </a:r>
          <a:r>
            <a:rPr lang="da-DK" sz="1000">
              <a:solidFill>
                <a:sysClr val="windowText" lastClr="000000"/>
              </a:solidFill>
              <a:latin typeface="Arial" panose="020B0604020202020204" pitchFamily="34" charset="0"/>
              <a:cs typeface="Arial" panose="020B0604020202020204" pitchFamily="34" charset="0"/>
            </a:rPr>
            <a:t>.</a:t>
          </a:r>
        </a:p>
        <a:p>
          <a:endParaRPr lang="da-DK" sz="1000">
            <a:solidFill>
              <a:sysClr val="windowText" lastClr="000000"/>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000" b="1">
              <a:solidFill>
                <a:sysClr val="windowText" lastClr="000000"/>
              </a:solidFill>
              <a:effectLst/>
              <a:latin typeface="Arial" panose="020B0604020202020204" pitchFamily="34" charset="0"/>
              <a:ea typeface="+mn-ea"/>
              <a:cs typeface="Arial" panose="020B0604020202020204" pitchFamily="34" charset="0"/>
            </a:rPr>
            <a:t>3) Beregninger</a:t>
          </a:r>
        </a:p>
        <a:p>
          <a:pPr marL="0" marR="0" lvl="0" indent="0" defTabSz="914400" eaLnBrk="1" fontAlgn="auto" latinLnBrk="0" hangingPunct="1">
            <a:lnSpc>
              <a:spcPct val="100000"/>
            </a:lnSpc>
            <a:spcBef>
              <a:spcPts val="0"/>
            </a:spcBef>
            <a:spcAft>
              <a:spcPts val="0"/>
            </a:spcAft>
            <a:buClrTx/>
            <a:buSzTx/>
            <a:buFontTx/>
            <a:buNone/>
            <a:tabLst/>
            <a:defRPr/>
          </a:pPr>
          <a:r>
            <a:rPr lang="da-DK" sz="1000" b="0">
              <a:solidFill>
                <a:sysClr val="windowText" lastClr="000000"/>
              </a:solidFill>
              <a:effectLst/>
              <a:latin typeface="Arial" panose="020B0604020202020204" pitchFamily="34" charset="0"/>
              <a:ea typeface="+mn-ea"/>
              <a:cs typeface="Arial" panose="020B0604020202020204" pitchFamily="34" charset="0"/>
            </a:rPr>
            <a:t>Sektionen</a:t>
          </a:r>
          <a:r>
            <a:rPr lang="da-DK" sz="1000" b="0" baseline="0">
              <a:solidFill>
                <a:sysClr val="windowText" lastClr="000000"/>
              </a:solidFill>
              <a:effectLst/>
              <a:latin typeface="Arial" panose="020B0604020202020204" pitchFamily="34" charset="0"/>
              <a:ea typeface="+mn-ea"/>
              <a:cs typeface="Arial" panose="020B0604020202020204" pitchFamily="34" charset="0"/>
            </a:rPr>
            <a:t> består af fem ark, hvor der tages udgangspunkt i tariferingsgrundlaget, som fordeles til tarif/effekt og abonnement i det første ark, abonnementspriserne beregnes i det andet ark og tarifferne beregnes i de sidste tre ark. Det enkelte netselskab skal ikke ændre i disse ark.</a:t>
          </a:r>
          <a:endParaRPr lang="da-DK" sz="1000" b="0">
            <a:solidFill>
              <a:sysClr val="windowText" lastClr="000000"/>
            </a:solidFill>
            <a:effectLst/>
            <a:latin typeface="Arial" panose="020B0604020202020204" pitchFamily="34" charset="0"/>
            <a:cs typeface="Arial" panose="020B0604020202020204" pitchFamily="34" charset="0"/>
          </a:endParaRPr>
        </a:p>
        <a:p>
          <a:endParaRPr lang="da-DK" sz="1000">
            <a:solidFill>
              <a:sysClr val="windowText" lastClr="000000"/>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000" b="1">
              <a:solidFill>
                <a:sysClr val="windowText" lastClr="000000"/>
              </a:solidFill>
              <a:effectLst/>
              <a:latin typeface="Arial" panose="020B0604020202020204" pitchFamily="34" charset="0"/>
              <a:ea typeface="+mn-ea"/>
              <a:cs typeface="Arial" panose="020B0604020202020204" pitchFamily="34" charset="0"/>
            </a:rPr>
            <a:t>4)</a:t>
          </a:r>
          <a:r>
            <a:rPr lang="da-DK" sz="1000" b="1" baseline="0">
              <a:solidFill>
                <a:sysClr val="windowText" lastClr="000000"/>
              </a:solidFill>
              <a:effectLst/>
              <a:latin typeface="Arial" panose="020B0604020202020204" pitchFamily="34" charset="0"/>
              <a:ea typeface="+mn-ea"/>
              <a:cs typeface="Arial" panose="020B0604020202020204" pitchFamily="34" charset="0"/>
            </a:rPr>
            <a:t> Fejl og kontrol</a:t>
          </a:r>
          <a:endParaRPr lang="da-DK" sz="1000">
            <a:solidFill>
              <a:sysClr val="windowText" lastClr="000000"/>
            </a:solidFill>
            <a:effectLst/>
            <a:latin typeface="Arial" panose="020B0604020202020204" pitchFamily="34" charset="0"/>
            <a:cs typeface="Arial" panose="020B0604020202020204" pitchFamily="34" charset="0"/>
          </a:endParaRPr>
        </a:p>
        <a:p>
          <a:r>
            <a:rPr lang="da-DK" sz="1000" b="0">
              <a:solidFill>
                <a:sysClr val="windowText" lastClr="000000"/>
              </a:solidFill>
              <a:latin typeface="Arial" panose="020B0604020202020204" pitchFamily="34" charset="0"/>
              <a:cs typeface="Arial" panose="020B0604020202020204" pitchFamily="34" charset="0"/>
            </a:rPr>
            <a:t>Sektionen</a:t>
          </a:r>
          <a:r>
            <a:rPr lang="da-DK" sz="1000" b="0" baseline="0">
              <a:solidFill>
                <a:sysClr val="windowText" lastClr="000000"/>
              </a:solidFill>
              <a:latin typeface="Arial" panose="020B0604020202020204" pitchFamily="34" charset="0"/>
              <a:cs typeface="Arial" panose="020B0604020202020204" pitchFamily="34" charset="0"/>
            </a:rPr>
            <a:t> består af et enkelt ark, som sektion for sektion viser, om der er aktiverede fejl- eller kontrolchecks i den enkelte sektion, og hvor i den enkelte sektion det i så fald er. Enten er det i arket beskrevet, hvad årsagen til fejlen/kontrolchecket er, og alternativt henvises der til, hvor en beskrivelse af årsagen til fejlen/kontrolchecket kan findes. Dette afhænger af, i hvilket ark fejlen/kontrolchecket er opstået. Desuden kan man i alle ark i sektion 1), 2) og 3) finde en oversigtsboks i toppen af arket, hvor antallet af fejl- og kontrolchecks i det pågældende ark er oplyst samt det samlede antal fejl i modellen, og hvor mange af de beregnede tariffer/effektpriser/abonnementer, der bør varsles for.</a:t>
          </a:r>
          <a:endParaRPr lang="da-DK"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21</xdr:col>
      <xdr:colOff>38100</xdr:colOff>
      <xdr:row>13</xdr:row>
      <xdr:rowOff>57149</xdr:rowOff>
    </xdr:from>
    <xdr:to>
      <xdr:col>22</xdr:col>
      <xdr:colOff>292215</xdr:colOff>
      <xdr:row>16</xdr:row>
      <xdr:rowOff>11679</xdr:rowOff>
    </xdr:to>
    <xdr:sp macro="" textlink="">
      <xdr:nvSpPr>
        <xdr:cNvPr id="31" name="OijZDRkbDSwSLIyDtzNFQ">
          <a:extLst>
            <a:ext uri="{FF2B5EF4-FFF2-40B4-BE49-F238E27FC236}">
              <a16:creationId xmlns:a16="http://schemas.microsoft.com/office/drawing/2014/main" id="{563CCA55-C982-4C8A-9E8B-6945F507315B}"/>
            </a:ext>
          </a:extLst>
        </xdr:cNvPr>
        <xdr:cNvSpPr/>
      </xdr:nvSpPr>
      <xdr:spPr>
        <a:xfrm>
          <a:off x="10220325" y="2333624"/>
          <a:ext cx="1225665" cy="526030"/>
        </a:xfrm>
        <a:prstGeom prst="rect">
          <a:avLst/>
        </a:prstGeom>
        <a:solidFill>
          <a:srgbClr val="222221"/>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Generelt</a:t>
          </a:r>
          <a:br>
            <a:rPr lang="en-US" sz="1000" b="0" i="0" u="none" strike="noStrike">
              <a:solidFill>
                <a:srgbClr val="FFFFFF"/>
              </a:solidFill>
              <a:latin typeface="Arial"/>
              <a:ea typeface="+mn-ea"/>
              <a:cs typeface="Arial"/>
            </a:rPr>
          </a:br>
          <a:r>
            <a:rPr lang="en-US" sz="1000" b="0" i="0" u="none" strike="noStrike">
              <a:solidFill>
                <a:srgbClr val="FFFFFF"/>
              </a:solidFill>
              <a:latin typeface="Arial"/>
              <a:ea typeface="+mn-ea"/>
              <a:cs typeface="Arial"/>
            </a:rPr>
            <a:t>ark</a:t>
          </a:r>
        </a:p>
      </xdr:txBody>
    </xdr:sp>
    <xdr:clientData/>
  </xdr:twoCellAnchor>
  <xdr:twoCellAnchor>
    <xdr:from>
      <xdr:col>21</xdr:col>
      <xdr:colOff>28575</xdr:colOff>
      <xdr:row>16</xdr:row>
      <xdr:rowOff>142875</xdr:rowOff>
    </xdr:from>
    <xdr:to>
      <xdr:col>22</xdr:col>
      <xdr:colOff>282690</xdr:colOff>
      <xdr:row>19</xdr:row>
      <xdr:rowOff>103755</xdr:rowOff>
    </xdr:to>
    <xdr:sp macro="" textlink="">
      <xdr:nvSpPr>
        <xdr:cNvPr id="33" name="sJgPiGwKpalJAf">
          <a:extLst>
            <a:ext uri="{FF2B5EF4-FFF2-40B4-BE49-F238E27FC236}">
              <a16:creationId xmlns:a16="http://schemas.microsoft.com/office/drawing/2014/main" id="{B853FF79-DB81-48A3-9E6F-82A004187D31}"/>
            </a:ext>
          </a:extLst>
        </xdr:cNvPr>
        <xdr:cNvSpPr/>
      </xdr:nvSpPr>
      <xdr:spPr>
        <a:xfrm>
          <a:off x="10210800" y="2990850"/>
          <a:ext cx="1225665" cy="532380"/>
        </a:xfrm>
        <a:prstGeom prst="rect">
          <a:avLst/>
        </a:prstGeom>
        <a:solidFill>
          <a:srgbClr val="966432"/>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Beregnings-</a:t>
          </a:r>
        </a:p>
        <a:p>
          <a:pPr marL="0" indent="0" algn="ctr"/>
          <a:r>
            <a:rPr lang="en-US" sz="1000" b="0" i="0" u="none" strike="noStrike">
              <a:solidFill>
                <a:srgbClr val="FFFFFF"/>
              </a:solidFill>
              <a:latin typeface="Arial"/>
              <a:ea typeface="+mn-ea"/>
              <a:cs typeface="Arial"/>
            </a:rPr>
            <a:t>ark</a:t>
          </a:r>
        </a:p>
      </xdr:txBody>
    </xdr:sp>
    <xdr:clientData/>
  </xdr:twoCellAnchor>
  <xdr:twoCellAnchor>
    <xdr:from>
      <xdr:col>22</xdr:col>
      <xdr:colOff>693792</xdr:colOff>
      <xdr:row>13</xdr:row>
      <xdr:rowOff>57149</xdr:rowOff>
    </xdr:from>
    <xdr:to>
      <xdr:col>24</xdr:col>
      <xdr:colOff>47477</xdr:colOff>
      <xdr:row>16</xdr:row>
      <xdr:rowOff>27554</xdr:rowOff>
    </xdr:to>
    <xdr:sp macro="" textlink="">
      <xdr:nvSpPr>
        <xdr:cNvPr id="34" name="WNutnSijHvEVWyUNmmNTYfrUbR">
          <a:extLst>
            <a:ext uri="{FF2B5EF4-FFF2-40B4-BE49-F238E27FC236}">
              <a16:creationId xmlns:a16="http://schemas.microsoft.com/office/drawing/2014/main" id="{D6F67B02-0920-4241-9B2C-49859DAA9756}"/>
            </a:ext>
          </a:extLst>
        </xdr:cNvPr>
        <xdr:cNvSpPr/>
      </xdr:nvSpPr>
      <xdr:spPr>
        <a:xfrm>
          <a:off x="11847567" y="2333624"/>
          <a:ext cx="1296785" cy="541905"/>
        </a:xfrm>
        <a:prstGeom prst="rect">
          <a:avLst/>
        </a:prstGeom>
        <a:solidFill>
          <a:srgbClr val="CFCFCF"/>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algn="ctr"/>
          <a:r>
            <a:rPr lang="en-US" sz="1000" b="0" i="0" u="none" strike="noStrike">
              <a:solidFill>
                <a:sysClr val="windowText" lastClr="000000"/>
              </a:solidFill>
              <a:latin typeface="Arial"/>
              <a:cs typeface="Arial"/>
            </a:rPr>
            <a:t>Input</a:t>
          </a:r>
        </a:p>
        <a:p>
          <a:pPr algn="ctr"/>
          <a:r>
            <a:rPr lang="en-US" sz="1000" b="0" i="0" u="none" strike="noStrike">
              <a:solidFill>
                <a:sysClr val="windowText" lastClr="000000"/>
              </a:solidFill>
              <a:latin typeface="Arial"/>
              <a:cs typeface="Arial"/>
            </a:rPr>
            <a:t>ark</a:t>
          </a:r>
        </a:p>
      </xdr:txBody>
    </xdr:sp>
    <xdr:clientData/>
  </xdr:twoCellAnchor>
  <xdr:twoCellAnchor>
    <xdr:from>
      <xdr:col>22</xdr:col>
      <xdr:colOff>703317</xdr:colOff>
      <xdr:row>16</xdr:row>
      <xdr:rowOff>139700</xdr:rowOff>
    </xdr:from>
    <xdr:to>
      <xdr:col>24</xdr:col>
      <xdr:colOff>47477</xdr:colOff>
      <xdr:row>19</xdr:row>
      <xdr:rowOff>117090</xdr:rowOff>
    </xdr:to>
    <xdr:sp macro="" textlink="">
      <xdr:nvSpPr>
        <xdr:cNvPr id="36" name="jMgbFFqm">
          <a:extLst>
            <a:ext uri="{FF2B5EF4-FFF2-40B4-BE49-F238E27FC236}">
              <a16:creationId xmlns:a16="http://schemas.microsoft.com/office/drawing/2014/main" id="{5AA9111F-0B9B-47B6-A3AC-A313377EA242}"/>
            </a:ext>
          </a:extLst>
        </xdr:cNvPr>
        <xdr:cNvSpPr/>
      </xdr:nvSpPr>
      <xdr:spPr>
        <a:xfrm>
          <a:off x="11857092" y="2987675"/>
          <a:ext cx="1287260" cy="548890"/>
        </a:xfrm>
        <a:prstGeom prst="rect">
          <a:avLst/>
        </a:prstGeom>
        <a:solidFill>
          <a:srgbClr val="307675"/>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Output</a:t>
          </a:r>
          <a:br>
            <a:rPr lang="en-US" sz="1000" b="0" i="0" u="none" strike="noStrike">
              <a:solidFill>
                <a:srgbClr val="FFFFFF"/>
              </a:solidFill>
              <a:latin typeface="Arial"/>
              <a:ea typeface="+mn-ea"/>
              <a:cs typeface="Arial"/>
            </a:rPr>
          </a:br>
          <a:r>
            <a:rPr lang="en-US" sz="1000" b="0" i="0" u="none" strike="noStrike">
              <a:solidFill>
                <a:srgbClr val="FFFFFF"/>
              </a:solidFill>
              <a:latin typeface="Arial"/>
              <a:ea typeface="+mn-ea"/>
              <a:cs typeface="Arial"/>
            </a:rPr>
            <a:t>ark</a:t>
          </a:r>
        </a:p>
      </xdr:txBody>
    </xdr:sp>
    <xdr:clientData/>
  </xdr:twoCellAnchor>
  <xdr:twoCellAnchor>
    <xdr:from>
      <xdr:col>26</xdr:col>
      <xdr:colOff>801641</xdr:colOff>
      <xdr:row>38</xdr:row>
      <xdr:rowOff>140643</xdr:rowOff>
    </xdr:from>
    <xdr:to>
      <xdr:col>27</xdr:col>
      <xdr:colOff>1067774</xdr:colOff>
      <xdr:row>41</xdr:row>
      <xdr:rowOff>111048</xdr:rowOff>
    </xdr:to>
    <xdr:sp macro="" textlink="">
      <xdr:nvSpPr>
        <xdr:cNvPr id="38" name="jiOUBWkLcDUavgEdWKLmVvTqtpFjSQv">
          <a:hlinkClick xmlns:r="http://schemas.openxmlformats.org/officeDocument/2006/relationships" r:id="rId11" tooltip="Gå til tidsdifferentieret tarif"/>
          <a:extLst>
            <a:ext uri="{FF2B5EF4-FFF2-40B4-BE49-F238E27FC236}">
              <a16:creationId xmlns:a16="http://schemas.microsoft.com/office/drawing/2014/main" id="{50A2BEFB-9E54-4EDC-8C54-E3B892715282}"/>
            </a:ext>
          </a:extLst>
        </xdr:cNvPr>
        <xdr:cNvSpPr/>
      </xdr:nvSpPr>
      <xdr:spPr>
        <a:xfrm>
          <a:off x="15374891" y="7177237"/>
          <a:ext cx="1236492" cy="541905"/>
        </a:xfrm>
        <a:prstGeom prst="rect">
          <a:avLst/>
        </a:prstGeom>
        <a:solidFill>
          <a:srgbClr val="966432"/>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Tidsdifferentieret tarif</a:t>
          </a:r>
        </a:p>
      </xdr:txBody>
    </xdr:sp>
    <xdr:clientData/>
  </xdr:twoCellAnchor>
  <xdr:twoCellAnchor>
    <xdr:from>
      <xdr:col>27</xdr:col>
      <xdr:colOff>1067774</xdr:colOff>
      <xdr:row>40</xdr:row>
      <xdr:rowOff>30596</xdr:rowOff>
    </xdr:from>
    <xdr:to>
      <xdr:col>27</xdr:col>
      <xdr:colOff>1267239</xdr:colOff>
      <xdr:row>40</xdr:row>
      <xdr:rowOff>33130</xdr:rowOff>
    </xdr:to>
    <xdr:cxnSp macro="">
      <xdr:nvCxnSpPr>
        <xdr:cNvPr id="39" name="RCwDZNgRv">
          <a:extLst>
            <a:ext uri="{FF2B5EF4-FFF2-40B4-BE49-F238E27FC236}">
              <a16:creationId xmlns:a16="http://schemas.microsoft.com/office/drawing/2014/main" id="{484E6E5D-0A3B-4A7F-88CA-445CE703B3CD}"/>
            </a:ext>
          </a:extLst>
        </xdr:cNvPr>
        <xdr:cNvCxnSpPr/>
      </xdr:nvCxnSpPr>
      <xdr:spPr>
        <a:xfrm>
          <a:off x="16622513" y="7443531"/>
          <a:ext cx="199465" cy="2534"/>
        </a:xfrm>
        <a:prstGeom prst="straightConnector1">
          <a:avLst/>
        </a:prstGeom>
        <a:ln w="12700">
          <a:solidFill>
            <a:schemeClr val="tx1"/>
          </a:solidFill>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27</xdr:col>
      <xdr:colOff>1269792</xdr:colOff>
      <xdr:row>33</xdr:row>
      <xdr:rowOff>73257</xdr:rowOff>
    </xdr:from>
    <xdr:to>
      <xdr:col>27</xdr:col>
      <xdr:colOff>1274885</xdr:colOff>
      <xdr:row>56</xdr:row>
      <xdr:rowOff>87923</xdr:rowOff>
    </xdr:to>
    <xdr:cxnSp macro="">
      <xdr:nvCxnSpPr>
        <xdr:cNvPr id="41" name="RCwDZNgRv">
          <a:extLst>
            <a:ext uri="{FF2B5EF4-FFF2-40B4-BE49-F238E27FC236}">
              <a16:creationId xmlns:a16="http://schemas.microsoft.com/office/drawing/2014/main" id="{00A115DF-CF87-4BC9-BB4B-B6C5F8E394AB}"/>
            </a:ext>
          </a:extLst>
        </xdr:cNvPr>
        <xdr:cNvCxnSpPr/>
      </xdr:nvCxnSpPr>
      <xdr:spPr>
        <a:xfrm flipH="1" flipV="1">
          <a:off x="16868811" y="6161930"/>
          <a:ext cx="5093" cy="4396166"/>
        </a:xfrm>
        <a:prstGeom prst="straightConnector1">
          <a:avLst/>
        </a:prstGeom>
        <a:ln w="12700">
          <a:solidFill>
            <a:schemeClr val="tx1"/>
          </a:solidFill>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28</xdr:col>
      <xdr:colOff>161099</xdr:colOff>
      <xdr:row>27</xdr:row>
      <xdr:rowOff>160493</xdr:rowOff>
    </xdr:from>
    <xdr:to>
      <xdr:col>28</xdr:col>
      <xdr:colOff>1257721</xdr:colOff>
      <xdr:row>30</xdr:row>
      <xdr:rowOff>123908</xdr:rowOff>
    </xdr:to>
    <xdr:sp macro="" textlink="">
      <xdr:nvSpPr>
        <xdr:cNvPr id="45" name="xUlmyrHYyYlfHXZVmulOfC">
          <a:hlinkClick xmlns:r="http://schemas.openxmlformats.org/officeDocument/2006/relationships" r:id="rId12" tooltip="Gå til model setup"/>
          <a:extLst>
            <a:ext uri="{FF2B5EF4-FFF2-40B4-BE49-F238E27FC236}">
              <a16:creationId xmlns:a16="http://schemas.microsoft.com/office/drawing/2014/main" id="{0D1D6DF6-5480-46E7-922D-40869C830452}"/>
            </a:ext>
          </a:extLst>
        </xdr:cNvPr>
        <xdr:cNvSpPr/>
      </xdr:nvSpPr>
      <xdr:spPr>
        <a:xfrm>
          <a:off x="17188868" y="5106166"/>
          <a:ext cx="1096622" cy="534915"/>
        </a:xfrm>
        <a:prstGeom prst="rect">
          <a:avLst/>
        </a:prstGeom>
        <a:solidFill>
          <a:srgbClr val="CFCFCF"/>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ysClr val="windowText" lastClr="000000"/>
              </a:solidFill>
              <a:latin typeface="Arial"/>
              <a:ea typeface="+mn-ea"/>
              <a:cs typeface="Arial"/>
            </a:rPr>
            <a:t>Model setup</a:t>
          </a:r>
        </a:p>
      </xdr:txBody>
    </xdr:sp>
    <xdr:clientData/>
  </xdr:twoCellAnchor>
  <xdr:twoCellAnchor>
    <xdr:from>
      <xdr:col>22</xdr:col>
      <xdr:colOff>588777</xdr:colOff>
      <xdr:row>39</xdr:row>
      <xdr:rowOff>125592</xdr:rowOff>
    </xdr:from>
    <xdr:to>
      <xdr:col>28</xdr:col>
      <xdr:colOff>146166</xdr:colOff>
      <xdr:row>48</xdr:row>
      <xdr:rowOff>8363</xdr:rowOff>
    </xdr:to>
    <xdr:cxnSp macro="">
      <xdr:nvCxnSpPr>
        <xdr:cNvPr id="78" name="Connector: Elbow 77">
          <a:extLst>
            <a:ext uri="{FF2B5EF4-FFF2-40B4-BE49-F238E27FC236}">
              <a16:creationId xmlns:a16="http://schemas.microsoft.com/office/drawing/2014/main" id="{73E8621E-C956-492A-956A-DE80CD4F899D}"/>
            </a:ext>
          </a:extLst>
        </xdr:cNvPr>
        <xdr:cNvCxnSpPr/>
      </xdr:nvCxnSpPr>
      <xdr:spPr>
        <a:xfrm>
          <a:off x="11742552" y="7345542"/>
          <a:ext cx="5405739" cy="1597271"/>
        </a:xfrm>
        <a:prstGeom prst="bentConnector3">
          <a:avLst>
            <a:gd name="adj1" fmla="val 114"/>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1334178</xdr:colOff>
      <xdr:row>27</xdr:row>
      <xdr:rowOff>163668</xdr:rowOff>
    </xdr:from>
    <xdr:to>
      <xdr:col>29</xdr:col>
      <xdr:colOff>972728</xdr:colOff>
      <xdr:row>30</xdr:row>
      <xdr:rowOff>135338</xdr:rowOff>
    </xdr:to>
    <xdr:sp macro="" textlink="">
      <xdr:nvSpPr>
        <xdr:cNvPr id="40" name="xUlmyrHYyYlfHXZVmulOfC">
          <a:hlinkClick xmlns:r="http://schemas.openxmlformats.org/officeDocument/2006/relationships" r:id="rId13" tooltip="Gå til fejl- og kontroloversigt"/>
          <a:extLst>
            <a:ext uri="{FF2B5EF4-FFF2-40B4-BE49-F238E27FC236}">
              <a16:creationId xmlns:a16="http://schemas.microsoft.com/office/drawing/2014/main" id="{BD8F7F6C-BAD4-4873-BE62-4DF86EF97DCC}"/>
            </a:ext>
          </a:extLst>
        </xdr:cNvPr>
        <xdr:cNvSpPr/>
      </xdr:nvSpPr>
      <xdr:spPr>
        <a:xfrm>
          <a:off x="18361947" y="5109341"/>
          <a:ext cx="1067300" cy="543170"/>
        </a:xfrm>
        <a:prstGeom prst="rect">
          <a:avLst/>
        </a:prstGeom>
        <a:solidFill>
          <a:srgbClr val="6C94A7"/>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chemeClr val="bg1"/>
              </a:solidFill>
              <a:latin typeface="Arial"/>
              <a:ea typeface="+mn-ea"/>
              <a:cs typeface="Arial"/>
            </a:rPr>
            <a:t>Fejl-</a:t>
          </a:r>
          <a:r>
            <a:rPr lang="en-US" sz="1000" b="0" i="0" u="none" strike="noStrike" baseline="0">
              <a:solidFill>
                <a:schemeClr val="bg1"/>
              </a:solidFill>
              <a:latin typeface="Arial"/>
              <a:ea typeface="+mn-ea"/>
              <a:cs typeface="Arial"/>
            </a:rPr>
            <a:t> og kontroloversigt</a:t>
          </a:r>
          <a:endParaRPr lang="en-US" sz="1000" b="0" i="0" u="none" strike="noStrike">
            <a:solidFill>
              <a:schemeClr val="bg1"/>
            </a:solidFill>
            <a:latin typeface="Arial"/>
            <a:ea typeface="+mn-ea"/>
            <a:cs typeface="Arial"/>
          </a:endParaRPr>
        </a:p>
      </xdr:txBody>
    </xdr:sp>
    <xdr:clientData/>
  </xdr:twoCellAnchor>
  <xdr:twoCellAnchor>
    <xdr:from>
      <xdr:col>24</xdr:col>
      <xdr:colOff>455404</xdr:colOff>
      <xdr:row>13</xdr:row>
      <xdr:rowOff>57149</xdr:rowOff>
    </xdr:from>
    <xdr:to>
      <xdr:col>26</xdr:col>
      <xdr:colOff>217357</xdr:colOff>
      <xdr:row>16</xdr:row>
      <xdr:rowOff>26919</xdr:rowOff>
    </xdr:to>
    <xdr:sp macro="" textlink="">
      <xdr:nvSpPr>
        <xdr:cNvPr id="42" name="jMgbFFqm">
          <a:extLst>
            <a:ext uri="{FF2B5EF4-FFF2-40B4-BE49-F238E27FC236}">
              <a16:creationId xmlns:a16="http://schemas.microsoft.com/office/drawing/2014/main" id="{86BFDA43-9493-4381-876E-1FCAC0F2E1CB}"/>
            </a:ext>
          </a:extLst>
        </xdr:cNvPr>
        <xdr:cNvSpPr/>
      </xdr:nvSpPr>
      <xdr:spPr>
        <a:xfrm>
          <a:off x="13552279" y="2333624"/>
          <a:ext cx="1266903" cy="541270"/>
        </a:xfrm>
        <a:prstGeom prst="rect">
          <a:avLst/>
        </a:prstGeom>
        <a:solidFill>
          <a:srgbClr val="6C94A7"/>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Fejl-</a:t>
          </a:r>
          <a:r>
            <a:rPr lang="en-US" sz="1000" b="0" i="0" u="none" strike="noStrike" baseline="0">
              <a:solidFill>
                <a:srgbClr val="FFFFFF"/>
              </a:solidFill>
              <a:latin typeface="Arial"/>
              <a:ea typeface="+mn-ea"/>
              <a:cs typeface="Arial"/>
            </a:rPr>
            <a:t> og kontrolark</a:t>
          </a:r>
          <a:endParaRPr lang="en-US" sz="1000" b="0" i="0" u="none" strike="noStrike">
            <a:solidFill>
              <a:srgbClr val="FFFFFF"/>
            </a:solidFill>
            <a:latin typeface="Arial"/>
            <a:ea typeface="+mn-ea"/>
            <a:cs typeface="Arial"/>
          </a:endParaRPr>
        </a:p>
      </xdr:txBody>
    </xdr:sp>
    <xdr:clientData/>
  </xdr:twoCellAnchor>
  <xdr:twoCellAnchor>
    <xdr:from>
      <xdr:col>26</xdr:col>
      <xdr:colOff>242755</xdr:colOff>
      <xdr:row>27</xdr:row>
      <xdr:rowOff>160493</xdr:rowOff>
    </xdr:from>
    <xdr:to>
      <xdr:col>27</xdr:col>
      <xdr:colOff>351018</xdr:colOff>
      <xdr:row>30</xdr:row>
      <xdr:rowOff>121583</xdr:rowOff>
    </xdr:to>
    <xdr:sp macro="" textlink="">
      <xdr:nvSpPr>
        <xdr:cNvPr id="46" name="XbltRiPXxyHuvXmFcyI">
          <a:hlinkClick xmlns:r="http://schemas.openxmlformats.org/officeDocument/2006/relationships" r:id="rId14" tooltip="Gå til hjælpeark, forbrugsnøgler"/>
          <a:extLst>
            <a:ext uri="{FF2B5EF4-FFF2-40B4-BE49-F238E27FC236}">
              <a16:creationId xmlns:a16="http://schemas.microsoft.com/office/drawing/2014/main" id="{DBC4979E-B44F-49E7-B263-728122190281}"/>
            </a:ext>
          </a:extLst>
        </xdr:cNvPr>
        <xdr:cNvSpPr/>
      </xdr:nvSpPr>
      <xdr:spPr>
        <a:xfrm>
          <a:off x="14867293" y="5106166"/>
          <a:ext cx="1082744" cy="532590"/>
        </a:xfrm>
        <a:prstGeom prst="rect">
          <a:avLst/>
        </a:prstGeom>
        <a:solidFill>
          <a:srgbClr val="222221"/>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Hjælpeark, forbrugsnøgler</a:t>
          </a:r>
        </a:p>
      </xdr:txBody>
    </xdr:sp>
    <xdr:clientData/>
  </xdr:twoCellAnchor>
  <xdr:twoCellAnchor>
    <xdr:from>
      <xdr:col>23</xdr:col>
      <xdr:colOff>417548</xdr:colOff>
      <xdr:row>27</xdr:row>
      <xdr:rowOff>160493</xdr:rowOff>
    </xdr:from>
    <xdr:to>
      <xdr:col>24</xdr:col>
      <xdr:colOff>519462</xdr:colOff>
      <xdr:row>30</xdr:row>
      <xdr:rowOff>121583</xdr:rowOff>
    </xdr:to>
    <xdr:sp macro="" textlink="">
      <xdr:nvSpPr>
        <xdr:cNvPr id="43" name="XbltRiPXxyHuvXmFcyI">
          <a:hlinkClick xmlns:r="http://schemas.openxmlformats.org/officeDocument/2006/relationships" r:id="rId15" tooltip="Gå til opdateringslog, Green Power Den"/>
          <a:extLst>
            <a:ext uri="{FF2B5EF4-FFF2-40B4-BE49-F238E27FC236}">
              <a16:creationId xmlns:a16="http://schemas.microsoft.com/office/drawing/2014/main" id="{EAFE1039-0719-42B2-9F5B-47EC9AEB8A4F}"/>
            </a:ext>
          </a:extLst>
        </xdr:cNvPr>
        <xdr:cNvSpPr/>
      </xdr:nvSpPr>
      <xdr:spPr>
        <a:xfrm>
          <a:off x="12558260" y="5106166"/>
          <a:ext cx="1076394" cy="532590"/>
        </a:xfrm>
        <a:prstGeom prst="rect">
          <a:avLst/>
        </a:prstGeom>
        <a:solidFill>
          <a:srgbClr val="222221"/>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Opdateringslog, Green</a:t>
          </a:r>
          <a:r>
            <a:rPr lang="en-US" sz="1000" b="0" i="0" u="none" strike="noStrike" baseline="0">
              <a:solidFill>
                <a:srgbClr val="FFFFFF"/>
              </a:solidFill>
              <a:latin typeface="Arial"/>
              <a:ea typeface="+mn-ea"/>
              <a:cs typeface="Arial"/>
            </a:rPr>
            <a:t> Power Den</a:t>
          </a:r>
          <a:endParaRPr lang="en-US" sz="1000" b="0" i="0" u="none" strike="noStrike">
            <a:solidFill>
              <a:srgbClr val="FFFFFF"/>
            </a:solidFill>
            <a:latin typeface="Arial"/>
            <a:ea typeface="+mn-ea"/>
            <a:cs typeface="Arial"/>
          </a:endParaRPr>
        </a:p>
      </xdr:txBody>
    </xdr:sp>
    <xdr:clientData/>
  </xdr:twoCellAnchor>
  <xdr:twoCellAnchor>
    <xdr:from>
      <xdr:col>28</xdr:col>
      <xdr:colOff>154553</xdr:colOff>
      <xdr:row>50</xdr:row>
      <xdr:rowOff>153216</xdr:rowOff>
    </xdr:from>
    <xdr:to>
      <xdr:col>28</xdr:col>
      <xdr:colOff>1331753</xdr:colOff>
      <xdr:row>53</xdr:row>
      <xdr:rowOff>119806</xdr:rowOff>
    </xdr:to>
    <xdr:sp macro="" textlink="">
      <xdr:nvSpPr>
        <xdr:cNvPr id="47" name="funLIzZM">
          <a:hlinkClick xmlns:r="http://schemas.openxmlformats.org/officeDocument/2006/relationships" r:id="rId16" tooltip="Gå til hoveddata"/>
          <a:extLst>
            <a:ext uri="{FF2B5EF4-FFF2-40B4-BE49-F238E27FC236}">
              <a16:creationId xmlns:a16="http://schemas.microsoft.com/office/drawing/2014/main" id="{5026F01A-583C-49D3-B465-72B83237D054}"/>
            </a:ext>
          </a:extLst>
        </xdr:cNvPr>
        <xdr:cNvSpPr/>
      </xdr:nvSpPr>
      <xdr:spPr>
        <a:xfrm>
          <a:off x="17156678" y="9478191"/>
          <a:ext cx="1177200" cy="538090"/>
        </a:xfrm>
        <a:prstGeom prst="rect">
          <a:avLst/>
        </a:prstGeom>
        <a:solidFill>
          <a:srgbClr val="307675"/>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Hoveddata</a:t>
          </a:r>
        </a:p>
      </xdr:txBody>
    </xdr:sp>
    <xdr:clientData/>
  </xdr:twoCellAnchor>
  <xdr:twoCellAnchor>
    <xdr:from>
      <xdr:col>22</xdr:col>
      <xdr:colOff>599137</xdr:colOff>
      <xdr:row>47</xdr:row>
      <xdr:rowOff>123220</xdr:rowOff>
    </xdr:from>
    <xdr:to>
      <xdr:col>28</xdr:col>
      <xdr:colOff>142537</xdr:colOff>
      <xdr:row>52</xdr:row>
      <xdr:rowOff>64370</xdr:rowOff>
    </xdr:to>
    <xdr:cxnSp macro="">
      <xdr:nvCxnSpPr>
        <xdr:cNvPr id="49" name="Connector: Elbow 48">
          <a:extLst>
            <a:ext uri="{FF2B5EF4-FFF2-40B4-BE49-F238E27FC236}">
              <a16:creationId xmlns:a16="http://schemas.microsoft.com/office/drawing/2014/main" id="{A81B075D-64FB-4EA2-835D-34E22EB33505}"/>
            </a:ext>
          </a:extLst>
        </xdr:cNvPr>
        <xdr:cNvCxnSpPr/>
      </xdr:nvCxnSpPr>
      <xdr:spPr>
        <a:xfrm>
          <a:off x="11765368" y="8878893"/>
          <a:ext cx="5404938" cy="893650"/>
        </a:xfrm>
        <a:prstGeom prst="bentConnector3">
          <a:avLst>
            <a:gd name="adj1" fmla="val 94"/>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595918</xdr:colOff>
      <xdr:row>27</xdr:row>
      <xdr:rowOff>160493</xdr:rowOff>
    </xdr:from>
    <xdr:to>
      <xdr:col>26</xdr:col>
      <xdr:colOff>166299</xdr:colOff>
      <xdr:row>30</xdr:row>
      <xdr:rowOff>121583</xdr:rowOff>
    </xdr:to>
    <xdr:sp macro="" textlink="">
      <xdr:nvSpPr>
        <xdr:cNvPr id="52" name="XbltRiPXxyHuvXmFcyI">
          <a:hlinkClick xmlns:r="http://schemas.openxmlformats.org/officeDocument/2006/relationships" r:id="rId17" tooltip="Gå til opdateringslog, netselskab"/>
          <a:extLst>
            <a:ext uri="{FF2B5EF4-FFF2-40B4-BE49-F238E27FC236}">
              <a16:creationId xmlns:a16="http://schemas.microsoft.com/office/drawing/2014/main" id="{63D870C2-255B-46CE-AF0F-6BB9204F5F91}"/>
            </a:ext>
          </a:extLst>
        </xdr:cNvPr>
        <xdr:cNvSpPr/>
      </xdr:nvSpPr>
      <xdr:spPr>
        <a:xfrm>
          <a:off x="13711110" y="5106166"/>
          <a:ext cx="1079727" cy="532590"/>
        </a:xfrm>
        <a:prstGeom prst="rect">
          <a:avLst/>
        </a:prstGeom>
        <a:solidFill>
          <a:srgbClr val="222221"/>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Opdateringslog, netselskab</a:t>
          </a:r>
        </a:p>
      </xdr:txBody>
    </xdr:sp>
    <xdr:clientData/>
  </xdr:twoCellAnchor>
  <xdr:twoCellAnchor editAs="oneCell">
    <xdr:from>
      <xdr:col>1</xdr:col>
      <xdr:colOff>111405</xdr:colOff>
      <xdr:row>3</xdr:row>
      <xdr:rowOff>111405</xdr:rowOff>
    </xdr:from>
    <xdr:to>
      <xdr:col>4</xdr:col>
      <xdr:colOff>1226148</xdr:colOff>
      <xdr:row>7</xdr:row>
      <xdr:rowOff>140701</xdr:rowOff>
    </xdr:to>
    <xdr:pic>
      <xdr:nvPicPr>
        <xdr:cNvPr id="44" name="Picture 43">
          <a:extLst>
            <a:ext uri="{FF2B5EF4-FFF2-40B4-BE49-F238E27FC236}">
              <a16:creationId xmlns:a16="http://schemas.microsoft.com/office/drawing/2014/main" id="{D4823537-0688-44D3-B20D-9D02AE3E3712}"/>
            </a:ext>
          </a:extLst>
        </xdr:cNvPr>
        <xdr:cNvPicPr>
          <a:picLocks noChangeAspect="1"/>
        </xdr:cNvPicPr>
      </xdr:nvPicPr>
      <xdr:blipFill>
        <a:blip xmlns:r="http://schemas.openxmlformats.org/officeDocument/2006/relationships" r:embed="rId18"/>
        <a:stretch>
          <a:fillRect/>
        </a:stretch>
      </xdr:blipFill>
      <xdr:spPr>
        <a:xfrm>
          <a:off x="187605" y="606705"/>
          <a:ext cx="1829118" cy="791296"/>
        </a:xfrm>
        <a:prstGeom prst="rect">
          <a:avLst/>
        </a:prstGeom>
      </xdr:spPr>
    </xdr:pic>
    <xdr:clientData/>
  </xdr:twoCellAnchor>
  <xdr:twoCellAnchor>
    <xdr:from>
      <xdr:col>24</xdr:col>
      <xdr:colOff>674435</xdr:colOff>
      <xdr:row>43</xdr:row>
      <xdr:rowOff>170238</xdr:rowOff>
    </xdr:from>
    <xdr:to>
      <xdr:col>26</xdr:col>
      <xdr:colOff>445268</xdr:colOff>
      <xdr:row>46</xdr:row>
      <xdr:rowOff>137463</xdr:rowOff>
    </xdr:to>
    <xdr:sp macro="" textlink="">
      <xdr:nvSpPr>
        <xdr:cNvPr id="54" name="jiOUBWkLcDUavgEdWKLmVvTqtpFjSQv">
          <a:hlinkClick xmlns:r="http://schemas.openxmlformats.org/officeDocument/2006/relationships" r:id="rId19" tooltip="Gå til indfødningstarif"/>
          <a:extLst>
            <a:ext uri="{FF2B5EF4-FFF2-40B4-BE49-F238E27FC236}">
              <a16:creationId xmlns:a16="http://schemas.microsoft.com/office/drawing/2014/main" id="{B11ED304-45EF-48EA-A8BA-E2FF7039A477}"/>
            </a:ext>
          </a:extLst>
        </xdr:cNvPr>
        <xdr:cNvSpPr/>
      </xdr:nvSpPr>
      <xdr:spPr>
        <a:xfrm>
          <a:off x="13741544" y="8159332"/>
          <a:ext cx="1276974" cy="538725"/>
        </a:xfrm>
        <a:prstGeom prst="rect">
          <a:avLst/>
        </a:prstGeom>
        <a:solidFill>
          <a:srgbClr val="966432"/>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Indfødningstarif</a:t>
          </a:r>
        </a:p>
      </xdr:txBody>
    </xdr:sp>
    <xdr:clientData/>
  </xdr:twoCellAnchor>
  <xdr:twoCellAnchor>
    <xdr:from>
      <xdr:col>22</xdr:col>
      <xdr:colOff>606136</xdr:colOff>
      <xdr:row>45</xdr:row>
      <xdr:rowOff>56284</xdr:rowOff>
    </xdr:from>
    <xdr:to>
      <xdr:col>24</xdr:col>
      <xdr:colOff>674435</xdr:colOff>
      <xdr:row>45</xdr:row>
      <xdr:rowOff>58601</xdr:rowOff>
    </xdr:to>
    <xdr:cxnSp macro="">
      <xdr:nvCxnSpPr>
        <xdr:cNvPr id="55" name="RCwDZNgRv">
          <a:extLst>
            <a:ext uri="{FF2B5EF4-FFF2-40B4-BE49-F238E27FC236}">
              <a16:creationId xmlns:a16="http://schemas.microsoft.com/office/drawing/2014/main" id="{50D5CB91-9DA7-4E75-AC32-09B8BA902A8A}"/>
            </a:ext>
          </a:extLst>
        </xdr:cNvPr>
        <xdr:cNvCxnSpPr>
          <a:endCxn id="54" idx="1"/>
        </xdr:cNvCxnSpPr>
      </xdr:nvCxnSpPr>
      <xdr:spPr>
        <a:xfrm>
          <a:off x="11763375" y="8416636"/>
          <a:ext cx="2007935" cy="2317"/>
        </a:xfrm>
        <a:prstGeom prst="straightConnector1">
          <a:avLst/>
        </a:prstGeom>
        <a:ln w="12700">
          <a:solidFill>
            <a:schemeClr val="tx1"/>
          </a:solidFill>
          <a:tailEnd type="triangl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26</xdr:col>
      <xdr:colOff>470116</xdr:colOff>
      <xdr:row>45</xdr:row>
      <xdr:rowOff>58601</xdr:rowOff>
    </xdr:from>
    <xdr:to>
      <xdr:col>27</xdr:col>
      <xdr:colOff>1267239</xdr:colOff>
      <xdr:row>45</xdr:row>
      <xdr:rowOff>66261</xdr:rowOff>
    </xdr:to>
    <xdr:cxnSp macro="">
      <xdr:nvCxnSpPr>
        <xdr:cNvPr id="63" name="RCwDZNgRv">
          <a:extLst>
            <a:ext uri="{FF2B5EF4-FFF2-40B4-BE49-F238E27FC236}">
              <a16:creationId xmlns:a16="http://schemas.microsoft.com/office/drawing/2014/main" id="{F297A1B9-4994-41AF-BCF7-CEF5978448A3}"/>
            </a:ext>
          </a:extLst>
        </xdr:cNvPr>
        <xdr:cNvCxnSpPr/>
      </xdr:nvCxnSpPr>
      <xdr:spPr>
        <a:xfrm>
          <a:off x="15055790" y="8424036"/>
          <a:ext cx="1766188" cy="7660"/>
        </a:xfrm>
        <a:prstGeom prst="straightConnector1">
          <a:avLst/>
        </a:prstGeom>
        <a:ln w="12700">
          <a:solidFill>
            <a:schemeClr val="tx1"/>
          </a:solidFill>
          <a:tailEnd type="none" w="med" len="med"/>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27</xdr:col>
      <xdr:colOff>427474</xdr:colOff>
      <xdr:row>27</xdr:row>
      <xdr:rowOff>160493</xdr:rowOff>
    </xdr:from>
    <xdr:to>
      <xdr:col>28</xdr:col>
      <xdr:colOff>84643</xdr:colOff>
      <xdr:row>30</xdr:row>
      <xdr:rowOff>121583</xdr:rowOff>
    </xdr:to>
    <xdr:sp macro="" textlink="">
      <xdr:nvSpPr>
        <xdr:cNvPr id="50" name="XbltRiPXxyHuvXmFcyI">
          <a:hlinkClick xmlns:r="http://schemas.openxmlformats.org/officeDocument/2006/relationships" r:id="rId20" tooltip="Gå til hjælpeark, Fall-back-metoden"/>
          <a:extLst>
            <a:ext uri="{FF2B5EF4-FFF2-40B4-BE49-F238E27FC236}">
              <a16:creationId xmlns:a16="http://schemas.microsoft.com/office/drawing/2014/main" id="{62C50B00-6B09-4CF1-959E-6532B912F30A}"/>
            </a:ext>
          </a:extLst>
        </xdr:cNvPr>
        <xdr:cNvSpPr/>
      </xdr:nvSpPr>
      <xdr:spPr>
        <a:xfrm>
          <a:off x="16026493" y="5106166"/>
          <a:ext cx="1085919" cy="532590"/>
        </a:xfrm>
        <a:prstGeom prst="rect">
          <a:avLst/>
        </a:prstGeom>
        <a:solidFill>
          <a:srgbClr val="222221"/>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Hjælpeark, Fall-back-metoden</a:t>
          </a:r>
        </a:p>
      </xdr:txBody>
    </xdr:sp>
    <xdr:clientData/>
  </xdr:twoCellAnchor>
  <xdr:twoCellAnchor>
    <xdr:from>
      <xdr:col>28</xdr:col>
      <xdr:colOff>154553</xdr:colOff>
      <xdr:row>55</xdr:row>
      <xdr:rowOff>4671</xdr:rowOff>
    </xdr:from>
    <xdr:to>
      <xdr:col>28</xdr:col>
      <xdr:colOff>1331753</xdr:colOff>
      <xdr:row>57</xdr:row>
      <xdr:rowOff>161761</xdr:rowOff>
    </xdr:to>
    <xdr:sp macro="" textlink="">
      <xdr:nvSpPr>
        <xdr:cNvPr id="57" name="funLIzZM">
          <a:hlinkClick xmlns:r="http://schemas.openxmlformats.org/officeDocument/2006/relationships" r:id="rId21" tooltip="Gå til indfødningstarif"/>
          <a:extLst>
            <a:ext uri="{FF2B5EF4-FFF2-40B4-BE49-F238E27FC236}">
              <a16:creationId xmlns:a16="http://schemas.microsoft.com/office/drawing/2014/main" id="{A7C5BDD4-7A2B-4D3A-BDDD-615EEA0B307C}"/>
            </a:ext>
          </a:extLst>
        </xdr:cNvPr>
        <xdr:cNvSpPr/>
      </xdr:nvSpPr>
      <xdr:spPr>
        <a:xfrm>
          <a:off x="17182322" y="10284344"/>
          <a:ext cx="1177200" cy="538090"/>
        </a:xfrm>
        <a:prstGeom prst="rect">
          <a:avLst/>
        </a:prstGeom>
        <a:solidFill>
          <a:srgbClr val="307675"/>
        </a:solidFill>
        <a:ln w="12700">
          <a:solidFill>
            <a:schemeClr val="tx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lIns="36000" tIns="36000" rIns="36000" bIns="36000" rtlCol="0" anchor="ctr"/>
        <a:lstStyle/>
        <a:p>
          <a:pPr marL="0" indent="0" algn="ctr"/>
          <a:r>
            <a:rPr lang="en-US" sz="1000" b="0" i="0" u="none" strike="noStrike">
              <a:solidFill>
                <a:srgbClr val="FFFFFF"/>
              </a:solidFill>
              <a:latin typeface="Arial"/>
              <a:ea typeface="+mn-ea"/>
              <a:cs typeface="Arial"/>
            </a:rPr>
            <a:t>Indfødningstarif</a:t>
          </a:r>
        </a:p>
      </xdr:txBody>
    </xdr:sp>
    <xdr:clientData/>
  </xdr:twoCellAnchor>
  <xdr:twoCellAnchor>
    <xdr:from>
      <xdr:col>22</xdr:col>
      <xdr:colOff>602312</xdr:colOff>
      <xdr:row>51</xdr:row>
      <xdr:rowOff>148376</xdr:rowOff>
    </xdr:from>
    <xdr:to>
      <xdr:col>28</xdr:col>
      <xdr:colOff>145712</xdr:colOff>
      <xdr:row>56</xdr:row>
      <xdr:rowOff>89526</xdr:rowOff>
    </xdr:to>
    <xdr:cxnSp macro="">
      <xdr:nvCxnSpPr>
        <xdr:cNvPr id="58" name="Connector: Elbow 57">
          <a:extLst>
            <a:ext uri="{FF2B5EF4-FFF2-40B4-BE49-F238E27FC236}">
              <a16:creationId xmlns:a16="http://schemas.microsoft.com/office/drawing/2014/main" id="{A495B503-7A98-454F-B518-4904A3DCF842}"/>
            </a:ext>
          </a:extLst>
        </xdr:cNvPr>
        <xdr:cNvCxnSpPr/>
      </xdr:nvCxnSpPr>
      <xdr:spPr>
        <a:xfrm>
          <a:off x="11768543" y="9666049"/>
          <a:ext cx="5404938" cy="893650"/>
        </a:xfrm>
        <a:prstGeom prst="bentConnector3">
          <a:avLst>
            <a:gd name="adj1" fmla="val -113"/>
          </a:avLst>
        </a:prstGeom>
        <a:ln w="127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1</xdr:col>
      <xdr:colOff>95250</xdr:colOff>
      <xdr:row>3</xdr:row>
      <xdr:rowOff>95250</xdr:rowOff>
    </xdr:from>
    <xdr:to>
      <xdr:col>4</xdr:col>
      <xdr:colOff>1233013</xdr:colOff>
      <xdr:row>7</xdr:row>
      <xdr:rowOff>124546</xdr:rowOff>
    </xdr:to>
    <xdr:pic>
      <xdr:nvPicPr>
        <xdr:cNvPr id="3" name="Picture 2">
          <a:extLst>
            <a:ext uri="{FF2B5EF4-FFF2-40B4-BE49-F238E27FC236}">
              <a16:creationId xmlns:a16="http://schemas.microsoft.com/office/drawing/2014/main" id="{0BDA3E28-66A2-4F9A-8839-9688E3D6D106}"/>
            </a:ext>
          </a:extLst>
        </xdr:cNvPr>
        <xdr:cNvPicPr>
          <a:picLocks noChangeAspect="1"/>
        </xdr:cNvPicPr>
      </xdr:nvPicPr>
      <xdr:blipFill>
        <a:blip xmlns:r="http://schemas.openxmlformats.org/officeDocument/2006/relationships" r:embed="rId1"/>
        <a:stretch>
          <a:fillRect/>
        </a:stretch>
      </xdr:blipFill>
      <xdr:spPr>
        <a:xfrm>
          <a:off x="171450" y="590550"/>
          <a:ext cx="1852138" cy="79129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23</xdr:col>
      <xdr:colOff>281937</xdr:colOff>
      <xdr:row>53</xdr:row>
      <xdr:rowOff>176548</xdr:rowOff>
    </xdr:from>
    <xdr:to>
      <xdr:col>29</xdr:col>
      <xdr:colOff>299303</xdr:colOff>
      <xdr:row>56</xdr:row>
      <xdr:rowOff>23252</xdr:rowOff>
    </xdr:to>
    <xdr:sp macro="" textlink="">
      <xdr:nvSpPr>
        <xdr:cNvPr id="6" name="TextBox 5">
          <a:extLst>
            <a:ext uri="{FF2B5EF4-FFF2-40B4-BE49-F238E27FC236}">
              <a16:creationId xmlns:a16="http://schemas.microsoft.com/office/drawing/2014/main" id="{95F9C0B4-5F4E-45A7-9317-770B3D29736F}"/>
            </a:ext>
          </a:extLst>
        </xdr:cNvPr>
        <xdr:cNvSpPr txBox="1"/>
      </xdr:nvSpPr>
      <xdr:spPr>
        <a:xfrm>
          <a:off x="17908790" y="10060136"/>
          <a:ext cx="5732366" cy="41820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t>Beskrivelse:</a:t>
          </a:r>
          <a:r>
            <a:rPr lang="da-DK" sz="900" b="1" baseline="0"/>
            <a:t> </a:t>
          </a:r>
          <a:r>
            <a:rPr lang="da-DK" sz="900" b="0" baseline="0"/>
            <a:t>Der vælges her om omkostnings-/forrentningselementet fordeles til abonnement, tarif og effekt eller blot tarif. </a:t>
          </a:r>
          <a:endParaRPr lang="da-DK" sz="900" baseline="0">
            <a:solidFill>
              <a:srgbClr val="FF0000"/>
            </a:solidFill>
          </a:endParaRPr>
        </a:p>
      </xdr:txBody>
    </xdr:sp>
    <xdr:clientData/>
  </xdr:twoCellAnchor>
  <xdr:twoCellAnchor>
    <xdr:from>
      <xdr:col>23</xdr:col>
      <xdr:colOff>247368</xdr:colOff>
      <xdr:row>74</xdr:row>
      <xdr:rowOff>3586</xdr:rowOff>
    </xdr:from>
    <xdr:to>
      <xdr:col>29</xdr:col>
      <xdr:colOff>274259</xdr:colOff>
      <xdr:row>77</xdr:row>
      <xdr:rowOff>156884</xdr:rowOff>
    </xdr:to>
    <xdr:sp macro="" textlink="">
      <xdr:nvSpPr>
        <xdr:cNvPr id="7" name="TextBox 6">
          <a:extLst>
            <a:ext uri="{FF2B5EF4-FFF2-40B4-BE49-F238E27FC236}">
              <a16:creationId xmlns:a16="http://schemas.microsoft.com/office/drawing/2014/main" id="{7BB10BE7-51DD-47E3-BF47-6132A4AC3B26}"/>
            </a:ext>
          </a:extLst>
        </xdr:cNvPr>
        <xdr:cNvSpPr txBox="1"/>
      </xdr:nvSpPr>
      <xdr:spPr>
        <a:xfrm>
          <a:off x="17874221" y="13887674"/>
          <a:ext cx="5741891" cy="713592"/>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t>Beskrivelse: </a:t>
          </a:r>
          <a:r>
            <a:rPr lang="da-DK" sz="900" b="0"/>
            <a:t>Der</a:t>
          </a:r>
          <a:r>
            <a:rPr lang="da-DK" sz="900" b="0" baseline="0"/>
            <a:t> fastsættes her, hvor stor en andel af tariferingsgrundlaget til tarif og effekt, der skal opkræves som effekt. Der fastsættes ikke en andel for omkostningspost 1.4, da denne ikke indgår i effekt.</a:t>
          </a:r>
          <a:endParaRPr lang="da-DK" sz="900" baseline="0">
            <a:solidFill>
              <a:srgbClr val="FF0000"/>
            </a:solidFill>
          </a:endParaRPr>
        </a:p>
      </xdr:txBody>
    </xdr:sp>
    <xdr:clientData/>
  </xdr:twoCellAnchor>
  <xdr:twoCellAnchor>
    <xdr:from>
      <xdr:col>23</xdr:col>
      <xdr:colOff>304413</xdr:colOff>
      <xdr:row>43</xdr:row>
      <xdr:rowOff>173802</xdr:rowOff>
    </xdr:from>
    <xdr:to>
      <xdr:col>29</xdr:col>
      <xdr:colOff>321779</xdr:colOff>
      <xdr:row>47</xdr:row>
      <xdr:rowOff>131802</xdr:rowOff>
    </xdr:to>
    <xdr:sp macro="" textlink="">
      <xdr:nvSpPr>
        <xdr:cNvPr id="8" name="TextBox 7">
          <a:extLst>
            <a:ext uri="{FF2B5EF4-FFF2-40B4-BE49-F238E27FC236}">
              <a16:creationId xmlns:a16="http://schemas.microsoft.com/office/drawing/2014/main" id="{862E0E8D-1753-4494-B3B4-55ED5407FB93}"/>
            </a:ext>
          </a:extLst>
        </xdr:cNvPr>
        <xdr:cNvSpPr txBox="1"/>
      </xdr:nvSpPr>
      <xdr:spPr>
        <a:xfrm>
          <a:off x="17931266" y="8163596"/>
          <a:ext cx="5732366" cy="720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t>Beskrivelse: </a:t>
          </a:r>
          <a:r>
            <a:rPr lang="da-DK" sz="900" b="0"/>
            <a:t>Der</a:t>
          </a:r>
          <a:r>
            <a:rPr lang="da-DK" sz="900" b="0" baseline="0"/>
            <a:t> indtastes her de værdier, der skal bruges til at beregne de fordelingsnøgler, hvor Green Power Denmark har prædefineret værdierne til beregningen af disse, men selskabet selv har mulighed for at overskrive disse i arket "2.3 Selskabsspecifikke input".</a:t>
          </a:r>
          <a:endParaRPr lang="da-DK" sz="900" baseline="0">
            <a:solidFill>
              <a:srgbClr val="FF0000"/>
            </a:solidFill>
          </a:endParaRPr>
        </a:p>
      </xdr:txBody>
    </xdr:sp>
    <xdr:clientData/>
  </xdr:twoCellAnchor>
  <xdr:twoCellAnchor>
    <xdr:from>
      <xdr:col>23</xdr:col>
      <xdr:colOff>210499</xdr:colOff>
      <xdr:row>97</xdr:row>
      <xdr:rowOff>182451</xdr:rowOff>
    </xdr:from>
    <xdr:to>
      <xdr:col>29</xdr:col>
      <xdr:colOff>231675</xdr:colOff>
      <xdr:row>106</xdr:row>
      <xdr:rowOff>47625</xdr:rowOff>
    </xdr:to>
    <xdr:sp macro="" textlink="">
      <xdr:nvSpPr>
        <xdr:cNvPr id="9" name="TextBox 8">
          <a:extLst>
            <a:ext uri="{FF2B5EF4-FFF2-40B4-BE49-F238E27FC236}">
              <a16:creationId xmlns:a16="http://schemas.microsoft.com/office/drawing/2014/main" id="{6371185F-86EC-4798-964E-C0E4ED577825}"/>
            </a:ext>
          </a:extLst>
        </xdr:cNvPr>
        <xdr:cNvSpPr txBox="1"/>
      </xdr:nvSpPr>
      <xdr:spPr>
        <a:xfrm>
          <a:off x="17841274" y="18441876"/>
          <a:ext cx="5736176" cy="157967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0">
              <a:solidFill>
                <a:schemeClr val="tx1"/>
              </a:solidFill>
            </a:rPr>
            <a:t>I denne sektion fastsættes antallet</a:t>
          </a:r>
          <a:r>
            <a:rPr lang="da-DK" sz="900" b="0" baseline="0">
              <a:solidFill>
                <a:schemeClr val="tx1"/>
              </a:solidFill>
            </a:rPr>
            <a:t> af byggeklodser for hver omkostnings-/forrentningsgruppe, der bruges til at beregne abonnementspriserne. Der fastsættes ikke et antal byggeklodser for omkostningspost 1.4, som der ikke bidrages til. Der indtastes separat for følgende 4 typer af abonnementer:</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r>
            <a:rPr lang="da-DK" sz="900">
              <a:solidFill>
                <a:schemeClr val="tx1"/>
              </a:solidFill>
            </a:rPr>
            <a:t>1) </a:t>
          </a:r>
          <a:r>
            <a:rPr lang="da-DK" sz="900" baseline="0">
              <a:solidFill>
                <a:schemeClr val="tx1"/>
              </a:solidFill>
            </a:rPr>
            <a:t>Forbrugsabonnementer </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2) Producentabonnementer  </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latin typeface="+mn-lt"/>
              <a:ea typeface="+mn-ea"/>
              <a:cs typeface="+mn-cs"/>
            </a:rPr>
            <a:t>3) Producentabonnement uden bidrag til måler</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3) Egenproducentabonnementer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For forbrugsabonnementer betales der for hver omkostnings-/forrentningsgruppe for en enkelt byggeklods.</a:t>
          </a:r>
        </a:p>
      </xdr:txBody>
    </xdr:sp>
    <xdr:clientData/>
  </xdr:twoCellAnchor>
  <xdr:twoCellAnchor>
    <xdr:from>
      <xdr:col>23</xdr:col>
      <xdr:colOff>209547</xdr:colOff>
      <xdr:row>181</xdr:row>
      <xdr:rowOff>189322</xdr:rowOff>
    </xdr:from>
    <xdr:to>
      <xdr:col>29</xdr:col>
      <xdr:colOff>230723</xdr:colOff>
      <xdr:row>188</xdr:row>
      <xdr:rowOff>133349</xdr:rowOff>
    </xdr:to>
    <xdr:sp macro="" textlink="">
      <xdr:nvSpPr>
        <xdr:cNvPr id="10" name="TextBox 9">
          <a:extLst>
            <a:ext uri="{FF2B5EF4-FFF2-40B4-BE49-F238E27FC236}">
              <a16:creationId xmlns:a16="http://schemas.microsoft.com/office/drawing/2014/main" id="{9CFA934C-E25E-463E-A05B-010EF2D7BFC5}"/>
            </a:ext>
          </a:extLst>
        </xdr:cNvPr>
        <xdr:cNvSpPr txBox="1"/>
      </xdr:nvSpPr>
      <xdr:spPr>
        <a:xfrm>
          <a:off x="17840322" y="34450747"/>
          <a:ext cx="5736176" cy="1277527"/>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0">
              <a:solidFill>
                <a:schemeClr val="tx1"/>
              </a:solidFill>
            </a:rPr>
            <a:t>I denne sektion fastsættes antallet</a:t>
          </a:r>
          <a:r>
            <a:rPr lang="da-DK" sz="900" b="0" baseline="0">
              <a:solidFill>
                <a:schemeClr val="tx1"/>
              </a:solidFill>
            </a:rPr>
            <a:t> af byggeklodser for hver omkostnings-/forrentningsgruppe, der bruges til at beregne tarifferne. Der fastsættes ikke et antal byggeklodser for omkostningspost 1.4, da denne ikke bidrager til forbrugs-/rådighedstariffer. Der indtastes separat for følgende 2 typer af tariffer:</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r>
            <a:rPr lang="da-DK" sz="900">
              <a:solidFill>
                <a:schemeClr val="tx1"/>
              </a:solidFill>
            </a:rPr>
            <a:t>1) </a:t>
          </a:r>
          <a:r>
            <a:rPr lang="da-DK" sz="900" baseline="0">
              <a:solidFill>
                <a:schemeClr val="tx1"/>
              </a:solidFill>
            </a:rPr>
            <a:t>Forbrugstariffer: Dvs. alt det forbrug, hvorpå der betales en almindelig tidsdifferentieret tarif</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2) Rådighedstariffer: Betales af egenproducenter med produktionsmåler på deres egetforbrug</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For forbrugstariffer betales der for hver omkostnings-/forrentningsgruppe for en enkelt byggeklods.</a:t>
          </a:r>
        </a:p>
      </xdr:txBody>
    </xdr:sp>
    <xdr:clientData/>
  </xdr:twoCellAnchor>
  <xdr:twoCellAnchor>
    <xdr:from>
      <xdr:col>23</xdr:col>
      <xdr:colOff>247368</xdr:colOff>
      <xdr:row>268</xdr:row>
      <xdr:rowOff>5491</xdr:rowOff>
    </xdr:from>
    <xdr:to>
      <xdr:col>29</xdr:col>
      <xdr:colOff>268544</xdr:colOff>
      <xdr:row>272</xdr:row>
      <xdr:rowOff>33618</xdr:rowOff>
    </xdr:to>
    <xdr:sp macro="" textlink="">
      <xdr:nvSpPr>
        <xdr:cNvPr id="11" name="TextBox 10">
          <a:extLst>
            <a:ext uri="{FF2B5EF4-FFF2-40B4-BE49-F238E27FC236}">
              <a16:creationId xmlns:a16="http://schemas.microsoft.com/office/drawing/2014/main" id="{5B698E97-B462-4081-AB11-A1CEE4563094}"/>
            </a:ext>
          </a:extLst>
        </xdr:cNvPr>
        <xdr:cNvSpPr txBox="1"/>
      </xdr:nvSpPr>
      <xdr:spPr>
        <a:xfrm>
          <a:off x="17874221" y="50824167"/>
          <a:ext cx="5736176" cy="790127"/>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0">
              <a:solidFill>
                <a:schemeClr val="tx1"/>
              </a:solidFill>
            </a:rPr>
            <a:t>I denne sektion vælges</a:t>
          </a:r>
          <a:r>
            <a:rPr lang="da-DK" sz="900" b="0" baseline="0">
              <a:solidFill>
                <a:schemeClr val="tx1"/>
              </a:solidFill>
            </a:rPr>
            <a:t> om en omkostningsgruppe både vedrører høj og lav eller alene skal allokeres til lav. Omkostninger, der er fælles for niveauet, allokeres ikke, mens omkostninger, der alene vedrører lav, allokeres til lav forud for vandfaldet (alene relevant, hvis omkostningsgruppen er fordelt helt eller delvist vha. fordelingsnøgle). Dette er kun relevant for omkostningsgrupper, der dækkes over tarif/effekt.</a:t>
          </a:r>
          <a:endParaRPr lang="da-DK" sz="900" baseline="0">
            <a:solidFill>
              <a:schemeClr val="tx1"/>
            </a:solidFill>
          </a:endParaRPr>
        </a:p>
      </xdr:txBody>
    </xdr:sp>
    <xdr:clientData/>
  </xdr:twoCellAnchor>
  <xdr:twoCellAnchor>
    <xdr:from>
      <xdr:col>23</xdr:col>
      <xdr:colOff>248320</xdr:colOff>
      <xdr:row>290</xdr:row>
      <xdr:rowOff>13334</xdr:rowOff>
    </xdr:from>
    <xdr:to>
      <xdr:col>29</xdr:col>
      <xdr:colOff>258066</xdr:colOff>
      <xdr:row>294</xdr:row>
      <xdr:rowOff>3434</xdr:rowOff>
    </xdr:to>
    <xdr:sp macro="" textlink="">
      <xdr:nvSpPr>
        <xdr:cNvPr id="12" name="TextBox 11">
          <a:extLst>
            <a:ext uri="{FF2B5EF4-FFF2-40B4-BE49-F238E27FC236}">
              <a16:creationId xmlns:a16="http://schemas.microsoft.com/office/drawing/2014/main" id="{E233C6FF-B6D7-4840-8FDC-6C23F826D010}"/>
            </a:ext>
          </a:extLst>
        </xdr:cNvPr>
        <xdr:cNvSpPr txBox="1"/>
      </xdr:nvSpPr>
      <xdr:spPr>
        <a:xfrm>
          <a:off x="17875173" y="54832510"/>
          <a:ext cx="5724746" cy="7521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0">
              <a:solidFill>
                <a:schemeClr val="tx1"/>
              </a:solidFill>
            </a:rPr>
            <a:t>Det</a:t>
          </a:r>
          <a:r>
            <a:rPr lang="da-DK" sz="900" b="0" baseline="0">
              <a:solidFill>
                <a:schemeClr val="tx1"/>
              </a:solidFill>
            </a:rPr>
            <a:t> vælges her om en omkostnings-/forrentningsgruppe medtages i vandfald. Dette er kun relevant for omkostnings-/forrentningsgrupper, der dækkes over tarif/effekt.</a:t>
          </a:r>
          <a:endParaRPr lang="da-DK" sz="900" baseline="0">
            <a:solidFill>
              <a:schemeClr val="tx1"/>
            </a:solidFill>
          </a:endParaRPr>
        </a:p>
      </xdr:txBody>
    </xdr:sp>
    <xdr:clientData/>
  </xdr:twoCellAnchor>
  <xdr:twoCellAnchor>
    <xdr:from>
      <xdr:col>23</xdr:col>
      <xdr:colOff>244509</xdr:colOff>
      <xdr:row>309</xdr:row>
      <xdr:rowOff>186916</xdr:rowOff>
    </xdr:from>
    <xdr:to>
      <xdr:col>29</xdr:col>
      <xdr:colOff>265685</xdr:colOff>
      <xdr:row>314</xdr:row>
      <xdr:rowOff>113180</xdr:rowOff>
    </xdr:to>
    <xdr:sp macro="" textlink="">
      <xdr:nvSpPr>
        <xdr:cNvPr id="13" name="TextBox 12">
          <a:extLst>
            <a:ext uri="{FF2B5EF4-FFF2-40B4-BE49-F238E27FC236}">
              <a16:creationId xmlns:a16="http://schemas.microsoft.com/office/drawing/2014/main" id="{5BE0F066-52A6-4440-A690-D2CBDFC5CB17}"/>
            </a:ext>
          </a:extLst>
        </xdr:cNvPr>
        <xdr:cNvSpPr txBox="1"/>
      </xdr:nvSpPr>
      <xdr:spPr>
        <a:xfrm>
          <a:off x="17871362" y="58625592"/>
          <a:ext cx="5736176" cy="87876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0">
              <a:solidFill>
                <a:schemeClr val="tx1"/>
              </a:solidFill>
            </a:rPr>
            <a:t>Her indtastes</a:t>
          </a:r>
          <a:r>
            <a:rPr lang="da-DK" sz="900" b="0" baseline="0">
              <a:solidFill>
                <a:schemeClr val="tx1"/>
              </a:solidFill>
            </a:rPr>
            <a:t> en gearingsfaktor for forbruget i forbindelse med vandfald. Faktorerne, som man finder i rækken "Gearing af A-høj" bruges eksempelvis til at geare forbruget for alle kundekategorier for det vandfald, der starter fra A-høj. Såfremt faktoren sættes til 1, bliver forbruget ikke gearet. Sættes faktoren lavere end de andre faktorer i samme række betyder dette, at andelen af omkostnings-/forrentningsgrupperne, der tildeles denne kundekategori vil være relativt lavere. Omvendt gælder det, hvis faktoren sættes relativt højere.</a:t>
          </a:r>
          <a:endParaRPr lang="da-DK" sz="900" baseline="0">
            <a:solidFill>
              <a:schemeClr val="tx1"/>
            </a:solidFill>
          </a:endParaRPr>
        </a:p>
      </xdr:txBody>
    </xdr:sp>
    <xdr:clientData/>
  </xdr:twoCellAnchor>
  <xdr:twoCellAnchor>
    <xdr:from>
      <xdr:col>23</xdr:col>
      <xdr:colOff>230223</xdr:colOff>
      <xdr:row>348</xdr:row>
      <xdr:rowOff>179293</xdr:rowOff>
    </xdr:from>
    <xdr:to>
      <xdr:col>29</xdr:col>
      <xdr:colOff>251399</xdr:colOff>
      <xdr:row>352</xdr:row>
      <xdr:rowOff>137293</xdr:rowOff>
    </xdr:to>
    <xdr:sp macro="" textlink="">
      <xdr:nvSpPr>
        <xdr:cNvPr id="14" name="TextBox 13">
          <a:extLst>
            <a:ext uri="{FF2B5EF4-FFF2-40B4-BE49-F238E27FC236}">
              <a16:creationId xmlns:a16="http://schemas.microsoft.com/office/drawing/2014/main" id="{BEDC2180-6564-48C1-89BB-190B416E161E}"/>
            </a:ext>
          </a:extLst>
        </xdr:cNvPr>
        <xdr:cNvSpPr txBox="1"/>
      </xdr:nvSpPr>
      <xdr:spPr>
        <a:xfrm>
          <a:off x="17857076" y="66047469"/>
          <a:ext cx="5736176" cy="720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0">
              <a:solidFill>
                <a:schemeClr val="tx1"/>
              </a:solidFill>
            </a:rPr>
            <a:t>Her indtastes skaleringsfaktorerne for vinter-perioden, der bruges til</a:t>
          </a:r>
          <a:r>
            <a:rPr lang="da-DK" sz="900" b="0" baseline="0">
              <a:solidFill>
                <a:schemeClr val="tx1"/>
              </a:solidFill>
            </a:rPr>
            <a:t> at skalere basistarifferne, hvilket resulterer i de tidsdifferentierede tariffer.</a:t>
          </a:r>
          <a:endParaRPr lang="da-DK" sz="900" baseline="0">
            <a:solidFill>
              <a:schemeClr val="tx1"/>
            </a:solidFill>
          </a:endParaRPr>
        </a:p>
      </xdr:txBody>
    </xdr:sp>
    <xdr:clientData/>
  </xdr:twoCellAnchor>
  <xdr:twoCellAnchor>
    <xdr:from>
      <xdr:col>23</xdr:col>
      <xdr:colOff>244510</xdr:colOff>
      <xdr:row>353</xdr:row>
      <xdr:rowOff>190499</xdr:rowOff>
    </xdr:from>
    <xdr:to>
      <xdr:col>29</xdr:col>
      <xdr:colOff>259971</xdr:colOff>
      <xdr:row>357</xdr:row>
      <xdr:rowOff>148499</xdr:rowOff>
    </xdr:to>
    <xdr:sp macro="" textlink="">
      <xdr:nvSpPr>
        <xdr:cNvPr id="15" name="TextBox 14">
          <a:extLst>
            <a:ext uri="{FF2B5EF4-FFF2-40B4-BE49-F238E27FC236}">
              <a16:creationId xmlns:a16="http://schemas.microsoft.com/office/drawing/2014/main" id="{23C0591C-6FE1-49D4-AB7B-89DC50411176}"/>
            </a:ext>
          </a:extLst>
        </xdr:cNvPr>
        <xdr:cNvSpPr txBox="1"/>
      </xdr:nvSpPr>
      <xdr:spPr>
        <a:xfrm>
          <a:off x="17871363" y="67011175"/>
          <a:ext cx="5730461" cy="720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0">
              <a:solidFill>
                <a:schemeClr val="tx1"/>
              </a:solidFill>
            </a:rPr>
            <a:t>Her indtastes skaleringsfaktorerne for sommer-perioden, der bruges til</a:t>
          </a:r>
          <a:r>
            <a:rPr lang="da-DK" sz="900" b="0" baseline="0">
              <a:solidFill>
                <a:schemeClr val="tx1"/>
              </a:solidFill>
            </a:rPr>
            <a:t> at skalere basistarifferne, hvilket resulterer i de tidsdifferentierede tariffer. Bemærk, at de fleste celler er skravede, da disse blot er sat til at være lig med værdien for vinterhalvåret for tilsvarede lastniveau samt kundekategori. </a:t>
          </a:r>
          <a:endParaRPr lang="da-DK" sz="900" baseline="0">
            <a:solidFill>
              <a:schemeClr val="tx1"/>
            </a:solidFill>
          </a:endParaRPr>
        </a:p>
      </xdr:txBody>
    </xdr:sp>
    <xdr:clientData/>
  </xdr:twoCellAnchor>
  <xdr:twoCellAnchor>
    <xdr:from>
      <xdr:col>23</xdr:col>
      <xdr:colOff>230223</xdr:colOff>
      <xdr:row>358</xdr:row>
      <xdr:rowOff>188818</xdr:rowOff>
    </xdr:from>
    <xdr:to>
      <xdr:col>29</xdr:col>
      <xdr:colOff>251399</xdr:colOff>
      <xdr:row>361</xdr:row>
      <xdr:rowOff>147805</xdr:rowOff>
    </xdr:to>
    <xdr:sp macro="" textlink="">
      <xdr:nvSpPr>
        <xdr:cNvPr id="16" name="TextBox 15">
          <a:extLst>
            <a:ext uri="{FF2B5EF4-FFF2-40B4-BE49-F238E27FC236}">
              <a16:creationId xmlns:a16="http://schemas.microsoft.com/office/drawing/2014/main" id="{ACE51506-D456-4030-9DBD-5966787E40C0}"/>
            </a:ext>
          </a:extLst>
        </xdr:cNvPr>
        <xdr:cNvSpPr txBox="1"/>
      </xdr:nvSpPr>
      <xdr:spPr>
        <a:xfrm>
          <a:off x="17857076" y="67961994"/>
          <a:ext cx="5736176" cy="530487"/>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a:t>
          </a:r>
          <a:r>
            <a:rPr lang="da-DK" sz="900" b="1" baseline="0">
              <a:solidFill>
                <a:schemeClr val="tx1"/>
              </a:solidFill>
            </a:rPr>
            <a:t> </a:t>
          </a:r>
          <a:r>
            <a:rPr lang="da-DK" sz="900" b="0" i="0" baseline="0">
              <a:solidFill>
                <a:schemeClr val="tx1"/>
              </a:solidFill>
            </a:rPr>
            <a:t>Her fastsættes for hver kundekategori samt time, om der er tale om et tidspunkt med lavlast, højlast eller spidslast. Dette gøres her for hverdage i vinter-perioden. </a:t>
          </a:r>
          <a:endParaRPr lang="da-DK" sz="900" baseline="0">
            <a:solidFill>
              <a:schemeClr val="tx1"/>
            </a:solidFill>
          </a:endParaRPr>
        </a:p>
      </xdr:txBody>
    </xdr:sp>
    <xdr:clientData/>
  </xdr:twoCellAnchor>
  <xdr:twoCellAnchor>
    <xdr:from>
      <xdr:col>23</xdr:col>
      <xdr:colOff>248320</xdr:colOff>
      <xdr:row>384</xdr:row>
      <xdr:rowOff>185232</xdr:rowOff>
    </xdr:from>
    <xdr:to>
      <xdr:col>29</xdr:col>
      <xdr:colOff>269496</xdr:colOff>
      <xdr:row>387</xdr:row>
      <xdr:rowOff>125169</xdr:rowOff>
    </xdr:to>
    <xdr:sp macro="" textlink="">
      <xdr:nvSpPr>
        <xdr:cNvPr id="17" name="TextBox 16">
          <a:extLst>
            <a:ext uri="{FF2B5EF4-FFF2-40B4-BE49-F238E27FC236}">
              <a16:creationId xmlns:a16="http://schemas.microsoft.com/office/drawing/2014/main" id="{66B2159F-F452-49EF-9FBC-1C98A9F2882B}"/>
            </a:ext>
          </a:extLst>
        </xdr:cNvPr>
        <xdr:cNvSpPr txBox="1"/>
      </xdr:nvSpPr>
      <xdr:spPr>
        <a:xfrm>
          <a:off x="17875173" y="72911408"/>
          <a:ext cx="5736176" cy="511437"/>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a:t>
          </a:r>
          <a:r>
            <a:rPr lang="da-DK" sz="900" b="1" baseline="0">
              <a:solidFill>
                <a:schemeClr val="tx1"/>
              </a:solidFill>
            </a:rPr>
            <a:t> </a:t>
          </a:r>
          <a:r>
            <a:rPr lang="da-DK" sz="900" b="0" i="0" baseline="0">
              <a:solidFill>
                <a:schemeClr val="tx1"/>
              </a:solidFill>
            </a:rPr>
            <a:t>Her fastsættes for hver kundekategori samt time, om der er tale om et tidspunkt med lavlast, højlast eller spidslast. Dette gøres her for hverdage i sommer-perioden. </a:t>
          </a:r>
          <a:endParaRPr lang="da-DK" sz="900" baseline="0">
            <a:solidFill>
              <a:srgbClr val="FF0000"/>
            </a:solidFill>
          </a:endParaRPr>
        </a:p>
      </xdr:txBody>
    </xdr:sp>
    <xdr:clientData/>
  </xdr:twoCellAnchor>
  <xdr:twoCellAnchor>
    <xdr:from>
      <xdr:col>23</xdr:col>
      <xdr:colOff>240700</xdr:colOff>
      <xdr:row>410</xdr:row>
      <xdr:rowOff>189044</xdr:rowOff>
    </xdr:from>
    <xdr:to>
      <xdr:col>29</xdr:col>
      <xdr:colOff>261876</xdr:colOff>
      <xdr:row>414</xdr:row>
      <xdr:rowOff>134248</xdr:rowOff>
    </xdr:to>
    <xdr:sp macro="" textlink="">
      <xdr:nvSpPr>
        <xdr:cNvPr id="18" name="TextBox 17">
          <a:extLst>
            <a:ext uri="{FF2B5EF4-FFF2-40B4-BE49-F238E27FC236}">
              <a16:creationId xmlns:a16="http://schemas.microsoft.com/office/drawing/2014/main" id="{00AB7C6D-F4B4-4097-8A86-BD557636EB2F}"/>
            </a:ext>
          </a:extLst>
        </xdr:cNvPr>
        <xdr:cNvSpPr txBox="1"/>
      </xdr:nvSpPr>
      <xdr:spPr>
        <a:xfrm>
          <a:off x="17867553" y="77868220"/>
          <a:ext cx="5736176" cy="70720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a:t>
          </a:r>
          <a:r>
            <a:rPr lang="da-DK" sz="900" b="1" baseline="0">
              <a:solidFill>
                <a:schemeClr val="tx1"/>
              </a:solidFill>
            </a:rPr>
            <a:t> </a:t>
          </a:r>
          <a:r>
            <a:rPr lang="da-DK" sz="900" b="0" i="0" baseline="0">
              <a:solidFill>
                <a:schemeClr val="tx1"/>
              </a:solidFill>
            </a:rPr>
            <a:t>Her fastsættes for hver kundekategori samt time, om der er tale om et tidspunkt med lavlast, højlast eller spidslast. Dette gøres her for weekender og helligdage i vinter-perioden. Cellerne er som udgangspunkt skraveret for kundekategori C, da disse blot er fastsat til at være de samme som for hverdage i vinter-perioden.</a:t>
          </a:r>
        </a:p>
      </xdr:txBody>
    </xdr:sp>
    <xdr:clientData/>
  </xdr:twoCellAnchor>
  <xdr:twoCellAnchor>
    <xdr:from>
      <xdr:col>23</xdr:col>
      <xdr:colOff>238795</xdr:colOff>
      <xdr:row>437</xdr:row>
      <xdr:rowOff>2354</xdr:rowOff>
    </xdr:from>
    <xdr:to>
      <xdr:col>29</xdr:col>
      <xdr:colOff>259971</xdr:colOff>
      <xdr:row>441</xdr:row>
      <xdr:rowOff>39558</xdr:rowOff>
    </xdr:to>
    <xdr:sp macro="" textlink="">
      <xdr:nvSpPr>
        <xdr:cNvPr id="19" name="TextBox 18">
          <a:extLst>
            <a:ext uri="{FF2B5EF4-FFF2-40B4-BE49-F238E27FC236}">
              <a16:creationId xmlns:a16="http://schemas.microsoft.com/office/drawing/2014/main" id="{94BF722B-7DFB-4967-B687-32C8C9EB30BB}"/>
            </a:ext>
          </a:extLst>
        </xdr:cNvPr>
        <xdr:cNvSpPr txBox="1"/>
      </xdr:nvSpPr>
      <xdr:spPr>
        <a:xfrm>
          <a:off x="17865648" y="82825030"/>
          <a:ext cx="5736176" cy="79920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a:t>
          </a:r>
          <a:r>
            <a:rPr lang="da-DK" sz="900" b="1" baseline="0">
              <a:solidFill>
                <a:schemeClr val="tx1"/>
              </a:solidFill>
            </a:rPr>
            <a:t> </a:t>
          </a:r>
          <a:r>
            <a:rPr lang="da-DK" sz="900" b="0" i="0" baseline="0">
              <a:solidFill>
                <a:schemeClr val="tx1"/>
              </a:solidFill>
            </a:rPr>
            <a:t>Her fastsættes for hver kundekategori samt time, om der er tale om et tidspunkt med lavlast, højlast eller spidslast. Dette gøres her for weekender og helligdage i sommer-perioden. Cellerne er som udgangspunkt skraveret for kundekategori C, da disse blot er fastsat til at være de samme som for hverdage i sommer-perioden.</a:t>
          </a:r>
          <a:endParaRPr lang="da-DK" sz="900" b="0" i="0" baseline="0">
            <a:solidFill>
              <a:srgbClr val="FF0000"/>
            </a:solidFill>
          </a:endParaRPr>
        </a:p>
      </xdr:txBody>
    </xdr:sp>
    <xdr:clientData/>
  </xdr:twoCellAnchor>
  <xdr:twoCellAnchor>
    <xdr:from>
      <xdr:col>23</xdr:col>
      <xdr:colOff>280033</xdr:colOff>
      <xdr:row>13</xdr:row>
      <xdr:rowOff>44828</xdr:rowOff>
    </xdr:from>
    <xdr:to>
      <xdr:col>29</xdr:col>
      <xdr:colOff>303114</xdr:colOff>
      <xdr:row>16</xdr:row>
      <xdr:rowOff>157328</xdr:rowOff>
    </xdr:to>
    <xdr:sp macro="" textlink="">
      <xdr:nvSpPr>
        <xdr:cNvPr id="20" name="TextBox 19">
          <a:extLst>
            <a:ext uri="{FF2B5EF4-FFF2-40B4-BE49-F238E27FC236}">
              <a16:creationId xmlns:a16="http://schemas.microsoft.com/office/drawing/2014/main" id="{C1B0FA5B-CC91-4EB3-987F-C5E8CD3903AB}"/>
            </a:ext>
          </a:extLst>
        </xdr:cNvPr>
        <xdr:cNvSpPr txBox="1"/>
      </xdr:nvSpPr>
      <xdr:spPr>
        <a:xfrm>
          <a:off x="17906886" y="2308416"/>
          <a:ext cx="5738081" cy="684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t>Beskrivelse: </a:t>
          </a:r>
          <a:r>
            <a:rPr lang="da-DK" sz="900" b="0"/>
            <a:t>Indtastning af rådighedsbetaling</a:t>
          </a:r>
          <a:r>
            <a:rPr lang="da-DK" sz="900" b="0" baseline="0"/>
            <a:t> for egenproducenter uden produktionsmåler for hver af kundekategorierne. De samlede rådighedsbetalinger (rådighedsbetaling x egenproducenter uden produktionsmåler) fratrækkes for hver kundekategori i tariferingsgrundlaget til tarif/effekt.</a:t>
          </a:r>
          <a:endParaRPr lang="da-DK" sz="900" baseline="0">
            <a:solidFill>
              <a:srgbClr val="FF0000"/>
            </a:solidFill>
          </a:endParaRPr>
        </a:p>
      </xdr:txBody>
    </xdr:sp>
    <xdr:clientData/>
  </xdr:twoCellAnchor>
  <xdr:twoCellAnchor>
    <xdr:from>
      <xdr:col>23</xdr:col>
      <xdr:colOff>206689</xdr:colOff>
      <xdr:row>118</xdr:row>
      <xdr:rowOff>1903</xdr:rowOff>
    </xdr:from>
    <xdr:to>
      <xdr:col>29</xdr:col>
      <xdr:colOff>227865</xdr:colOff>
      <xdr:row>121</xdr:row>
      <xdr:rowOff>44824</xdr:rowOff>
    </xdr:to>
    <xdr:sp macro="" textlink="">
      <xdr:nvSpPr>
        <xdr:cNvPr id="21" name="TextBox 20">
          <a:extLst>
            <a:ext uri="{FF2B5EF4-FFF2-40B4-BE49-F238E27FC236}">
              <a16:creationId xmlns:a16="http://schemas.microsoft.com/office/drawing/2014/main" id="{B87DF025-ED33-4055-86A1-785CD5E6DE82}"/>
            </a:ext>
          </a:extLst>
        </xdr:cNvPr>
        <xdr:cNvSpPr txBox="1"/>
      </xdr:nvSpPr>
      <xdr:spPr>
        <a:xfrm>
          <a:off x="17833542" y="22245579"/>
          <a:ext cx="5736176" cy="614421"/>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aseline="0">
              <a:solidFill>
                <a:schemeClr val="tx1"/>
              </a:solidFill>
            </a:rPr>
            <a:t>For producentabonnementer betales der for hver hver omkostnings-/forrentningsgruppe for en enkelt byggeklods på nær omkostningspost 1.4, som der ikke bidrages til.</a:t>
          </a:r>
        </a:p>
      </xdr:txBody>
    </xdr:sp>
    <xdr:clientData/>
  </xdr:twoCellAnchor>
  <xdr:twoCellAnchor>
    <xdr:from>
      <xdr:col>23</xdr:col>
      <xdr:colOff>206689</xdr:colOff>
      <xdr:row>158</xdr:row>
      <xdr:rowOff>1680</xdr:rowOff>
    </xdr:from>
    <xdr:to>
      <xdr:col>29</xdr:col>
      <xdr:colOff>231675</xdr:colOff>
      <xdr:row>161</xdr:row>
      <xdr:rowOff>85725</xdr:rowOff>
    </xdr:to>
    <xdr:sp macro="" textlink="">
      <xdr:nvSpPr>
        <xdr:cNvPr id="22" name="TextBox 21">
          <a:extLst>
            <a:ext uri="{FF2B5EF4-FFF2-40B4-BE49-F238E27FC236}">
              <a16:creationId xmlns:a16="http://schemas.microsoft.com/office/drawing/2014/main" id="{0536B086-B486-4B2B-B719-194FB076CC9E}"/>
            </a:ext>
          </a:extLst>
        </xdr:cNvPr>
        <xdr:cNvSpPr txBox="1"/>
      </xdr:nvSpPr>
      <xdr:spPr>
        <a:xfrm>
          <a:off x="17837464" y="29881605"/>
          <a:ext cx="5739986" cy="65554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aseline="0">
              <a:solidFill>
                <a:schemeClr val="tx1"/>
              </a:solidFill>
            </a:rPr>
            <a:t>For egenproducentabonnementer betales der for hver omkostnings-/forrentningsgruppe for en enkelt byggeklods på nær for omkostningspost "2.2 Indhedning og validering af målerdata", hvor der betales et dobbelt bidrag. Der fastsættes ligeledes ikke et antal byggeklodser for omkostningspost 1.4, da der ikke bidrages til denne post.</a:t>
          </a:r>
        </a:p>
      </xdr:txBody>
    </xdr:sp>
    <xdr:clientData/>
  </xdr:twoCellAnchor>
  <xdr:twoCellAnchor>
    <xdr:from>
      <xdr:col>23</xdr:col>
      <xdr:colOff>210499</xdr:colOff>
      <xdr:row>138</xdr:row>
      <xdr:rowOff>2744</xdr:rowOff>
    </xdr:from>
    <xdr:to>
      <xdr:col>29</xdr:col>
      <xdr:colOff>227865</xdr:colOff>
      <xdr:row>141</xdr:row>
      <xdr:rowOff>33618</xdr:rowOff>
    </xdr:to>
    <xdr:sp macro="" textlink="">
      <xdr:nvSpPr>
        <xdr:cNvPr id="24" name="TextBox 23">
          <a:extLst>
            <a:ext uri="{FF2B5EF4-FFF2-40B4-BE49-F238E27FC236}">
              <a16:creationId xmlns:a16="http://schemas.microsoft.com/office/drawing/2014/main" id="{861907AB-A58A-4213-85D4-CA08F4DD853F}"/>
            </a:ext>
          </a:extLst>
        </xdr:cNvPr>
        <xdr:cNvSpPr txBox="1"/>
      </xdr:nvSpPr>
      <xdr:spPr>
        <a:xfrm>
          <a:off x="17837352" y="26056420"/>
          <a:ext cx="5732366" cy="60237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aseline="0">
              <a:solidFill>
                <a:schemeClr val="tx1"/>
              </a:solidFill>
            </a:rPr>
            <a:t>For producentabonnementer uden bidrag til måler betales der for hver omkostnings-/forrentningsgruppe for en enkelt byggeklods på nær omkostnings-/forrentningsposter vedrørende målere og omkostningspost 1.4, som der ikke bidrages til.</a:t>
          </a:r>
        </a:p>
      </xdr:txBody>
    </xdr:sp>
    <xdr:clientData/>
  </xdr:twoCellAnchor>
  <xdr:twoCellAnchor>
    <xdr:from>
      <xdr:col>23</xdr:col>
      <xdr:colOff>244509</xdr:colOff>
      <xdr:row>201</xdr:row>
      <xdr:rowOff>188707</xdr:rowOff>
    </xdr:from>
    <xdr:to>
      <xdr:col>29</xdr:col>
      <xdr:colOff>265685</xdr:colOff>
      <xdr:row>204</xdr:row>
      <xdr:rowOff>100853</xdr:rowOff>
    </xdr:to>
    <xdr:sp macro="" textlink="">
      <xdr:nvSpPr>
        <xdr:cNvPr id="25" name="TextBox 24">
          <a:extLst>
            <a:ext uri="{FF2B5EF4-FFF2-40B4-BE49-F238E27FC236}">
              <a16:creationId xmlns:a16="http://schemas.microsoft.com/office/drawing/2014/main" id="{73FB6184-10A6-4CC5-9A3C-D3B4CA747A64}"/>
            </a:ext>
          </a:extLst>
        </xdr:cNvPr>
        <xdr:cNvSpPr txBox="1"/>
      </xdr:nvSpPr>
      <xdr:spPr>
        <a:xfrm>
          <a:off x="17871362" y="38243883"/>
          <a:ext cx="5736176" cy="483646"/>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aseline="0">
              <a:solidFill>
                <a:schemeClr val="tx1"/>
              </a:solidFill>
            </a:rPr>
            <a:t>For rådighedstariffer betales der for hver omkostnings-/forrentningsgruppe for en enkelt byggeklods på nær omkostningerne vedrørende nettab og omkostningspost 1.4, som der ikke bidrages til. </a:t>
          </a:r>
        </a:p>
      </xdr:txBody>
    </xdr:sp>
    <xdr:clientData/>
  </xdr:twoCellAnchor>
  <xdr:twoCellAnchor>
    <xdr:from>
      <xdr:col>29</xdr:col>
      <xdr:colOff>511995</xdr:colOff>
      <xdr:row>13</xdr:row>
      <xdr:rowOff>39657</xdr:rowOff>
    </xdr:from>
    <xdr:to>
      <xdr:col>35</xdr:col>
      <xdr:colOff>536982</xdr:colOff>
      <xdr:row>16</xdr:row>
      <xdr:rowOff>152157</xdr:rowOff>
    </xdr:to>
    <xdr:sp macro="" textlink="">
      <xdr:nvSpPr>
        <xdr:cNvPr id="26" name="TextBox 25">
          <a:extLst>
            <a:ext uri="{FF2B5EF4-FFF2-40B4-BE49-F238E27FC236}">
              <a16:creationId xmlns:a16="http://schemas.microsoft.com/office/drawing/2014/main" id="{0A03CE59-841B-40EB-AB6F-FCE2F8A0F367}"/>
            </a:ext>
          </a:extLst>
        </xdr:cNvPr>
        <xdr:cNvSpPr txBox="1"/>
      </xdr:nvSpPr>
      <xdr:spPr>
        <a:xfrm>
          <a:off x="23853848" y="2303245"/>
          <a:ext cx="5739987" cy="684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ysClr val="windowText" lastClr="000000"/>
              </a:solidFill>
            </a:rPr>
            <a:t>Hvis </a:t>
          </a:r>
          <a:r>
            <a:rPr lang="da-DK" sz="900" b="1" baseline="0">
              <a:solidFill>
                <a:srgbClr val="FF0000"/>
              </a:solidFill>
            </a:rPr>
            <a:t>fejl</a:t>
          </a:r>
          <a:r>
            <a:rPr lang="da-DK" sz="900" baseline="0">
              <a:solidFill>
                <a:sysClr val="windowText" lastClr="000000"/>
              </a:solidFill>
            </a:rPr>
            <a:t> i kolonne L skyldes det, at en eller flere værdier i de låste inputceller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ysClr val="windowText" lastClr="000000"/>
              </a:solidFill>
            </a:rPr>
            <a:t>Hvis </a:t>
          </a:r>
          <a:r>
            <a:rPr lang="da-DK" sz="900" b="1" baseline="0">
              <a:solidFill>
                <a:srgbClr val="D6A300"/>
              </a:solidFill>
            </a:rPr>
            <a:t>kontrol</a:t>
          </a:r>
          <a:r>
            <a:rPr lang="da-DK" sz="900" baseline="0">
              <a:solidFill>
                <a:sysClr val="windowText" lastClr="000000"/>
              </a:solidFill>
            </a:rPr>
            <a:t> i kolonne M skyldes det, at der enten er indtastet 0 eller intet er indtastet i en eller flere af inputcellerne i rækken. </a:t>
          </a:r>
        </a:p>
      </xdr:txBody>
    </xdr:sp>
    <xdr:clientData/>
  </xdr:twoCellAnchor>
  <xdr:twoCellAnchor>
    <xdr:from>
      <xdr:col>29</xdr:col>
      <xdr:colOff>514916</xdr:colOff>
      <xdr:row>43</xdr:row>
      <xdr:rowOff>173802</xdr:rowOff>
    </xdr:from>
    <xdr:to>
      <xdr:col>35</xdr:col>
      <xdr:colOff>532283</xdr:colOff>
      <xdr:row>47</xdr:row>
      <xdr:rowOff>131802</xdr:rowOff>
    </xdr:to>
    <xdr:sp macro="" textlink="">
      <xdr:nvSpPr>
        <xdr:cNvPr id="27" name="TextBox 26">
          <a:extLst>
            <a:ext uri="{FF2B5EF4-FFF2-40B4-BE49-F238E27FC236}">
              <a16:creationId xmlns:a16="http://schemas.microsoft.com/office/drawing/2014/main" id="{6E8EBECD-5C2B-4DEE-8BE4-7C459F799F72}"/>
            </a:ext>
          </a:extLst>
        </xdr:cNvPr>
        <xdr:cNvSpPr txBox="1"/>
      </xdr:nvSpPr>
      <xdr:spPr>
        <a:xfrm>
          <a:off x="23856769" y="8163596"/>
          <a:ext cx="5732367" cy="720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rgbClr val="222221"/>
              </a:solidFill>
            </a:rPr>
            <a:t>Hvis </a:t>
          </a:r>
          <a:r>
            <a:rPr lang="da-DK" sz="900" b="1" baseline="0">
              <a:solidFill>
                <a:srgbClr val="FF0000"/>
              </a:solidFill>
            </a:rPr>
            <a:t>fejl</a:t>
          </a:r>
          <a:r>
            <a:rPr lang="da-DK" sz="900" baseline="0">
              <a:solidFill>
                <a:srgbClr val="222221"/>
              </a:solidFill>
            </a:rPr>
            <a:t> i kolonne L skyldes det, at en eller flere værdier i de låste inputceller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rgbClr val="222221"/>
              </a:solidFill>
            </a:rPr>
            <a:t>Hvis </a:t>
          </a:r>
          <a:r>
            <a:rPr lang="da-DK" sz="900" b="1" baseline="0">
              <a:solidFill>
                <a:srgbClr val="D6A300"/>
              </a:solidFill>
            </a:rPr>
            <a:t>kontrol</a:t>
          </a:r>
          <a:r>
            <a:rPr lang="da-DK" sz="900" baseline="0">
              <a:solidFill>
                <a:srgbClr val="222221"/>
              </a:solidFill>
            </a:rPr>
            <a:t> i kolonne M skyldes det, at der enten er indtastet 0 eller intet er indtastet i en eller flere af inputcellerne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rgbClr val="222221"/>
            </a:solidFill>
          </a:endParaRPr>
        </a:p>
      </xdr:txBody>
    </xdr:sp>
    <xdr:clientData/>
  </xdr:twoCellAnchor>
  <xdr:twoCellAnchor>
    <xdr:from>
      <xdr:col>29</xdr:col>
      <xdr:colOff>511042</xdr:colOff>
      <xdr:row>74</xdr:row>
      <xdr:rowOff>3585</xdr:rowOff>
    </xdr:from>
    <xdr:to>
      <xdr:col>35</xdr:col>
      <xdr:colOff>532219</xdr:colOff>
      <xdr:row>77</xdr:row>
      <xdr:rowOff>156883</xdr:rowOff>
    </xdr:to>
    <xdr:sp macro="" textlink="">
      <xdr:nvSpPr>
        <xdr:cNvPr id="29" name="TextBox 28">
          <a:extLst>
            <a:ext uri="{FF2B5EF4-FFF2-40B4-BE49-F238E27FC236}">
              <a16:creationId xmlns:a16="http://schemas.microsoft.com/office/drawing/2014/main" id="{2296EF31-2501-4328-A29B-F7087B212BE2}"/>
            </a:ext>
          </a:extLst>
        </xdr:cNvPr>
        <xdr:cNvSpPr txBox="1"/>
      </xdr:nvSpPr>
      <xdr:spPr>
        <a:xfrm>
          <a:off x="23852895" y="13887673"/>
          <a:ext cx="5736177" cy="713592"/>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fontAlgn="auto" latinLnBrk="0" hangingPunct="1"/>
          <a:r>
            <a:rPr lang="da-DK" sz="900" baseline="0">
              <a:solidFill>
                <a:schemeClr val="dk1"/>
              </a:solidFill>
              <a:effectLst/>
              <a:latin typeface="+mn-lt"/>
              <a:ea typeface="+mn-ea"/>
              <a:cs typeface="+mn-cs"/>
            </a:rPr>
            <a:t>Hvis </a:t>
          </a:r>
          <a:r>
            <a:rPr lang="da-DK" sz="900" b="1" baseline="0">
              <a:solidFill>
                <a:srgbClr val="FF0000"/>
              </a:solidFill>
              <a:effectLst/>
              <a:latin typeface="+mn-lt"/>
              <a:ea typeface="+mn-ea"/>
              <a:cs typeface="+mn-cs"/>
            </a:rPr>
            <a:t>fejl</a:t>
          </a:r>
          <a:r>
            <a:rPr lang="da-DK" sz="900" baseline="0">
              <a:solidFill>
                <a:schemeClr val="dk1"/>
              </a:solidFill>
              <a:effectLst/>
              <a:latin typeface="+mn-lt"/>
              <a:ea typeface="+mn-ea"/>
              <a:cs typeface="+mn-cs"/>
            </a:rPr>
            <a:t> i kolonne L skyldes det, at en eller flere værdier i de låste inputceller i rækken er indtastet som negativ eller indeholder tekst.</a:t>
          </a:r>
        </a:p>
        <a:p>
          <a:pPr rtl="0" eaLnBrk="1" fontAlgn="auto" latinLnBrk="0" hangingPunct="1"/>
          <a:r>
            <a:rPr lang="da-DK" sz="900" baseline="0">
              <a:solidFill>
                <a:schemeClr val="dk1"/>
              </a:solidFill>
              <a:effectLst/>
              <a:latin typeface="+mn-lt"/>
              <a:ea typeface="+mn-ea"/>
              <a:cs typeface="+mn-cs"/>
            </a:rPr>
            <a:t>Hvis </a:t>
          </a:r>
          <a:r>
            <a:rPr lang="da-DK" sz="900" b="1" baseline="0">
              <a:solidFill>
                <a:srgbClr val="D6A300"/>
              </a:solidFill>
              <a:effectLst/>
              <a:latin typeface="+mn-lt"/>
              <a:ea typeface="+mn-ea"/>
              <a:cs typeface="+mn-cs"/>
            </a:rPr>
            <a:t>kontrol</a:t>
          </a:r>
          <a:r>
            <a:rPr lang="da-DK" sz="900" baseline="0">
              <a:solidFill>
                <a:schemeClr val="dk1"/>
              </a:solidFill>
              <a:effectLst/>
              <a:latin typeface="+mn-lt"/>
              <a:ea typeface="+mn-ea"/>
              <a:cs typeface="+mn-cs"/>
            </a:rPr>
            <a:t> i kolonne M skyldes det, at der indtastet noget i en eller flere celler, men tarif/effekt ikke er valgt som priselement ovenfor for den pågældende omkostningsgruppe.</a:t>
          </a:r>
        </a:p>
      </xdr:txBody>
    </xdr:sp>
    <xdr:clientData/>
  </xdr:twoCellAnchor>
  <xdr:twoCellAnchor>
    <xdr:from>
      <xdr:col>29</xdr:col>
      <xdr:colOff>483064</xdr:colOff>
      <xdr:row>97</xdr:row>
      <xdr:rowOff>190388</xdr:rowOff>
    </xdr:from>
    <xdr:to>
      <xdr:col>35</xdr:col>
      <xdr:colOff>504241</xdr:colOff>
      <xdr:row>106</xdr:row>
      <xdr:rowOff>50363</xdr:rowOff>
    </xdr:to>
    <xdr:sp macro="" textlink="">
      <xdr:nvSpPr>
        <xdr:cNvPr id="32" name="TextBox 31">
          <a:extLst>
            <a:ext uri="{FF2B5EF4-FFF2-40B4-BE49-F238E27FC236}">
              <a16:creationId xmlns:a16="http://schemas.microsoft.com/office/drawing/2014/main" id="{6E8522FA-508E-4AD6-8E4B-C62EDABC9D10}"/>
            </a:ext>
          </a:extLst>
        </xdr:cNvPr>
        <xdr:cNvSpPr txBox="1"/>
      </xdr:nvSpPr>
      <xdr:spPr>
        <a:xfrm>
          <a:off x="23828839" y="18449813"/>
          <a:ext cx="5736177" cy="157447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værdi i den låste inputcelle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intet er indtastet eller et ikke heltal er indtastet i cellen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476079</xdr:colOff>
      <xdr:row>117</xdr:row>
      <xdr:rowOff>186687</xdr:rowOff>
    </xdr:from>
    <xdr:to>
      <xdr:col>35</xdr:col>
      <xdr:colOff>506781</xdr:colOff>
      <xdr:row>121</xdr:row>
      <xdr:rowOff>39108</xdr:rowOff>
    </xdr:to>
    <xdr:sp macro="" textlink="">
      <xdr:nvSpPr>
        <xdr:cNvPr id="33" name="TextBox 32">
          <a:extLst>
            <a:ext uri="{FF2B5EF4-FFF2-40B4-BE49-F238E27FC236}">
              <a16:creationId xmlns:a16="http://schemas.microsoft.com/office/drawing/2014/main" id="{5F5EAC01-B356-4FC2-B36F-245ECCF66FD8}"/>
            </a:ext>
          </a:extLst>
        </xdr:cNvPr>
        <xdr:cNvSpPr txBox="1"/>
      </xdr:nvSpPr>
      <xdr:spPr>
        <a:xfrm>
          <a:off x="23817932" y="22239863"/>
          <a:ext cx="5745702" cy="614421"/>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værdi i den låste inputcelle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intet er indtastet eller et ikke heltal er indtastet i cellen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486239</xdr:colOff>
      <xdr:row>158</xdr:row>
      <xdr:rowOff>1681</xdr:rowOff>
    </xdr:from>
    <xdr:to>
      <xdr:col>35</xdr:col>
      <xdr:colOff>504876</xdr:colOff>
      <xdr:row>161</xdr:row>
      <xdr:rowOff>85726</xdr:rowOff>
    </xdr:to>
    <xdr:sp macro="" textlink="">
      <xdr:nvSpPr>
        <xdr:cNvPr id="34" name="TextBox 33">
          <a:extLst>
            <a:ext uri="{FF2B5EF4-FFF2-40B4-BE49-F238E27FC236}">
              <a16:creationId xmlns:a16="http://schemas.microsoft.com/office/drawing/2014/main" id="{D74063A0-A7AD-412E-9E5F-465CDAA1B8F8}"/>
            </a:ext>
          </a:extLst>
        </xdr:cNvPr>
        <xdr:cNvSpPr txBox="1"/>
      </xdr:nvSpPr>
      <xdr:spPr>
        <a:xfrm>
          <a:off x="23832014" y="29881606"/>
          <a:ext cx="5733637" cy="65554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værdi i den låste inputcelle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intet er indtastet eller et ikke heltal er indtastet i cellen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475126</xdr:colOff>
      <xdr:row>138</xdr:row>
      <xdr:rowOff>6555</xdr:rowOff>
    </xdr:from>
    <xdr:to>
      <xdr:col>35</xdr:col>
      <xdr:colOff>505828</xdr:colOff>
      <xdr:row>141</xdr:row>
      <xdr:rowOff>37429</xdr:rowOff>
    </xdr:to>
    <xdr:sp macro="" textlink="">
      <xdr:nvSpPr>
        <xdr:cNvPr id="36" name="TextBox 35">
          <a:extLst>
            <a:ext uri="{FF2B5EF4-FFF2-40B4-BE49-F238E27FC236}">
              <a16:creationId xmlns:a16="http://schemas.microsoft.com/office/drawing/2014/main" id="{B4E479E5-8ABC-49A3-A848-B7B5052DD102}"/>
            </a:ext>
          </a:extLst>
        </xdr:cNvPr>
        <xdr:cNvSpPr txBox="1"/>
      </xdr:nvSpPr>
      <xdr:spPr>
        <a:xfrm>
          <a:off x="23816979" y="26060231"/>
          <a:ext cx="5745702" cy="60237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værdi i den låste inputcelle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intet er indtastet eller et ikke heltal er indtastet i cellen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524171</xdr:colOff>
      <xdr:row>182</xdr:row>
      <xdr:rowOff>728</xdr:rowOff>
    </xdr:from>
    <xdr:to>
      <xdr:col>35</xdr:col>
      <xdr:colOff>545348</xdr:colOff>
      <xdr:row>188</xdr:row>
      <xdr:rowOff>129628</xdr:rowOff>
    </xdr:to>
    <xdr:sp macro="" textlink="">
      <xdr:nvSpPr>
        <xdr:cNvPr id="37" name="TextBox 36">
          <a:extLst>
            <a:ext uri="{FF2B5EF4-FFF2-40B4-BE49-F238E27FC236}">
              <a16:creationId xmlns:a16="http://schemas.microsoft.com/office/drawing/2014/main" id="{2C712ABC-896B-4716-9A83-60812FED0225}"/>
            </a:ext>
          </a:extLst>
        </xdr:cNvPr>
        <xdr:cNvSpPr txBox="1"/>
      </xdr:nvSpPr>
      <xdr:spPr>
        <a:xfrm>
          <a:off x="23869946" y="34452653"/>
          <a:ext cx="5736177" cy="12719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værdi i den låste inputcelle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intet er indtastet eller et ikke heltal er indtastet i cellen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513900</xdr:colOff>
      <xdr:row>201</xdr:row>
      <xdr:rowOff>188707</xdr:rowOff>
    </xdr:from>
    <xdr:to>
      <xdr:col>35</xdr:col>
      <xdr:colOff>535077</xdr:colOff>
      <xdr:row>204</xdr:row>
      <xdr:rowOff>100853</xdr:rowOff>
    </xdr:to>
    <xdr:sp macro="" textlink="">
      <xdr:nvSpPr>
        <xdr:cNvPr id="38" name="TextBox 37">
          <a:extLst>
            <a:ext uri="{FF2B5EF4-FFF2-40B4-BE49-F238E27FC236}">
              <a16:creationId xmlns:a16="http://schemas.microsoft.com/office/drawing/2014/main" id="{32EEA7EC-4ACC-43FA-A9EF-B50784E07162}"/>
            </a:ext>
          </a:extLst>
        </xdr:cNvPr>
        <xdr:cNvSpPr txBox="1"/>
      </xdr:nvSpPr>
      <xdr:spPr>
        <a:xfrm>
          <a:off x="23855753" y="38243883"/>
          <a:ext cx="5736177" cy="483646"/>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værdi i den låste inputcelle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intet er indtastet eller et ikke heltal er indtastet i cellen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515805</xdr:colOff>
      <xdr:row>268</xdr:row>
      <xdr:rowOff>5491</xdr:rowOff>
    </xdr:from>
    <xdr:to>
      <xdr:col>35</xdr:col>
      <xdr:colOff>536982</xdr:colOff>
      <xdr:row>272</xdr:row>
      <xdr:rowOff>33378</xdr:rowOff>
    </xdr:to>
    <xdr:sp macro="" textlink="">
      <xdr:nvSpPr>
        <xdr:cNvPr id="39" name="TextBox 38">
          <a:extLst>
            <a:ext uri="{FF2B5EF4-FFF2-40B4-BE49-F238E27FC236}">
              <a16:creationId xmlns:a16="http://schemas.microsoft.com/office/drawing/2014/main" id="{43F299E3-243A-47BB-ACA2-B8E2F0C9017F}"/>
            </a:ext>
          </a:extLst>
        </xdr:cNvPr>
        <xdr:cNvSpPr txBox="1"/>
      </xdr:nvSpPr>
      <xdr:spPr>
        <a:xfrm>
          <a:off x="23857658" y="50824167"/>
          <a:ext cx="5736177" cy="789887"/>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enten, at der højere oppe i arket er valgt "Abonnement" som priselement, men der i listen til venstre ikke er valgt "Ej relevant", eller at der til venstre er valgt "Ej relevant", selvom der højere oppe i arket er valgt "Tarif" eller "Tarif/effekt".</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513900</xdr:colOff>
      <xdr:row>289</xdr:row>
      <xdr:rowOff>171674</xdr:rowOff>
    </xdr:from>
    <xdr:to>
      <xdr:col>35</xdr:col>
      <xdr:colOff>535077</xdr:colOff>
      <xdr:row>293</xdr:row>
      <xdr:rowOff>161774</xdr:rowOff>
    </xdr:to>
    <xdr:sp macro="" textlink="">
      <xdr:nvSpPr>
        <xdr:cNvPr id="40" name="TextBox 39">
          <a:extLst>
            <a:ext uri="{FF2B5EF4-FFF2-40B4-BE49-F238E27FC236}">
              <a16:creationId xmlns:a16="http://schemas.microsoft.com/office/drawing/2014/main" id="{C81C6A2D-2149-4A45-99A1-0A9B54664AA4}"/>
            </a:ext>
          </a:extLst>
        </xdr:cNvPr>
        <xdr:cNvSpPr txBox="1"/>
      </xdr:nvSpPr>
      <xdr:spPr>
        <a:xfrm>
          <a:off x="23855753" y="54800350"/>
          <a:ext cx="5736177" cy="7521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enten, at der højere oppe i arket er valgt "Abonnement" som priselement, men der i listen til venstre er valgt "Ja", eller at der højere oppe i arket ikke er valgt "Abonnement", men der til venstre vælges "Nej" til vandfald.</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514852</xdr:colOff>
      <xdr:row>310</xdr:row>
      <xdr:rowOff>1682</xdr:rowOff>
    </xdr:from>
    <xdr:to>
      <xdr:col>35</xdr:col>
      <xdr:colOff>536029</xdr:colOff>
      <xdr:row>314</xdr:row>
      <xdr:rowOff>122705</xdr:rowOff>
    </xdr:to>
    <xdr:sp macro="" textlink="">
      <xdr:nvSpPr>
        <xdr:cNvPr id="41" name="TextBox 40">
          <a:extLst>
            <a:ext uri="{FF2B5EF4-FFF2-40B4-BE49-F238E27FC236}">
              <a16:creationId xmlns:a16="http://schemas.microsoft.com/office/drawing/2014/main" id="{85393F13-7130-40B8-A4EE-A59C614090F9}"/>
            </a:ext>
          </a:extLst>
        </xdr:cNvPr>
        <xdr:cNvSpPr txBox="1"/>
      </xdr:nvSpPr>
      <xdr:spPr>
        <a:xfrm>
          <a:off x="23851102" y="58634861"/>
          <a:ext cx="5736177" cy="883023"/>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eller flere værdier i de låste inputceller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er indtastet 0 eller intet er indtastet i en eller flere af inputcellerne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514852</xdr:colOff>
      <xdr:row>348</xdr:row>
      <xdr:rowOff>179293</xdr:rowOff>
    </xdr:from>
    <xdr:to>
      <xdr:col>35</xdr:col>
      <xdr:colOff>532219</xdr:colOff>
      <xdr:row>352</xdr:row>
      <xdr:rowOff>137293</xdr:rowOff>
    </xdr:to>
    <xdr:sp macro="" textlink="">
      <xdr:nvSpPr>
        <xdr:cNvPr id="42" name="TextBox 41">
          <a:extLst>
            <a:ext uri="{FF2B5EF4-FFF2-40B4-BE49-F238E27FC236}">
              <a16:creationId xmlns:a16="http://schemas.microsoft.com/office/drawing/2014/main" id="{AD06C4F5-F5ED-485A-B75C-0D653187F4D4}"/>
            </a:ext>
          </a:extLst>
        </xdr:cNvPr>
        <xdr:cNvSpPr txBox="1"/>
      </xdr:nvSpPr>
      <xdr:spPr>
        <a:xfrm>
          <a:off x="23856705" y="66047469"/>
          <a:ext cx="5732367" cy="720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eller flere værdier i de låste inputceller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aseline="0">
              <a:solidFill>
                <a:srgbClr val="D6A300"/>
              </a:solidFill>
            </a:rPr>
            <a:t>kontrol</a:t>
          </a:r>
          <a:r>
            <a:rPr lang="da-DK" sz="900" baseline="0">
              <a:solidFill>
                <a:schemeClr val="tx1"/>
              </a:solidFill>
            </a:rPr>
            <a:t> i kolonne M skyldes det, at der enten er indtastet 0 eller intet er indtastet i en eller flere af inputcellerne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513900</xdr:colOff>
      <xdr:row>353</xdr:row>
      <xdr:rowOff>190499</xdr:rowOff>
    </xdr:from>
    <xdr:to>
      <xdr:col>35</xdr:col>
      <xdr:colOff>535077</xdr:colOff>
      <xdr:row>357</xdr:row>
      <xdr:rowOff>148499</xdr:rowOff>
    </xdr:to>
    <xdr:sp macro="" textlink="">
      <xdr:nvSpPr>
        <xdr:cNvPr id="43" name="TextBox 42">
          <a:extLst>
            <a:ext uri="{FF2B5EF4-FFF2-40B4-BE49-F238E27FC236}">
              <a16:creationId xmlns:a16="http://schemas.microsoft.com/office/drawing/2014/main" id="{ADE4CD91-1937-48A8-9379-5E418C626560}"/>
            </a:ext>
          </a:extLst>
        </xdr:cNvPr>
        <xdr:cNvSpPr txBox="1"/>
      </xdr:nvSpPr>
      <xdr:spPr>
        <a:xfrm>
          <a:off x="23855753" y="67011175"/>
          <a:ext cx="5736177" cy="720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eller flere værdier i de låste inputceller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er indtastet 0 eller intet er indtastet i en eller flere af inputcellerne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29</xdr:col>
      <xdr:colOff>517710</xdr:colOff>
      <xdr:row>411</xdr:row>
      <xdr:rowOff>15017</xdr:rowOff>
    </xdr:from>
    <xdr:to>
      <xdr:col>35</xdr:col>
      <xdr:colOff>538887</xdr:colOff>
      <xdr:row>414</xdr:row>
      <xdr:rowOff>135481</xdr:rowOff>
    </xdr:to>
    <xdr:sp macro="" textlink="">
      <xdr:nvSpPr>
        <xdr:cNvPr id="45" name="TextBox 44">
          <a:extLst>
            <a:ext uri="{FF2B5EF4-FFF2-40B4-BE49-F238E27FC236}">
              <a16:creationId xmlns:a16="http://schemas.microsoft.com/office/drawing/2014/main" id="{3490CED2-C28A-4A43-BD7B-9C1F3928332E}"/>
            </a:ext>
          </a:extLst>
        </xdr:cNvPr>
        <xdr:cNvSpPr txBox="1"/>
      </xdr:nvSpPr>
      <xdr:spPr>
        <a:xfrm>
          <a:off x="23859563" y="77884693"/>
          <a:ext cx="5736177" cy="69196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0" i="0" baseline="0">
              <a:solidFill>
                <a:schemeClr val="tx1"/>
              </a:solidFill>
            </a:rPr>
            <a:t>Hvis </a:t>
          </a:r>
          <a:r>
            <a:rPr lang="da-DK" sz="900" b="1" i="0" baseline="0">
              <a:solidFill>
                <a:srgbClr val="D6A300"/>
              </a:solidFill>
            </a:rPr>
            <a:t>kontrol</a:t>
          </a:r>
          <a:r>
            <a:rPr lang="da-DK" sz="900" b="0" i="0" baseline="0">
              <a:solidFill>
                <a:schemeClr val="tx1"/>
              </a:solidFill>
            </a:rPr>
            <a:t> i kolonne M skyldes det, at der for kundekategori C for et givet tidspunkt om vinteren er valgt et andet lastniveau for weekender og helligdage end for hverdage.</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xdr:txBody>
    </xdr:sp>
    <xdr:clientData/>
  </xdr:twoCellAnchor>
  <xdr:twoCellAnchor>
    <xdr:from>
      <xdr:col>29</xdr:col>
      <xdr:colOff>513900</xdr:colOff>
      <xdr:row>437</xdr:row>
      <xdr:rowOff>22413</xdr:rowOff>
    </xdr:from>
    <xdr:to>
      <xdr:col>35</xdr:col>
      <xdr:colOff>535077</xdr:colOff>
      <xdr:row>441</xdr:row>
      <xdr:rowOff>59617</xdr:rowOff>
    </xdr:to>
    <xdr:sp macro="" textlink="">
      <xdr:nvSpPr>
        <xdr:cNvPr id="46" name="TextBox 45">
          <a:extLst>
            <a:ext uri="{FF2B5EF4-FFF2-40B4-BE49-F238E27FC236}">
              <a16:creationId xmlns:a16="http://schemas.microsoft.com/office/drawing/2014/main" id="{D8501E55-BB60-46ED-A559-E63B7EE95023}"/>
            </a:ext>
          </a:extLst>
        </xdr:cNvPr>
        <xdr:cNvSpPr txBox="1"/>
      </xdr:nvSpPr>
      <xdr:spPr>
        <a:xfrm>
          <a:off x="23855753" y="82845089"/>
          <a:ext cx="5736177" cy="79920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0" i="0" baseline="0">
              <a:solidFill>
                <a:schemeClr val="tx1"/>
              </a:solidFill>
            </a:rPr>
            <a:t>Hvis </a:t>
          </a:r>
          <a:r>
            <a:rPr lang="da-DK" sz="900" b="1" i="0" baseline="0">
              <a:solidFill>
                <a:srgbClr val="D6A300"/>
              </a:solidFill>
            </a:rPr>
            <a:t>kontrol</a:t>
          </a:r>
          <a:r>
            <a:rPr lang="da-DK" sz="900" b="0" i="0" baseline="0">
              <a:solidFill>
                <a:schemeClr val="tx1"/>
              </a:solidFill>
            </a:rPr>
            <a:t> i kolonne M skyldes det, at der for kundekategori C for et givet tidspunkt om sommeren er valgt et andet lastniveau for weekender og helligdage end for hverdage.</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i="0" baseline="0">
            <a:solidFill>
              <a:schemeClr val="tx1"/>
            </a:solidFill>
          </a:endParaRPr>
        </a:p>
      </xdr:txBody>
    </xdr:sp>
    <xdr:clientData/>
  </xdr:twoCellAnchor>
  <xdr:oneCellAnchor>
    <xdr:from>
      <xdr:col>23</xdr:col>
      <xdr:colOff>315320</xdr:colOff>
      <xdr:row>20</xdr:row>
      <xdr:rowOff>190279</xdr:rowOff>
    </xdr:from>
    <xdr:ext cx="5384759" cy="706416"/>
    <xdr:sp macro="" textlink="">
      <xdr:nvSpPr>
        <xdr:cNvPr id="47" name="TextBox 46">
          <a:extLst>
            <a:ext uri="{FF2B5EF4-FFF2-40B4-BE49-F238E27FC236}">
              <a16:creationId xmlns:a16="http://schemas.microsoft.com/office/drawing/2014/main" id="{0790DF60-FBE2-43D3-A0B6-376D0BBCCC02}"/>
            </a:ext>
          </a:extLst>
        </xdr:cNvPr>
        <xdr:cNvSpPr txBox="1"/>
      </xdr:nvSpPr>
      <xdr:spPr>
        <a:xfrm>
          <a:off x="13471026" y="3787367"/>
          <a:ext cx="5384759" cy="706416"/>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baseline="0"/>
            <a:t>Her vælges den fordelingsnøgle, der bruges til at fordele et evt. residual af omkostninger, som ikke kan fordeles via direkte fordeling. Fordelingsnøglen for posten 5.2 fastsættes af netselskabet i "2.3 Selskabsspecifikke input". Alle omkostninger for 6.1 og 6.2 skal fordeles direkte, og derfor er det heller ikke muligt at vælge fordelingsnøgler for disse.</a:t>
          </a:r>
          <a:endParaRPr lang="da-DK" sz="900" b="0" i="1" baseline="0">
            <a:solidFill>
              <a:srgbClr val="FF0000"/>
            </a:solidFill>
          </a:endParaRPr>
        </a:p>
      </xdr:txBody>
    </xdr:sp>
    <xdr:clientData/>
  </xdr:oneCellAnchor>
  <xdr:twoCellAnchor editAs="oneCell">
    <xdr:from>
      <xdr:col>1</xdr:col>
      <xdr:colOff>95250</xdr:colOff>
      <xdr:row>3</xdr:row>
      <xdr:rowOff>95250</xdr:rowOff>
    </xdr:from>
    <xdr:to>
      <xdr:col>4</xdr:col>
      <xdr:colOff>1236188</xdr:colOff>
      <xdr:row>7</xdr:row>
      <xdr:rowOff>130896</xdr:rowOff>
    </xdr:to>
    <xdr:pic>
      <xdr:nvPicPr>
        <xdr:cNvPr id="49" name="Picture 48">
          <a:extLst>
            <a:ext uri="{FF2B5EF4-FFF2-40B4-BE49-F238E27FC236}">
              <a16:creationId xmlns:a16="http://schemas.microsoft.com/office/drawing/2014/main" id="{CC5DBBBA-0FCC-4B3B-B1BB-7946D41856E8}"/>
            </a:ext>
          </a:extLst>
        </xdr:cNvPr>
        <xdr:cNvPicPr>
          <a:picLocks noChangeAspect="1"/>
        </xdr:cNvPicPr>
      </xdr:nvPicPr>
      <xdr:blipFill>
        <a:blip xmlns:r="http://schemas.openxmlformats.org/officeDocument/2006/relationships" r:embed="rId1"/>
        <a:stretch>
          <a:fillRect/>
        </a:stretch>
      </xdr:blipFill>
      <xdr:spPr>
        <a:xfrm>
          <a:off x="171450" y="590550"/>
          <a:ext cx="1852138" cy="791296"/>
        </a:xfrm>
        <a:prstGeom prst="rect">
          <a:avLst/>
        </a:prstGeom>
      </xdr:spPr>
    </xdr:pic>
    <xdr:clientData/>
  </xdr:twoCellAnchor>
  <xdr:twoCellAnchor>
    <xdr:from>
      <xdr:col>23</xdr:col>
      <xdr:colOff>244509</xdr:colOff>
      <xdr:row>225</xdr:row>
      <xdr:rowOff>188706</xdr:rowOff>
    </xdr:from>
    <xdr:to>
      <xdr:col>29</xdr:col>
      <xdr:colOff>265685</xdr:colOff>
      <xdr:row>229</xdr:row>
      <xdr:rowOff>45906</xdr:rowOff>
    </xdr:to>
    <xdr:sp macro="" textlink="">
      <xdr:nvSpPr>
        <xdr:cNvPr id="44" name="TextBox 43">
          <a:extLst>
            <a:ext uri="{FF2B5EF4-FFF2-40B4-BE49-F238E27FC236}">
              <a16:creationId xmlns:a16="http://schemas.microsoft.com/office/drawing/2014/main" id="{55A0D19F-9C19-4676-ABFC-D79602E106F2}"/>
            </a:ext>
          </a:extLst>
        </xdr:cNvPr>
        <xdr:cNvSpPr txBox="1"/>
      </xdr:nvSpPr>
      <xdr:spPr>
        <a:xfrm>
          <a:off x="17871362" y="42815882"/>
          <a:ext cx="5736176" cy="6192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aseline="0">
              <a:solidFill>
                <a:schemeClr val="tx1"/>
              </a:solidFill>
            </a:rPr>
            <a:t>For indfødningstariffer betales der for hver omkostningspost for en enkelt byggeklods for de omkostningsposter der vedrører indfødningstariffer.</a:t>
          </a:r>
        </a:p>
      </xdr:txBody>
    </xdr:sp>
    <xdr:clientData/>
  </xdr:twoCellAnchor>
  <xdr:twoCellAnchor>
    <xdr:from>
      <xdr:col>29</xdr:col>
      <xdr:colOff>513900</xdr:colOff>
      <xdr:row>225</xdr:row>
      <xdr:rowOff>188707</xdr:rowOff>
    </xdr:from>
    <xdr:to>
      <xdr:col>35</xdr:col>
      <xdr:colOff>535077</xdr:colOff>
      <xdr:row>229</xdr:row>
      <xdr:rowOff>45568</xdr:rowOff>
    </xdr:to>
    <xdr:sp macro="" textlink="">
      <xdr:nvSpPr>
        <xdr:cNvPr id="48" name="TextBox 47">
          <a:extLst>
            <a:ext uri="{FF2B5EF4-FFF2-40B4-BE49-F238E27FC236}">
              <a16:creationId xmlns:a16="http://schemas.microsoft.com/office/drawing/2014/main" id="{9BDD63D8-E136-4CDD-BB26-4216BE337684}"/>
            </a:ext>
          </a:extLst>
        </xdr:cNvPr>
        <xdr:cNvSpPr txBox="1"/>
      </xdr:nvSpPr>
      <xdr:spPr>
        <a:xfrm>
          <a:off x="23855753" y="42815883"/>
          <a:ext cx="5736177" cy="618861"/>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værdi i den låste inputcelle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intet er indtastet eller et ikke heltal er indtastet i cellen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23</xdr:col>
      <xdr:colOff>248320</xdr:colOff>
      <xdr:row>320</xdr:row>
      <xdr:rowOff>3586</xdr:rowOff>
    </xdr:from>
    <xdr:to>
      <xdr:col>29</xdr:col>
      <xdr:colOff>258066</xdr:colOff>
      <xdr:row>323</xdr:row>
      <xdr:rowOff>102311</xdr:rowOff>
    </xdr:to>
    <xdr:sp macro="" textlink="">
      <xdr:nvSpPr>
        <xdr:cNvPr id="54" name="TextBox 53">
          <a:extLst>
            <a:ext uri="{FF2B5EF4-FFF2-40B4-BE49-F238E27FC236}">
              <a16:creationId xmlns:a16="http://schemas.microsoft.com/office/drawing/2014/main" id="{299AAE5F-2D90-4B9B-85DB-E75EE5993740}"/>
            </a:ext>
          </a:extLst>
        </xdr:cNvPr>
        <xdr:cNvSpPr txBox="1"/>
      </xdr:nvSpPr>
      <xdr:spPr>
        <a:xfrm>
          <a:off x="17875173" y="60537762"/>
          <a:ext cx="5724746" cy="67022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0">
              <a:solidFill>
                <a:schemeClr val="tx1"/>
              </a:solidFill>
            </a:rPr>
            <a:t>Det</a:t>
          </a:r>
          <a:r>
            <a:rPr lang="da-DK" sz="900" b="0" baseline="0">
              <a:solidFill>
                <a:schemeClr val="tx1"/>
              </a:solidFill>
            </a:rPr>
            <a:t> vælges her om en omkostningsgruppe medtages i vandfald. Dette er kun relevant for de omkostningsposter der indgår i indfødningstarifferne.</a:t>
          </a:r>
          <a:endParaRPr lang="da-DK" sz="900" baseline="0">
            <a:solidFill>
              <a:schemeClr val="tx1"/>
            </a:solidFill>
          </a:endParaRPr>
        </a:p>
      </xdr:txBody>
    </xdr:sp>
    <xdr:clientData/>
  </xdr:twoCellAnchor>
  <xdr:twoCellAnchor>
    <xdr:from>
      <xdr:col>29</xdr:col>
      <xdr:colOff>513900</xdr:colOff>
      <xdr:row>320</xdr:row>
      <xdr:rowOff>3586</xdr:rowOff>
    </xdr:from>
    <xdr:to>
      <xdr:col>35</xdr:col>
      <xdr:colOff>535077</xdr:colOff>
      <xdr:row>323</xdr:row>
      <xdr:rowOff>102311</xdr:rowOff>
    </xdr:to>
    <xdr:sp macro="" textlink="">
      <xdr:nvSpPr>
        <xdr:cNvPr id="55" name="TextBox 54">
          <a:extLst>
            <a:ext uri="{FF2B5EF4-FFF2-40B4-BE49-F238E27FC236}">
              <a16:creationId xmlns:a16="http://schemas.microsoft.com/office/drawing/2014/main" id="{AC4F2AF2-E237-44D3-87ED-34324ED8ED48}"/>
            </a:ext>
          </a:extLst>
        </xdr:cNvPr>
        <xdr:cNvSpPr txBox="1"/>
      </xdr:nvSpPr>
      <xdr:spPr>
        <a:xfrm>
          <a:off x="23855753" y="60537762"/>
          <a:ext cx="5736177" cy="67022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enten, at der højere oppe i arket er valgt "Abonnement" som priselement, men der i listen til venstre er valgt "Ja", eller at der højere oppe i arket ikke er valgt "Abonnement", men der til venstre vælges "Nej" til vandfald.</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twoCellAnchor>
    <xdr:from>
      <xdr:col>23</xdr:col>
      <xdr:colOff>244509</xdr:colOff>
      <xdr:row>247</xdr:row>
      <xdr:rowOff>1</xdr:rowOff>
    </xdr:from>
    <xdr:to>
      <xdr:col>29</xdr:col>
      <xdr:colOff>265685</xdr:colOff>
      <xdr:row>250</xdr:row>
      <xdr:rowOff>67236</xdr:rowOff>
    </xdr:to>
    <xdr:sp macro="" textlink="">
      <xdr:nvSpPr>
        <xdr:cNvPr id="56" name="TextBox 55">
          <a:extLst>
            <a:ext uri="{FF2B5EF4-FFF2-40B4-BE49-F238E27FC236}">
              <a16:creationId xmlns:a16="http://schemas.microsoft.com/office/drawing/2014/main" id="{E8819180-C4EE-4DA5-8BF8-AFB98B5E573C}"/>
            </a:ext>
          </a:extLst>
        </xdr:cNvPr>
        <xdr:cNvSpPr txBox="1"/>
      </xdr:nvSpPr>
      <xdr:spPr>
        <a:xfrm>
          <a:off x="17871362" y="46818177"/>
          <a:ext cx="5736176" cy="63873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solidFill>
                <a:schemeClr val="tx1"/>
              </a:solidFill>
            </a:rPr>
            <a:t>Beskrivelse: </a:t>
          </a:r>
          <a:r>
            <a:rPr lang="da-DK" sz="900" b="0">
              <a:solidFill>
                <a:schemeClr val="tx1"/>
              </a:solidFill>
            </a:rPr>
            <a:t>I denne sektion fastsættes for</a:t>
          </a:r>
          <a:r>
            <a:rPr lang="da-DK" sz="900" b="0" baseline="0">
              <a:solidFill>
                <a:schemeClr val="tx1"/>
              </a:solidFill>
            </a:rPr>
            <a:t> hver omkostningspost, fordelt på spændingsniveauer/kundekategorier, om omkostningsposterne indgår i beregningen af indfødningstarifferne. For omkostningsposterne relateret til B-lav og C vedrører disse udelukkende om omkostningsposterne indgår i beregningen af vandfald.</a:t>
          </a:r>
          <a:endParaRPr lang="da-DK" sz="900" baseline="0">
            <a:solidFill>
              <a:schemeClr val="tx1"/>
            </a:solidFill>
          </a:endParaRPr>
        </a:p>
      </xdr:txBody>
    </xdr:sp>
    <xdr:clientData/>
  </xdr:twoCellAnchor>
  <xdr:twoCellAnchor>
    <xdr:from>
      <xdr:col>23</xdr:col>
      <xdr:colOff>304413</xdr:colOff>
      <xdr:row>40</xdr:row>
      <xdr:rowOff>187325</xdr:rowOff>
    </xdr:from>
    <xdr:to>
      <xdr:col>29</xdr:col>
      <xdr:colOff>321779</xdr:colOff>
      <xdr:row>43</xdr:row>
      <xdr:rowOff>76200</xdr:rowOff>
    </xdr:to>
    <xdr:sp macro="" textlink="">
      <xdr:nvSpPr>
        <xdr:cNvPr id="52" name="TextBox 51">
          <a:extLst>
            <a:ext uri="{FF2B5EF4-FFF2-40B4-BE49-F238E27FC236}">
              <a16:creationId xmlns:a16="http://schemas.microsoft.com/office/drawing/2014/main" id="{837BC908-851D-431A-993C-7E404EAD1632}"/>
            </a:ext>
          </a:extLst>
        </xdr:cNvPr>
        <xdr:cNvSpPr txBox="1"/>
      </xdr:nvSpPr>
      <xdr:spPr>
        <a:xfrm>
          <a:off x="17935188" y="7607300"/>
          <a:ext cx="5732366" cy="46037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t>Beskrivelse:  </a:t>
          </a:r>
          <a:r>
            <a:rPr lang="da-DK" sz="900" b="0"/>
            <a:t>Der</a:t>
          </a:r>
          <a:r>
            <a:rPr lang="da-DK" sz="900" b="0" baseline="0"/>
            <a:t> indtastes hvor stor andel af A-højs omkostninger relateret til omkostningspost 1.2 og 4.2 der skal allokeres til A-høj+,maske. Her har Green Power Denmark prædefineret den benyttede andel til at være på 45%.</a:t>
          </a:r>
          <a:endParaRPr lang="da-DK" sz="900" baseline="0">
            <a:solidFill>
              <a:srgbClr val="FF0000"/>
            </a:solidFill>
          </a:endParaRPr>
        </a:p>
      </xdr:txBody>
    </xdr:sp>
    <xdr:clientData/>
  </xdr:twoCellAnchor>
  <xdr:twoCellAnchor>
    <xdr:from>
      <xdr:col>29</xdr:col>
      <xdr:colOff>514852</xdr:colOff>
      <xdr:row>336</xdr:row>
      <xdr:rowOff>98424</xdr:rowOff>
    </xdr:from>
    <xdr:to>
      <xdr:col>35</xdr:col>
      <xdr:colOff>526504</xdr:colOff>
      <xdr:row>341</xdr:row>
      <xdr:rowOff>22597</xdr:rowOff>
    </xdr:to>
    <xdr:sp macro="" textlink="">
      <xdr:nvSpPr>
        <xdr:cNvPr id="53" name="TextBox 52">
          <a:extLst>
            <a:ext uri="{FF2B5EF4-FFF2-40B4-BE49-F238E27FC236}">
              <a16:creationId xmlns:a16="http://schemas.microsoft.com/office/drawing/2014/main" id="{8FF83169-339F-4F65-BFF6-C50AE3449F75}"/>
            </a:ext>
          </a:extLst>
        </xdr:cNvPr>
        <xdr:cNvSpPr txBox="1"/>
      </xdr:nvSpPr>
      <xdr:spPr>
        <a:xfrm>
          <a:off x="23851102" y="63684603"/>
          <a:ext cx="5726652" cy="876673"/>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FF0000"/>
              </a:solidFill>
            </a:rPr>
            <a:t>fejl</a:t>
          </a:r>
          <a:r>
            <a:rPr lang="da-DK" sz="900" baseline="0">
              <a:solidFill>
                <a:schemeClr val="tx1"/>
              </a:solidFill>
            </a:rPr>
            <a:t> i kolonne L skyldes det, at en eller flere værdier i de låste inputceller i rækken er indtastet som negativ eller indeholder tekst.</a:t>
          </a:r>
        </a:p>
        <a:p>
          <a:pPr marL="0" marR="0" lvl="0" indent="0" defTabSz="914400" rtl="0" eaLnBrk="1" fontAlgn="auto" latinLnBrk="0" hangingPunct="1">
            <a:lnSpc>
              <a:spcPct val="100000"/>
            </a:lnSpc>
            <a:spcBef>
              <a:spcPts val="0"/>
            </a:spcBef>
            <a:spcAft>
              <a:spcPts val="0"/>
            </a:spcAft>
            <a:buClrTx/>
            <a:buSzTx/>
            <a:buFontTx/>
            <a:buNone/>
            <a:tabLst/>
            <a:defRPr/>
          </a:pPr>
          <a:r>
            <a:rPr lang="da-DK" sz="900" baseline="0">
              <a:solidFill>
                <a:schemeClr val="tx1"/>
              </a:solidFill>
            </a:rPr>
            <a:t>Hvis </a:t>
          </a:r>
          <a:r>
            <a:rPr lang="da-DK" sz="900" b="1" baseline="0">
              <a:solidFill>
                <a:srgbClr val="D6A300"/>
              </a:solidFill>
            </a:rPr>
            <a:t>kontrol</a:t>
          </a:r>
          <a:r>
            <a:rPr lang="da-DK" sz="900" baseline="0">
              <a:solidFill>
                <a:schemeClr val="tx1"/>
              </a:solidFill>
            </a:rPr>
            <a:t> i kolonne M skyldes det, at der enten er indtastet 0 eller intet er indtastet i en eller flere af inputcellerne  i rækken. </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aseline="0">
            <a:solidFill>
              <a:schemeClr val="tx1"/>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265005</xdr:colOff>
      <xdr:row>26</xdr:row>
      <xdr:rowOff>186694</xdr:rowOff>
    </xdr:from>
    <xdr:to>
      <xdr:col>31</xdr:col>
      <xdr:colOff>265225</xdr:colOff>
      <xdr:row>31</xdr:row>
      <xdr:rowOff>178028</xdr:rowOff>
    </xdr:to>
    <xdr:sp macro="" textlink="">
      <xdr:nvSpPr>
        <xdr:cNvPr id="4" name="TextBox 3">
          <a:extLst>
            <a:ext uri="{FF2B5EF4-FFF2-40B4-BE49-F238E27FC236}">
              <a16:creationId xmlns:a16="http://schemas.microsoft.com/office/drawing/2014/main" id="{746206ED-2BD4-43C8-BEAD-39DE8587E323}"/>
            </a:ext>
          </a:extLst>
        </xdr:cNvPr>
        <xdr:cNvSpPr txBox="1"/>
      </xdr:nvSpPr>
      <xdr:spPr>
        <a:xfrm>
          <a:off x="22150093" y="3783782"/>
          <a:ext cx="5715220" cy="94383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i="0"/>
            <a:t>Beskrivelse: </a:t>
          </a:r>
          <a:r>
            <a:rPr lang="da-DK" sz="900" b="0" i="0"/>
            <a:t>Her indtastes tilslutningsbidrag pr. kundekategori.</a:t>
          </a:r>
          <a:endParaRPr lang="da-DK" sz="900" b="1" i="0"/>
        </a:p>
        <a:p>
          <a:r>
            <a:rPr lang="da-DK" sz="900" b="1" i="1"/>
            <a:t>Bemærk: </a:t>
          </a:r>
          <a:r>
            <a:rPr lang="da-DK" sz="900" b="0" i="1"/>
            <a:t>Der</a:t>
          </a:r>
          <a:r>
            <a:rPr lang="da-DK" sz="900" b="0" i="1" baseline="0"/>
            <a:t> gælder for A0-kunder, at de ikke længere tariferes særskilt fra almindeligt forbrug. I stedet skal A0-kunder betale et abonnement ækvivalent med det tilsvarende abonnement for A-høj-kunder. For A0-kunder indtastes blot i kolonne P (A-høj kunder) sammen med A-høj kunder på nær for antal installationer i række 228-235. A0 er med for fuldstændighedens skyld og opkræves kun et abonnement som følge af måleopgaven.</a:t>
          </a:r>
          <a:endParaRPr lang="da-DK" sz="900" b="1" i="1"/>
        </a:p>
      </xdr:txBody>
    </xdr:sp>
    <xdr:clientData/>
  </xdr:twoCellAnchor>
  <xdr:twoCellAnchor>
    <xdr:from>
      <xdr:col>25</xdr:col>
      <xdr:colOff>265005</xdr:colOff>
      <xdr:row>58</xdr:row>
      <xdr:rowOff>3860</xdr:rowOff>
    </xdr:from>
    <xdr:to>
      <xdr:col>31</xdr:col>
      <xdr:colOff>267130</xdr:colOff>
      <xdr:row>69</xdr:row>
      <xdr:rowOff>35297</xdr:rowOff>
    </xdr:to>
    <xdr:sp macro="" textlink="">
      <xdr:nvSpPr>
        <xdr:cNvPr id="5" name="TextBox 4">
          <a:extLst>
            <a:ext uri="{FF2B5EF4-FFF2-40B4-BE49-F238E27FC236}">
              <a16:creationId xmlns:a16="http://schemas.microsoft.com/office/drawing/2014/main" id="{8C66986D-5799-4EFD-99AC-F6D595F0AFFD}"/>
            </a:ext>
          </a:extLst>
        </xdr:cNvPr>
        <xdr:cNvSpPr txBox="1"/>
      </xdr:nvSpPr>
      <xdr:spPr>
        <a:xfrm>
          <a:off x="22150093" y="10649448"/>
          <a:ext cx="5717125" cy="2126937"/>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t>Beskrivelse: </a:t>
          </a:r>
          <a:r>
            <a:rPr lang="da-DK" sz="900">
              <a:solidFill>
                <a:schemeClr val="dk1"/>
              </a:solidFill>
              <a:effectLst/>
              <a:latin typeface="+mn-lt"/>
              <a:ea typeface="+mn-ea"/>
              <a:cs typeface="+mn-cs"/>
            </a:rPr>
            <a:t>Det er Green</a:t>
          </a:r>
          <a:r>
            <a:rPr lang="da-DK" sz="900" baseline="0">
              <a:solidFill>
                <a:schemeClr val="dk1"/>
              </a:solidFill>
              <a:effectLst/>
              <a:latin typeface="+mn-lt"/>
              <a:ea typeface="+mn-ea"/>
              <a:cs typeface="+mn-cs"/>
            </a:rPr>
            <a:t> Power Denmark</a:t>
          </a:r>
          <a:r>
            <a:rPr lang="da-DK" sz="900">
              <a:solidFill>
                <a:schemeClr val="dk1"/>
              </a:solidFill>
              <a:effectLst/>
              <a:latin typeface="+mn-lt"/>
              <a:ea typeface="+mn-ea"/>
              <a:cs typeface="+mn-cs"/>
            </a:rPr>
            <a:t>s anbefaling, at størstedelen af posterne så vidt muligt fordeles direkte ud på kundekategorierne. Såfremt det ikke ønskes at foretage en fuldstændig eller delvis fuldstændig direkte fordeling af den pågældende post ud på kundekategorier anvendes en fordelingsnøgle til at fordele omkostningsposten (evt. alene den rest, der ikke er direkte fordelt). For omkostningsposter,</a:t>
          </a:r>
          <a:r>
            <a:rPr lang="da-DK" sz="900" baseline="0">
              <a:solidFill>
                <a:schemeClr val="dk1"/>
              </a:solidFill>
              <a:effectLst/>
              <a:latin typeface="+mn-lt"/>
              <a:ea typeface="+mn-ea"/>
              <a:cs typeface="+mn-cs"/>
            </a:rPr>
            <a:t> der dækkes over abonnement, bør man være ekstra varsom, hvis der indtastes under direkte fordeling. Derfor er disse celler skraveret, når cellen er tom eller indeholder værdien 0. </a:t>
          </a:r>
          <a:endParaRPr lang="da-DK" sz="900">
            <a:effectLst/>
          </a:endParaRPr>
        </a:p>
        <a:p>
          <a:endParaRPr lang="da-DK" sz="900"/>
        </a:p>
        <a:p>
          <a:r>
            <a:rPr lang="da-DK" sz="900"/>
            <a:t>De</a:t>
          </a:r>
          <a:r>
            <a:rPr lang="da-DK" sz="900" baseline="0"/>
            <a:t> totale budgetterede omkostninger for en given post indtastes i kolonne N. De omkostninger, som ønskes at fordeles direkte indtastes i kolonne R til V. Et evt. residual efter direkte fordeling bliver fordelt vha. en fordelingsnøgle. </a:t>
          </a:r>
          <a:r>
            <a:rPr lang="da-DK" sz="900" baseline="0">
              <a:solidFill>
                <a:schemeClr val="tx1"/>
              </a:solidFill>
            </a:rPr>
            <a:t>Der skal ikke indtastes for A-høj (inkl. A0), B-høj og C for omkostninger til post 1.1, post 4.1 og post 6.1. Der skal desuden ikke indtastes for A-lav og B-lav for omkostninger til post 1.2, 1.3, 4.2 og 6.2. </a:t>
          </a:r>
        </a:p>
        <a:p>
          <a:endParaRPr lang="da-DK" sz="900" baseline="0">
            <a:solidFill>
              <a:schemeClr val="tx1"/>
            </a:solidFill>
          </a:endParaRPr>
        </a:p>
        <a:p>
          <a:r>
            <a:rPr lang="da-DK" sz="900" baseline="0">
              <a:solidFill>
                <a:schemeClr val="tx1"/>
              </a:solidFill>
            </a:rPr>
            <a:t>Hjælp til fordeling af de budgetterede omkostninger for omkostningsposterne 1.1, 1.2, 4.1 og 4.2 mellem forbrug og indfødning kan findes i hjælpearket, fall-back metoden</a:t>
          </a:r>
        </a:p>
      </xdr:txBody>
    </xdr:sp>
    <xdr:clientData/>
  </xdr:twoCellAnchor>
  <xdr:twoCellAnchor>
    <xdr:from>
      <xdr:col>25</xdr:col>
      <xdr:colOff>265005</xdr:colOff>
      <xdr:row>32</xdr:row>
      <xdr:rowOff>163548</xdr:rowOff>
    </xdr:from>
    <xdr:to>
      <xdr:col>31</xdr:col>
      <xdr:colOff>267130</xdr:colOff>
      <xdr:row>36</xdr:row>
      <xdr:rowOff>69192</xdr:rowOff>
    </xdr:to>
    <xdr:sp macro="" textlink="">
      <xdr:nvSpPr>
        <xdr:cNvPr id="12" name="TextBox 11">
          <a:extLst>
            <a:ext uri="{FF2B5EF4-FFF2-40B4-BE49-F238E27FC236}">
              <a16:creationId xmlns:a16="http://schemas.microsoft.com/office/drawing/2014/main" id="{802FE72A-DE54-43F0-9DE4-A4AB035A9CD9}"/>
            </a:ext>
          </a:extLst>
        </xdr:cNvPr>
        <xdr:cNvSpPr txBox="1"/>
      </xdr:nvSpPr>
      <xdr:spPr>
        <a:xfrm>
          <a:off x="22150093" y="3570136"/>
          <a:ext cx="5717125" cy="66764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a:t> Her indtastes den forventede endelige indtægtsramme, dvs. efter justering for effektiviseringskrav, utilstrækkelig leveringskvalitet, dækning af omkostninger til nettab</a:t>
          </a:r>
          <a:r>
            <a:rPr lang="da-DK" sz="900" baseline="0"/>
            <a:t> og</a:t>
          </a:r>
          <a:r>
            <a:rPr lang="da-DK" sz="900"/>
            <a:t> manglende betaling fra elhandelsvirksomheder.</a:t>
          </a:r>
        </a:p>
      </xdr:txBody>
    </xdr:sp>
    <xdr:clientData/>
  </xdr:twoCellAnchor>
  <xdr:twoCellAnchor>
    <xdr:from>
      <xdr:col>25</xdr:col>
      <xdr:colOff>265005</xdr:colOff>
      <xdr:row>37</xdr:row>
      <xdr:rowOff>51537</xdr:rowOff>
    </xdr:from>
    <xdr:to>
      <xdr:col>31</xdr:col>
      <xdr:colOff>276020</xdr:colOff>
      <xdr:row>41</xdr:row>
      <xdr:rowOff>6997</xdr:rowOff>
    </xdr:to>
    <xdr:sp macro="" textlink="">
      <xdr:nvSpPr>
        <xdr:cNvPr id="14" name="TextBox 13">
          <a:extLst>
            <a:ext uri="{FF2B5EF4-FFF2-40B4-BE49-F238E27FC236}">
              <a16:creationId xmlns:a16="http://schemas.microsoft.com/office/drawing/2014/main" id="{5EFD12DD-CCB2-4F9B-A54F-ED17352EC868}"/>
            </a:ext>
          </a:extLst>
        </xdr:cNvPr>
        <xdr:cNvSpPr txBox="1"/>
      </xdr:nvSpPr>
      <xdr:spPr>
        <a:xfrm>
          <a:off x="22150093" y="4410625"/>
          <a:ext cx="5732365" cy="72381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a:t> Positive</a:t>
          </a:r>
          <a:r>
            <a:rPr lang="da-DK" sz="900" baseline="0"/>
            <a:t> værdier</a:t>
          </a:r>
          <a:r>
            <a:rPr lang="da-DK" sz="900"/>
            <a:t> formindsker tariferingsgrundlaget.</a:t>
          </a:r>
          <a:r>
            <a:rPr lang="da-DK" sz="900" baseline="0"/>
            <a:t> Det omvendte gælder for negative tal. For "Omkostninger til overliggende net" er det omvendt.</a:t>
          </a:r>
        </a:p>
        <a:p>
          <a:r>
            <a:rPr lang="da-DK" sz="900" baseline="0"/>
            <a:t>Midlertidig tarifnedsættelse og omkostninger til overliggende net skal altid tastes som positive. Er der negative differencer fra tidligere år (dvs., at man har opkrævet for lidt), skal tallet indtastes som negativt.</a:t>
          </a:r>
          <a:endParaRPr lang="da-DK" sz="900"/>
        </a:p>
      </xdr:txBody>
    </xdr:sp>
    <xdr:clientData/>
  </xdr:twoCellAnchor>
  <xdr:twoCellAnchor>
    <xdr:from>
      <xdr:col>25</xdr:col>
      <xdr:colOff>265005</xdr:colOff>
      <xdr:row>41</xdr:row>
      <xdr:rowOff>186192</xdr:rowOff>
    </xdr:from>
    <xdr:to>
      <xdr:col>31</xdr:col>
      <xdr:colOff>276020</xdr:colOff>
      <xdr:row>44</xdr:row>
      <xdr:rowOff>178197</xdr:rowOff>
    </xdr:to>
    <xdr:sp macro="" textlink="">
      <xdr:nvSpPr>
        <xdr:cNvPr id="15" name="TextBox 14">
          <a:extLst>
            <a:ext uri="{FF2B5EF4-FFF2-40B4-BE49-F238E27FC236}">
              <a16:creationId xmlns:a16="http://schemas.microsoft.com/office/drawing/2014/main" id="{6C92D570-AA5B-4842-904F-FDAD8954881F}"/>
            </a:ext>
          </a:extLst>
        </xdr:cNvPr>
        <xdr:cNvSpPr txBox="1"/>
      </xdr:nvSpPr>
      <xdr:spPr>
        <a:xfrm>
          <a:off x="22150093" y="5307280"/>
          <a:ext cx="5732365" cy="57303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a:t> Tallene skal alle</a:t>
          </a:r>
          <a:r>
            <a:rPr lang="da-DK" sz="900" baseline="0"/>
            <a:t> tastes som positive, eftersom de alle formindsker tariferingsgrundlaget. Bemærk, at provenuet fra rådighedsbetalingen ikke skal inkluderes under særtariffer i denne post.</a:t>
          </a:r>
          <a:endParaRPr lang="da-DK" sz="900"/>
        </a:p>
      </xdr:txBody>
    </xdr:sp>
    <xdr:clientData/>
  </xdr:twoCellAnchor>
  <xdr:twoCellAnchor>
    <xdr:from>
      <xdr:col>25</xdr:col>
      <xdr:colOff>238878</xdr:colOff>
      <xdr:row>188</xdr:row>
      <xdr:rowOff>188617</xdr:rowOff>
    </xdr:from>
    <xdr:to>
      <xdr:col>31</xdr:col>
      <xdr:colOff>240678</xdr:colOff>
      <xdr:row>193</xdr:row>
      <xdr:rowOff>73399</xdr:rowOff>
    </xdr:to>
    <xdr:sp macro="" textlink="">
      <xdr:nvSpPr>
        <xdr:cNvPr id="17" name="TextBox 16">
          <a:extLst>
            <a:ext uri="{FF2B5EF4-FFF2-40B4-BE49-F238E27FC236}">
              <a16:creationId xmlns:a16="http://schemas.microsoft.com/office/drawing/2014/main" id="{3F48E38B-AC5A-4AD5-8EE8-73C80FEC0BCC}"/>
            </a:ext>
          </a:extLst>
        </xdr:cNvPr>
        <xdr:cNvSpPr txBox="1"/>
      </xdr:nvSpPr>
      <xdr:spPr>
        <a:xfrm>
          <a:off x="22123966" y="26029382"/>
          <a:ext cx="5716800" cy="837282"/>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 </a:t>
          </a:r>
          <a:r>
            <a:rPr lang="da-DK" sz="900" b="0"/>
            <a:t>Der skal</a:t>
          </a:r>
          <a:r>
            <a:rPr lang="da-DK" sz="900" b="0" baseline="0"/>
            <a:t> her indtastes den budgetterede leverede mængde dvs. alt det forbrug (i kWh), hvorpå der skal betales en almindelig tidsdifferentieret tarif (bruttotræk fra nettet). Dette skal gøres for det samlede budgetterede forbrug for hverdage i vinter perioden opdelt pr. time. Hjælpeark til fordeling af forbruget baseret på defaultfordelinger kan findes i arket "hjælpeark, forbrugsnøgler" samt en sammenligning af den anvendte fordeling med branchens fordeling.</a:t>
          </a:r>
        </a:p>
        <a:p>
          <a:endParaRPr lang="da-DK" sz="900" b="0" baseline="0"/>
        </a:p>
      </xdr:txBody>
    </xdr:sp>
    <xdr:clientData/>
  </xdr:twoCellAnchor>
  <xdr:twoCellAnchor>
    <xdr:from>
      <xdr:col>25</xdr:col>
      <xdr:colOff>242593</xdr:colOff>
      <xdr:row>216</xdr:row>
      <xdr:rowOff>94747</xdr:rowOff>
    </xdr:from>
    <xdr:to>
      <xdr:col>31</xdr:col>
      <xdr:colOff>218469</xdr:colOff>
      <xdr:row>220</xdr:row>
      <xdr:rowOff>134471</xdr:rowOff>
    </xdr:to>
    <xdr:sp macro="" textlink="">
      <xdr:nvSpPr>
        <xdr:cNvPr id="18" name="TextBox 17">
          <a:extLst>
            <a:ext uri="{FF2B5EF4-FFF2-40B4-BE49-F238E27FC236}">
              <a16:creationId xmlns:a16="http://schemas.microsoft.com/office/drawing/2014/main" id="{73F95C29-0DDC-4074-989E-7344B6DD960F}"/>
            </a:ext>
          </a:extLst>
        </xdr:cNvPr>
        <xdr:cNvSpPr txBox="1"/>
      </xdr:nvSpPr>
      <xdr:spPr>
        <a:xfrm>
          <a:off x="22127681" y="30115306"/>
          <a:ext cx="5690876" cy="80172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 </a:t>
          </a:r>
          <a:r>
            <a:rPr lang="da-DK" sz="900" b="0"/>
            <a:t>Der skal her indtastes den budgetterede leverede mængde dvs. alt det forbrug (i kWh), hvorpå der skal betales en almindelig tidsdifferentieret tarif (bruttotræk fra nettet). </a:t>
          </a:r>
          <a:r>
            <a:rPr lang="da-DK" sz="900" b="0" baseline="0"/>
            <a:t>Dette skal gøres for det samlede budgetterede forbrug for hverdage i sommer perioden opdelt pr. time. Hjælpeark til fordeling af forbruget baseret på defaultfordelinger kan findes i arket "hjælpeark, forbrugsnøgler" samt en sammenligning af den anvendte fordeling med branchens fordeling</a:t>
          </a:r>
        </a:p>
        <a:p>
          <a:endParaRPr lang="da-DK" sz="900" b="0" baseline="0"/>
        </a:p>
        <a:p>
          <a:endParaRPr lang="da-DK" sz="900" b="0" baseline="0"/>
        </a:p>
      </xdr:txBody>
    </xdr:sp>
    <xdr:clientData/>
  </xdr:twoCellAnchor>
  <xdr:twoCellAnchor>
    <xdr:from>
      <xdr:col>25</xdr:col>
      <xdr:colOff>265005</xdr:colOff>
      <xdr:row>243</xdr:row>
      <xdr:rowOff>96676</xdr:rowOff>
    </xdr:from>
    <xdr:to>
      <xdr:col>31</xdr:col>
      <xdr:colOff>269036</xdr:colOff>
      <xdr:row>247</xdr:row>
      <xdr:rowOff>134247</xdr:rowOff>
    </xdr:to>
    <xdr:sp macro="" textlink="">
      <xdr:nvSpPr>
        <xdr:cNvPr id="19" name="TextBox 18">
          <a:extLst>
            <a:ext uri="{FF2B5EF4-FFF2-40B4-BE49-F238E27FC236}">
              <a16:creationId xmlns:a16="http://schemas.microsoft.com/office/drawing/2014/main" id="{50336F68-5383-40C2-A579-29BC912B3B8F}"/>
            </a:ext>
          </a:extLst>
        </xdr:cNvPr>
        <xdr:cNvSpPr txBox="1"/>
      </xdr:nvSpPr>
      <xdr:spPr>
        <a:xfrm>
          <a:off x="22150093" y="35260735"/>
          <a:ext cx="5719031" cy="799571"/>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 </a:t>
          </a:r>
          <a:r>
            <a:rPr lang="da-DK" sz="900" b="0"/>
            <a:t>Der skal her indtastes den budgetterede leverede mængde dvs. alt det forbrug (i kWh), hvorpå der skal betales en almindelig tidsdifferentieret tarif (bruttotræk fra nettet). </a:t>
          </a:r>
          <a:r>
            <a:rPr lang="da-DK" sz="900" b="0" baseline="0"/>
            <a:t>Dette skal gøres for det samlede budgetterede forbrug for weekender og helligdage i vinter perioden opdelt pr. time. Hjælpeark til fordeling af forbruget baseret på defaultfordelinger kan findes i arket "hjælpeark, forbrugsnøgler" samt en sammenligning af den anvendte fordeling med branchens fordeling</a:t>
          </a:r>
        </a:p>
        <a:p>
          <a:endParaRPr lang="da-DK" sz="900" b="0" baseline="0"/>
        </a:p>
        <a:p>
          <a:endParaRPr lang="da-DK" sz="900" b="0" baseline="0"/>
        </a:p>
      </xdr:txBody>
    </xdr:sp>
    <xdr:clientData/>
  </xdr:twoCellAnchor>
  <xdr:twoCellAnchor>
    <xdr:from>
      <xdr:col>25</xdr:col>
      <xdr:colOff>265005</xdr:colOff>
      <xdr:row>270</xdr:row>
      <xdr:rowOff>39768</xdr:rowOff>
    </xdr:from>
    <xdr:to>
      <xdr:col>31</xdr:col>
      <xdr:colOff>267130</xdr:colOff>
      <xdr:row>274</xdr:row>
      <xdr:rowOff>66601</xdr:rowOff>
    </xdr:to>
    <xdr:sp macro="" textlink="">
      <xdr:nvSpPr>
        <xdr:cNvPr id="20" name="TextBox 19">
          <a:extLst>
            <a:ext uri="{FF2B5EF4-FFF2-40B4-BE49-F238E27FC236}">
              <a16:creationId xmlns:a16="http://schemas.microsoft.com/office/drawing/2014/main" id="{F8EE76C1-844F-4AC4-89FF-38268DB04B0B}"/>
            </a:ext>
          </a:extLst>
        </xdr:cNvPr>
        <xdr:cNvSpPr txBox="1"/>
      </xdr:nvSpPr>
      <xdr:spPr>
        <a:xfrm>
          <a:off x="22150093" y="40347327"/>
          <a:ext cx="5717125" cy="795183"/>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 </a:t>
          </a:r>
          <a:r>
            <a:rPr lang="da-DK" sz="900" b="0"/>
            <a:t>Der skal her indtastes den budgetterede leverede mængde dvs. alt det forbrug (i kWh), hvorpå der skal betales en almindelig tidsdifferentieret tarif (bruttotræk fra nettet). </a:t>
          </a:r>
          <a:r>
            <a:rPr lang="da-DK" sz="900" b="0" baseline="0"/>
            <a:t>Dette skal gøres for det samlede budgetterede forbrug for weekender og helligdage i sommer perioden opdelt pr. time. Hjælpeark til fordeling af forbruget baseret på defaultfordelinger kan findes i arket "hjælpeark, forbrugsnøgler" samt en sammenligning af den anvendte fordeling med branchens fordeling</a:t>
          </a:r>
        </a:p>
        <a:p>
          <a:endParaRPr lang="da-DK" sz="900" b="0" baseline="0"/>
        </a:p>
        <a:p>
          <a:endParaRPr lang="da-DK" sz="900" b="0" baseline="0"/>
        </a:p>
      </xdr:txBody>
    </xdr:sp>
    <xdr:clientData/>
  </xdr:twoCellAnchor>
  <xdr:twoCellAnchor>
    <xdr:from>
      <xdr:col>25</xdr:col>
      <xdr:colOff>265005</xdr:colOff>
      <xdr:row>139</xdr:row>
      <xdr:rowOff>8238</xdr:rowOff>
    </xdr:from>
    <xdr:to>
      <xdr:col>31</xdr:col>
      <xdr:colOff>278560</xdr:colOff>
      <xdr:row>150</xdr:row>
      <xdr:rowOff>96380</xdr:rowOff>
    </xdr:to>
    <xdr:sp macro="" textlink="">
      <xdr:nvSpPr>
        <xdr:cNvPr id="22" name="TextBox 21">
          <a:extLst>
            <a:ext uri="{FF2B5EF4-FFF2-40B4-BE49-F238E27FC236}">
              <a16:creationId xmlns:a16="http://schemas.microsoft.com/office/drawing/2014/main" id="{BE0D6011-44F3-4A6B-8A3B-20868A80A838}"/>
            </a:ext>
          </a:extLst>
        </xdr:cNvPr>
        <xdr:cNvSpPr txBox="1"/>
      </xdr:nvSpPr>
      <xdr:spPr>
        <a:xfrm>
          <a:off x="22150093" y="16559326"/>
          <a:ext cx="5728555" cy="180330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baseline="0"/>
            <a:t>Her indtastes for inputs til fordelingsnøgler, der skal bruges til at fordele de evt. residuale omkostninger, der ikke kan fordeles ved direkte fordeling. Her skal udelukkende indtastes for værdien af aktiverne for hver kundekategori. Undtagelesvis for "Værdi af målere" kan det vælges, om der indtastes for en total eller pr. kundekategori. Indtastes for totalen fordeles forrentningen til denne vha. målerafskrivningsnøglen. Indtastes pr. kundekategori anvendes "Værdi af målere" som fordelingsnøgle. For højspændingskunder inkluderer "værdi af målere" også værdien af kontrolmålere samt aktiverede omkostninger forbundet hermed. Nedenfor følger definitioner af de forskellige aktivtyper:</a:t>
          </a:r>
        </a:p>
        <a:p>
          <a:endParaRPr lang="da-DK" sz="900" b="0" i="1" baseline="0">
            <a:solidFill>
              <a:srgbClr val="FF0000"/>
            </a:solidFill>
          </a:endParaRPr>
        </a:p>
        <a:p>
          <a:r>
            <a:rPr lang="da-DK" sz="900" b="0" baseline="0">
              <a:solidFill>
                <a:schemeClr val="dk1"/>
              </a:solidFill>
              <a:latin typeface="+mn-lt"/>
              <a:ea typeface="+mn-ea"/>
              <a:cs typeface="+mn-cs"/>
            </a:rPr>
            <a:t>- Transformerstationer: Den bogførte værdi af transformerstationer samt udstyr i tilknytning hertil</a:t>
          </a:r>
        </a:p>
        <a:p>
          <a:r>
            <a:rPr lang="da-DK" sz="900" b="0" baseline="0">
              <a:solidFill>
                <a:schemeClr val="dk1"/>
              </a:solidFill>
              <a:latin typeface="+mn-lt"/>
              <a:ea typeface="+mn-ea"/>
              <a:cs typeface="+mn-cs"/>
            </a:rPr>
            <a:t>- Netaktiver ekskl. transformerstationer og målere: Den bogførte værdi af alle netselskabets aktiver, der ikke vedrører transformerstationer eller måleraktiver.</a:t>
          </a:r>
        </a:p>
        <a:p>
          <a:r>
            <a:rPr lang="da-DK" sz="900" b="0" baseline="0">
              <a:solidFill>
                <a:schemeClr val="dk1"/>
              </a:solidFill>
              <a:latin typeface="+mn-lt"/>
              <a:ea typeface="+mn-ea"/>
              <a:cs typeface="+mn-cs"/>
            </a:rPr>
            <a:t>- Målere: Den bogførte værdi af målerparken, inkl. målersystemer mv., der knytter sig til målerafregning og lignende.</a:t>
          </a:r>
        </a:p>
        <a:p>
          <a:endParaRPr lang="da-DK" sz="900" b="0" i="1" baseline="0">
            <a:solidFill>
              <a:srgbClr val="FF0000"/>
            </a:solidFill>
          </a:endParaRPr>
        </a:p>
      </xdr:txBody>
    </xdr:sp>
    <xdr:clientData/>
  </xdr:twoCellAnchor>
  <xdr:twoCellAnchor>
    <xdr:from>
      <xdr:col>25</xdr:col>
      <xdr:colOff>265005</xdr:colOff>
      <xdr:row>151</xdr:row>
      <xdr:rowOff>71888</xdr:rowOff>
    </xdr:from>
    <xdr:to>
      <xdr:col>31</xdr:col>
      <xdr:colOff>276020</xdr:colOff>
      <xdr:row>157</xdr:row>
      <xdr:rowOff>92585</xdr:rowOff>
    </xdr:to>
    <xdr:sp macro="" textlink="">
      <xdr:nvSpPr>
        <xdr:cNvPr id="23" name="TextBox 22">
          <a:extLst>
            <a:ext uri="{FF2B5EF4-FFF2-40B4-BE49-F238E27FC236}">
              <a16:creationId xmlns:a16="http://schemas.microsoft.com/office/drawing/2014/main" id="{63B27D5A-733B-415A-BF8D-6B84A977105E}"/>
            </a:ext>
          </a:extLst>
        </xdr:cNvPr>
        <xdr:cNvSpPr txBox="1"/>
      </xdr:nvSpPr>
      <xdr:spPr>
        <a:xfrm>
          <a:off x="22150093" y="18550388"/>
          <a:ext cx="5732365" cy="981466"/>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baseline="0"/>
            <a:t>Her er det muligt at indtaste for nøgler, der skal bruges til at fordele de evt. residuale omkostninger, der ikke kan fordeles ved direkte fordeling. Green Power Denmark har allerede prædefineret værdierne for disse nøgler. Er de af Green Power Denmark fastsatte værdier retvisende vælges blot "Nej" i listerne under "Overskriv GPD". Er de ikke retvisende skal man i stedet anvende egne værdier, hvilket gøres ved at sætte"Overskriv GPD" listerne til "Ja" og egne værdier indtastes i cellerne til højre for. For højspændingskunder skal målerpriserne afspejle både hovedmålere og kontrolmålere samt aktiverede omkostninger forbundet hermed.</a:t>
          </a:r>
          <a:endParaRPr lang="da-DK" sz="900" b="0" baseline="0">
            <a:solidFill>
              <a:srgbClr val="FF0000"/>
            </a:solidFill>
          </a:endParaRPr>
        </a:p>
        <a:p>
          <a:endParaRPr lang="da-DK" sz="900" b="0" i="1" baseline="0">
            <a:solidFill>
              <a:srgbClr val="FF0000"/>
            </a:solidFill>
          </a:endParaRPr>
        </a:p>
      </xdr:txBody>
    </xdr:sp>
    <xdr:clientData/>
  </xdr:twoCellAnchor>
  <xdr:twoCellAnchor>
    <xdr:from>
      <xdr:col>25</xdr:col>
      <xdr:colOff>265005</xdr:colOff>
      <xdr:row>164</xdr:row>
      <xdr:rowOff>0</xdr:rowOff>
    </xdr:from>
    <xdr:to>
      <xdr:col>31</xdr:col>
      <xdr:colOff>267130</xdr:colOff>
      <xdr:row>167</xdr:row>
      <xdr:rowOff>105078</xdr:rowOff>
    </xdr:to>
    <xdr:sp macro="" textlink="">
      <xdr:nvSpPr>
        <xdr:cNvPr id="29" name="TextBox 28">
          <a:extLst>
            <a:ext uri="{FF2B5EF4-FFF2-40B4-BE49-F238E27FC236}">
              <a16:creationId xmlns:a16="http://schemas.microsoft.com/office/drawing/2014/main" id="{F5D0458A-0B3F-4225-9415-68C7F249C2CB}"/>
            </a:ext>
          </a:extLst>
        </xdr:cNvPr>
        <xdr:cNvSpPr txBox="1"/>
      </xdr:nvSpPr>
      <xdr:spPr>
        <a:xfrm>
          <a:off x="20210355" y="16268700"/>
          <a:ext cx="5717125" cy="670228"/>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baseline="0"/>
            <a:t>For kunder tilsluttet B-høj, A-lav eller A-høj beregnes en "effektpris". Kunderne abonnerer på effekt i "blokke" af følgende effektstørrelser: A-høj blokkene er på 1 MW, A-lav blokkene er på 0,5 MW og B-høj blokkene er på 0,1 MW. Kunderne skal som minimum abonnere på en MW svarende til de respektive effektblokkes størrelser.</a:t>
          </a:r>
          <a:endParaRPr lang="da-DK" sz="900" b="0" i="1" baseline="0">
            <a:solidFill>
              <a:srgbClr val="FF0000"/>
            </a:solidFill>
          </a:endParaRPr>
        </a:p>
      </xdr:txBody>
    </xdr:sp>
    <xdr:clientData/>
  </xdr:twoCellAnchor>
  <xdr:twoCellAnchor>
    <xdr:from>
      <xdr:col>25</xdr:col>
      <xdr:colOff>265005</xdr:colOff>
      <xdr:row>333</xdr:row>
      <xdr:rowOff>0</xdr:rowOff>
    </xdr:from>
    <xdr:to>
      <xdr:col>31</xdr:col>
      <xdr:colOff>295071</xdr:colOff>
      <xdr:row>336</xdr:row>
      <xdr:rowOff>126025</xdr:rowOff>
    </xdr:to>
    <xdr:sp macro="" textlink="">
      <xdr:nvSpPr>
        <xdr:cNvPr id="32" name="TextBox 31">
          <a:extLst>
            <a:ext uri="{FF2B5EF4-FFF2-40B4-BE49-F238E27FC236}">
              <a16:creationId xmlns:a16="http://schemas.microsoft.com/office/drawing/2014/main" id="{B1802384-56EA-420F-9A86-FBF1B7F091BD}"/>
            </a:ext>
          </a:extLst>
        </xdr:cNvPr>
        <xdr:cNvSpPr txBox="1"/>
      </xdr:nvSpPr>
      <xdr:spPr>
        <a:xfrm>
          <a:off x="22241778" y="52422136"/>
          <a:ext cx="5751416" cy="69117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baseline="0"/>
            <a:t>Der indtastes her for sidste periodes forbrugstariffer i vinterperioden.  </a:t>
          </a:r>
        </a:p>
        <a:p>
          <a:r>
            <a:rPr lang="da-DK" sz="900" b="0" i="0" baseline="0">
              <a:solidFill>
                <a:sysClr val="windowText" lastClr="000000"/>
              </a:solidFill>
            </a:rPr>
            <a:t>Bemærk, at alle værdier i denne sektion skal indtastes eksklusiv moms. Såfremt de nye tariffer stiger med mere end 10 pct. fremgår dette af arket "1.3 Varslingsanalyse". </a:t>
          </a:r>
        </a:p>
        <a:p>
          <a:endParaRPr lang="da-DK" sz="900" b="0" i="0" baseline="0">
            <a:solidFill>
              <a:sysClr val="windowText" lastClr="000000"/>
            </a:solidFill>
          </a:endParaRPr>
        </a:p>
      </xdr:txBody>
    </xdr:sp>
    <xdr:clientData/>
  </xdr:twoCellAnchor>
  <xdr:twoCellAnchor>
    <xdr:from>
      <xdr:col>25</xdr:col>
      <xdr:colOff>265005</xdr:colOff>
      <xdr:row>321</xdr:row>
      <xdr:rowOff>4763</xdr:rowOff>
    </xdr:from>
    <xdr:to>
      <xdr:col>31</xdr:col>
      <xdr:colOff>269035</xdr:colOff>
      <xdr:row>325</xdr:row>
      <xdr:rowOff>156882</xdr:rowOff>
    </xdr:to>
    <xdr:sp macro="" textlink="">
      <xdr:nvSpPr>
        <xdr:cNvPr id="35" name="TextBox 34">
          <a:extLst>
            <a:ext uri="{FF2B5EF4-FFF2-40B4-BE49-F238E27FC236}">
              <a16:creationId xmlns:a16="http://schemas.microsoft.com/office/drawing/2014/main" id="{04F128E1-5B61-4905-A3C5-703E8F15C9EB}"/>
            </a:ext>
          </a:extLst>
        </xdr:cNvPr>
        <xdr:cNvSpPr txBox="1"/>
      </xdr:nvSpPr>
      <xdr:spPr>
        <a:xfrm>
          <a:off x="22329387" y="60314822"/>
          <a:ext cx="5719030" cy="824472"/>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i="0" baseline="0">
              <a:solidFill>
                <a:schemeClr val="tx1"/>
              </a:solidFill>
            </a:rPr>
            <a:t>Der indtastet her for 1) installationer, hvorpå der betales et forbrugsabonnement, 2) installationer, hvorpå der betales et producentabonnement, 3) installationer, hvorpå der betales et producentabonnnement uden bidrag til måler. For 4) Egenproducentabonnementer skal der ikke indtastes, da det er gjort ovenfor. Ved indtasting af 2) installationer, hvorpå der betales et producentabonnement, skal producentabonnementer relateret til A-høj+ og A-høj+,maske indeholdes i kolonnen for A-høj.</a:t>
          </a:r>
        </a:p>
      </xdr:txBody>
    </xdr:sp>
    <xdr:clientData/>
  </xdr:twoCellAnchor>
  <xdr:twoCellAnchor>
    <xdr:from>
      <xdr:col>31</xdr:col>
      <xdr:colOff>512838</xdr:colOff>
      <xdr:row>26</xdr:row>
      <xdr:rowOff>186694</xdr:rowOff>
    </xdr:from>
    <xdr:to>
      <xdr:col>37</xdr:col>
      <xdr:colOff>553066</xdr:colOff>
      <xdr:row>31</xdr:row>
      <xdr:rowOff>177819</xdr:rowOff>
    </xdr:to>
    <xdr:sp macro="" textlink="">
      <xdr:nvSpPr>
        <xdr:cNvPr id="24" name="TextBox 23">
          <a:extLst>
            <a:ext uri="{FF2B5EF4-FFF2-40B4-BE49-F238E27FC236}">
              <a16:creationId xmlns:a16="http://schemas.microsoft.com/office/drawing/2014/main" id="{D8468C52-15FB-46F6-8829-F9D67BDFD84D}"/>
            </a:ext>
          </a:extLst>
        </xdr:cNvPr>
        <xdr:cNvSpPr txBox="1"/>
      </xdr:nvSpPr>
      <xdr:spPr>
        <a:xfrm>
          <a:off x="28112926" y="2450282"/>
          <a:ext cx="5755228" cy="9468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solidFill>
                <a:schemeClr val="tx1"/>
              </a:solidFill>
            </a:rPr>
            <a:t>Hvis </a:t>
          </a:r>
          <a:r>
            <a:rPr lang="da-DK" sz="900" b="1">
              <a:solidFill>
                <a:srgbClr val="FF0000"/>
              </a:solidFill>
            </a:rPr>
            <a:t>fejl</a:t>
          </a:r>
          <a:r>
            <a:rPr lang="da-DK" sz="900" b="0">
              <a:solidFill>
                <a:schemeClr val="tx1"/>
              </a:solidFill>
            </a:rPr>
            <a:t> i kolonne L skyldes det, at en</a:t>
          </a:r>
          <a:r>
            <a:rPr lang="da-DK" sz="900" b="0" baseline="0">
              <a:solidFill>
                <a:schemeClr val="tx1"/>
              </a:solidFill>
            </a:rPr>
            <a:t> eller flere værdier</a:t>
          </a:r>
          <a:r>
            <a:rPr lang="da-DK" sz="900" b="0">
              <a:solidFill>
                <a:schemeClr val="tx1"/>
              </a:solidFill>
            </a:rPr>
            <a:t> i</a:t>
          </a:r>
          <a:r>
            <a:rPr lang="da-DK" sz="900" b="0" baseline="0">
              <a:solidFill>
                <a:schemeClr val="tx1"/>
              </a:solidFill>
            </a:rPr>
            <a:t> inputcellerne i rækken </a:t>
          </a:r>
          <a:r>
            <a:rPr lang="da-DK" sz="900" b="0">
              <a:solidFill>
                <a:schemeClr val="tx1"/>
              </a:solidFill>
            </a:rPr>
            <a:t>er indtastet som negativ eller indeholder tekst.</a:t>
          </a:r>
        </a:p>
        <a:p>
          <a:r>
            <a:rPr lang="da-DK" sz="900" b="0">
              <a:solidFill>
                <a:schemeClr val="tx1"/>
              </a:solidFill>
            </a:rPr>
            <a:t>Hvis </a:t>
          </a:r>
          <a:r>
            <a:rPr lang="da-DK" sz="900" b="1">
              <a:solidFill>
                <a:srgbClr val="D6A300"/>
              </a:solidFill>
            </a:rPr>
            <a:t>kontrol</a:t>
          </a:r>
          <a:r>
            <a:rPr lang="da-DK" sz="900" b="0">
              <a:solidFill>
                <a:schemeClr val="tx1"/>
              </a:solidFill>
            </a:rPr>
            <a:t> i kolonne M skyldes det, at der enten er indtastet 0 eller intet</a:t>
          </a:r>
          <a:r>
            <a:rPr lang="da-DK" sz="900" b="0" baseline="0">
              <a:solidFill>
                <a:schemeClr val="tx1"/>
              </a:solidFill>
            </a:rPr>
            <a:t> er indtastet i en eller flere af inputcellerne i rækken.</a:t>
          </a:r>
          <a:r>
            <a:rPr lang="da-DK" sz="900" b="0">
              <a:solidFill>
                <a:schemeClr val="tx1"/>
              </a:solidFill>
            </a:rPr>
            <a:t> </a:t>
          </a:r>
        </a:p>
      </xdr:txBody>
    </xdr:sp>
    <xdr:clientData/>
  </xdr:twoCellAnchor>
  <xdr:twoCellAnchor>
    <xdr:from>
      <xdr:col>31</xdr:col>
      <xdr:colOff>512838</xdr:colOff>
      <xdr:row>32</xdr:row>
      <xdr:rowOff>163548</xdr:rowOff>
    </xdr:from>
    <xdr:to>
      <xdr:col>37</xdr:col>
      <xdr:colOff>542906</xdr:colOff>
      <xdr:row>36</xdr:row>
      <xdr:rowOff>64798</xdr:rowOff>
    </xdr:to>
    <xdr:sp macro="" textlink="">
      <xdr:nvSpPr>
        <xdr:cNvPr id="25" name="TextBox 24">
          <a:extLst>
            <a:ext uri="{FF2B5EF4-FFF2-40B4-BE49-F238E27FC236}">
              <a16:creationId xmlns:a16="http://schemas.microsoft.com/office/drawing/2014/main" id="{CB8389EB-FF4C-4DED-B38E-8A391F333569}"/>
            </a:ext>
          </a:extLst>
        </xdr:cNvPr>
        <xdr:cNvSpPr txBox="1"/>
      </xdr:nvSpPr>
      <xdr:spPr>
        <a:xfrm>
          <a:off x="28112926" y="3570136"/>
          <a:ext cx="5751418" cy="6696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solidFill>
                <a:srgbClr val="222221"/>
              </a:solidFill>
            </a:rPr>
            <a:t>Hvis </a:t>
          </a:r>
          <a:r>
            <a:rPr lang="da-DK" sz="900" b="1">
              <a:solidFill>
                <a:srgbClr val="FF0000"/>
              </a:solidFill>
            </a:rPr>
            <a:t>fejl</a:t>
          </a:r>
          <a:r>
            <a:rPr lang="da-DK" sz="900" b="0">
              <a:solidFill>
                <a:srgbClr val="222221"/>
              </a:solidFill>
            </a:rPr>
            <a:t> i kolonne L skyldes det, at værdien</a:t>
          </a:r>
          <a:r>
            <a:rPr lang="da-DK" sz="1100" b="0">
              <a:solidFill>
                <a:schemeClr val="dk1"/>
              </a:solidFill>
              <a:effectLst/>
              <a:latin typeface="+mn-lt"/>
              <a:ea typeface="+mn-ea"/>
              <a:cs typeface="+mn-cs"/>
            </a:rPr>
            <a:t> </a:t>
          </a:r>
          <a:r>
            <a:rPr lang="da-DK" sz="900" b="0">
              <a:solidFill>
                <a:srgbClr val="222221"/>
              </a:solidFill>
              <a:latin typeface="+mn-lt"/>
              <a:ea typeface="+mn-ea"/>
              <a:cs typeface="+mn-cs"/>
            </a:rPr>
            <a:t>i inputcellen i rækken </a:t>
          </a:r>
          <a:r>
            <a:rPr lang="da-DK" sz="900" b="0">
              <a:solidFill>
                <a:srgbClr val="222221"/>
              </a:solidFill>
            </a:rPr>
            <a:t>er indtastet som negativ eller indeholder tekst.</a:t>
          </a:r>
        </a:p>
        <a:p>
          <a:r>
            <a:rPr lang="da-DK" sz="900" b="0">
              <a:solidFill>
                <a:srgbClr val="222221"/>
              </a:solidFill>
            </a:rPr>
            <a:t>Hvis </a:t>
          </a:r>
          <a:r>
            <a:rPr lang="da-DK" sz="900" b="1">
              <a:solidFill>
                <a:srgbClr val="D6A300"/>
              </a:solidFill>
            </a:rPr>
            <a:t>kontrol</a:t>
          </a:r>
          <a:r>
            <a:rPr lang="da-DK" sz="900" b="0">
              <a:solidFill>
                <a:srgbClr val="222221"/>
              </a:solidFill>
            </a:rPr>
            <a:t> i kolonne M skyldes det, at der enten er indtastet 0 eller intet er indtastet i inputcellen i rækken.</a:t>
          </a:r>
        </a:p>
      </xdr:txBody>
    </xdr:sp>
    <xdr:clientData/>
  </xdr:twoCellAnchor>
  <xdr:twoCellAnchor>
    <xdr:from>
      <xdr:col>31</xdr:col>
      <xdr:colOff>512838</xdr:colOff>
      <xdr:row>37</xdr:row>
      <xdr:rowOff>51537</xdr:rowOff>
    </xdr:from>
    <xdr:to>
      <xdr:col>37</xdr:col>
      <xdr:colOff>523856</xdr:colOff>
      <xdr:row>41</xdr:row>
      <xdr:rowOff>6787</xdr:rowOff>
    </xdr:to>
    <xdr:sp macro="" textlink="">
      <xdr:nvSpPr>
        <xdr:cNvPr id="26" name="TextBox 25">
          <a:extLst>
            <a:ext uri="{FF2B5EF4-FFF2-40B4-BE49-F238E27FC236}">
              <a16:creationId xmlns:a16="http://schemas.microsoft.com/office/drawing/2014/main" id="{C86BFB9D-ED0D-42EC-87C7-789AE64E5A4F}"/>
            </a:ext>
          </a:extLst>
        </xdr:cNvPr>
        <xdr:cNvSpPr txBox="1"/>
      </xdr:nvSpPr>
      <xdr:spPr>
        <a:xfrm>
          <a:off x="28112926" y="4410625"/>
          <a:ext cx="5732368" cy="7236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solidFill>
                <a:srgbClr val="222221"/>
              </a:solidFill>
            </a:rPr>
            <a:t>Hvis </a:t>
          </a:r>
          <a:r>
            <a:rPr lang="da-DK" sz="900" b="1">
              <a:solidFill>
                <a:srgbClr val="FF0000"/>
              </a:solidFill>
            </a:rPr>
            <a:t>fejl</a:t>
          </a:r>
          <a:r>
            <a:rPr lang="da-DK" sz="900" b="0">
              <a:solidFill>
                <a:srgbClr val="222221"/>
              </a:solidFill>
            </a:rPr>
            <a:t> i kolonne L skyldes det, at værdien i inputcellen i rækken er indtastet som negativ eller indeholder tekst. For "Differencer fra tidligere år" og</a:t>
          </a:r>
          <a:r>
            <a:rPr lang="da-DK" sz="900" b="0" baseline="0">
              <a:solidFill>
                <a:srgbClr val="222221"/>
              </a:solidFill>
            </a:rPr>
            <a:t> "Andre korrektioner" kan man både indtaste positive og negative værdier uden en fejlmeddelse vil komme frem. </a:t>
          </a:r>
          <a:endParaRPr lang="da-DK" sz="900" b="0">
            <a:solidFill>
              <a:srgbClr val="222221"/>
            </a:solidFill>
          </a:endParaRPr>
        </a:p>
        <a:p>
          <a:r>
            <a:rPr lang="da-DK" sz="900" b="0">
              <a:solidFill>
                <a:srgbClr val="222221"/>
              </a:solidFill>
            </a:rPr>
            <a:t>Hvis </a:t>
          </a:r>
          <a:r>
            <a:rPr lang="da-DK" sz="900" b="1">
              <a:solidFill>
                <a:srgbClr val="D6A300"/>
              </a:solidFill>
            </a:rPr>
            <a:t>kontrol</a:t>
          </a:r>
          <a:r>
            <a:rPr lang="da-DK" sz="900" b="0">
              <a:solidFill>
                <a:srgbClr val="222221"/>
              </a:solidFill>
            </a:rPr>
            <a:t> i kolonne M skyldes det, at der enten er indtastet 0 eller intet er indtastet i inputcellen i rækken. </a:t>
          </a:r>
        </a:p>
      </xdr:txBody>
    </xdr:sp>
    <xdr:clientData/>
  </xdr:twoCellAnchor>
  <xdr:twoCellAnchor>
    <xdr:from>
      <xdr:col>31</xdr:col>
      <xdr:colOff>512838</xdr:colOff>
      <xdr:row>41</xdr:row>
      <xdr:rowOff>186192</xdr:rowOff>
    </xdr:from>
    <xdr:to>
      <xdr:col>37</xdr:col>
      <xdr:colOff>513061</xdr:colOff>
      <xdr:row>44</xdr:row>
      <xdr:rowOff>180742</xdr:rowOff>
    </xdr:to>
    <xdr:sp macro="" textlink="">
      <xdr:nvSpPr>
        <xdr:cNvPr id="27" name="TextBox 26">
          <a:extLst>
            <a:ext uri="{FF2B5EF4-FFF2-40B4-BE49-F238E27FC236}">
              <a16:creationId xmlns:a16="http://schemas.microsoft.com/office/drawing/2014/main" id="{73F7E5B5-A6B4-4C50-94FF-905F582955D5}"/>
            </a:ext>
          </a:extLst>
        </xdr:cNvPr>
        <xdr:cNvSpPr txBox="1"/>
      </xdr:nvSpPr>
      <xdr:spPr>
        <a:xfrm>
          <a:off x="28112926" y="5307280"/>
          <a:ext cx="5715223" cy="5724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solidFill>
                <a:srgbClr val="222221"/>
              </a:solidFill>
            </a:rPr>
            <a:t>Hvis </a:t>
          </a:r>
          <a:r>
            <a:rPr lang="da-DK" sz="900" b="1">
              <a:solidFill>
                <a:srgbClr val="FF0000"/>
              </a:solidFill>
            </a:rPr>
            <a:t>fejl</a:t>
          </a:r>
          <a:r>
            <a:rPr lang="da-DK" sz="900" b="0">
              <a:solidFill>
                <a:srgbClr val="222221"/>
              </a:solidFill>
            </a:rPr>
            <a:t> i kolonne L skyldes det, at værdien i inputcellen i rækken er indtastet som negativ eller indeholder tekst.</a:t>
          </a:r>
        </a:p>
        <a:p>
          <a:r>
            <a:rPr lang="da-DK" sz="900" b="0">
              <a:solidFill>
                <a:srgbClr val="222221"/>
              </a:solidFill>
            </a:rPr>
            <a:t>Hvis </a:t>
          </a:r>
          <a:r>
            <a:rPr lang="da-DK" sz="900" b="1">
              <a:solidFill>
                <a:srgbClr val="D6A300"/>
              </a:solidFill>
            </a:rPr>
            <a:t>kontrol</a:t>
          </a:r>
          <a:r>
            <a:rPr lang="da-DK" sz="900" b="0">
              <a:solidFill>
                <a:srgbClr val="222221"/>
              </a:solidFill>
            </a:rPr>
            <a:t> i kolonne M skyldes det, at der enten er indtastet 0 eller intet er indtastet i inputcellen i rækken. </a:t>
          </a:r>
        </a:p>
      </xdr:txBody>
    </xdr:sp>
    <xdr:clientData/>
  </xdr:twoCellAnchor>
  <xdr:twoCellAnchor>
    <xdr:from>
      <xdr:col>31</xdr:col>
      <xdr:colOff>516648</xdr:colOff>
      <xdr:row>58</xdr:row>
      <xdr:rowOff>3861</xdr:rowOff>
    </xdr:from>
    <xdr:to>
      <xdr:col>37</xdr:col>
      <xdr:colOff>516871</xdr:colOff>
      <xdr:row>69</xdr:row>
      <xdr:rowOff>35297</xdr:rowOff>
    </xdr:to>
    <xdr:sp macro="" textlink="">
      <xdr:nvSpPr>
        <xdr:cNvPr id="28" name="TextBox 27">
          <a:extLst>
            <a:ext uri="{FF2B5EF4-FFF2-40B4-BE49-F238E27FC236}">
              <a16:creationId xmlns:a16="http://schemas.microsoft.com/office/drawing/2014/main" id="{3070203A-4347-4FA7-BB36-FD1084D975FE}"/>
            </a:ext>
          </a:extLst>
        </xdr:cNvPr>
        <xdr:cNvSpPr txBox="1"/>
      </xdr:nvSpPr>
      <xdr:spPr>
        <a:xfrm>
          <a:off x="28116736" y="10649449"/>
          <a:ext cx="5715223" cy="2126936"/>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0"/>
            <a:t>Hvis </a:t>
          </a:r>
          <a:r>
            <a:rPr lang="da-DK" sz="900" b="1">
              <a:solidFill>
                <a:srgbClr val="FF0000"/>
              </a:solidFill>
            </a:rPr>
            <a:t>fejl</a:t>
          </a:r>
          <a:r>
            <a:rPr lang="da-DK" sz="900" b="0"/>
            <a:t> i kolonne L skyldes det, at en eller flere værdier i inputcellerne i rækken er indtastet som negative, indeholder tekst,</a:t>
          </a:r>
          <a:r>
            <a:rPr lang="da-DK" sz="900" b="0" baseline="0"/>
            <a:t> eller at residualet er negativt, hvilket betyder, at der er fordelt for meget ud på de enkelte kundekategorier i forhold til "Total"</a:t>
          </a:r>
          <a:r>
            <a:rPr lang="da-DK" sz="900" b="0"/>
            <a:t>. For omkostningsposter vedrørende transformerstationer og</a:t>
          </a:r>
          <a:r>
            <a:rPr lang="da-DK" sz="900" b="0" baseline="0"/>
            <a:t> netaktiver ekskl. målere og transformerstationer (post 1.1, 1.2, 1.3, 4.1, 4.2, 6.1 og 6.2) kan fejlen også skyldes, at der er blevet indtastet et tal forskelligt fra 0 i de skraverede celler. For omkostningspost 6.1 og 6.2 vil der også være en fejlmeddelse, hvis residualet er forskelligt fra 0, da disse poster udelukkende kan fordeles direkte.</a:t>
          </a:r>
          <a:endParaRPr lang="da-DK" sz="900" b="0"/>
        </a:p>
        <a:p>
          <a:pPr marL="0" marR="0" lvl="0" indent="0" defTabSz="914400" rtl="0" eaLnBrk="1" fontAlgn="auto" latinLnBrk="0" hangingPunct="1">
            <a:lnSpc>
              <a:spcPct val="100000"/>
            </a:lnSpc>
            <a:spcBef>
              <a:spcPts val="0"/>
            </a:spcBef>
            <a:spcAft>
              <a:spcPts val="0"/>
            </a:spcAft>
            <a:buClrTx/>
            <a:buSzTx/>
            <a:buFontTx/>
            <a:buNone/>
            <a:tabLst/>
            <a:defRPr/>
          </a:pPr>
          <a:br>
            <a:rPr lang="da-DK" sz="900" b="0"/>
          </a:br>
          <a:r>
            <a:rPr lang="da-DK" sz="900" b="0"/>
            <a:t>Hvis </a:t>
          </a:r>
          <a:r>
            <a:rPr lang="da-DK" sz="900" b="1">
              <a:solidFill>
                <a:srgbClr val="D6A300"/>
              </a:solidFill>
            </a:rPr>
            <a:t>kontrol</a:t>
          </a:r>
          <a:r>
            <a:rPr lang="da-DK" sz="900" b="0"/>
            <a:t> i kolonne M skyldes det, at der enten er indtastet 0 eller intet er indtastet i inputcellen under "Total" i</a:t>
          </a:r>
          <a:r>
            <a:rPr lang="da-DK" sz="900" b="0" baseline="0"/>
            <a:t> kolonne N</a:t>
          </a:r>
          <a:r>
            <a:rPr lang="da-DK" sz="900" b="0"/>
            <a:t>. </a:t>
          </a:r>
          <a:r>
            <a:rPr lang="da-DK" sz="900" b="0" baseline="0"/>
            <a:t>Desuden kan det skyldes, at værdien i total ud for "5.1 Omkostninger til overliggende net" er forskellig fra totalen indtastet i række 23.</a:t>
          </a:r>
          <a:endParaRPr lang="da-DK" sz="900" b="0"/>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a:p>
      </xdr:txBody>
    </xdr:sp>
    <xdr:clientData/>
  </xdr:twoCellAnchor>
  <xdr:twoCellAnchor>
    <xdr:from>
      <xdr:col>31</xdr:col>
      <xdr:colOff>516648</xdr:colOff>
      <xdr:row>188</xdr:row>
      <xdr:rowOff>188617</xdr:rowOff>
    </xdr:from>
    <xdr:to>
      <xdr:col>37</xdr:col>
      <xdr:colOff>586423</xdr:colOff>
      <xdr:row>193</xdr:row>
      <xdr:rowOff>74917</xdr:rowOff>
    </xdr:to>
    <xdr:sp macro="" textlink="">
      <xdr:nvSpPr>
        <xdr:cNvPr id="34" name="TextBox 33">
          <a:extLst>
            <a:ext uri="{FF2B5EF4-FFF2-40B4-BE49-F238E27FC236}">
              <a16:creationId xmlns:a16="http://schemas.microsoft.com/office/drawing/2014/main" id="{B2ADA584-C01D-4597-AF3F-5674B251F05D}"/>
            </a:ext>
          </a:extLst>
        </xdr:cNvPr>
        <xdr:cNvSpPr txBox="1"/>
      </xdr:nvSpPr>
      <xdr:spPr>
        <a:xfrm>
          <a:off x="28116736" y="26219882"/>
          <a:ext cx="5784775" cy="8388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eller indeholder tekst.</a:t>
          </a:r>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31</xdr:col>
      <xdr:colOff>445602</xdr:colOff>
      <xdr:row>216</xdr:row>
      <xdr:rowOff>94747</xdr:rowOff>
    </xdr:from>
    <xdr:to>
      <xdr:col>37</xdr:col>
      <xdr:colOff>449635</xdr:colOff>
      <xdr:row>220</xdr:row>
      <xdr:rowOff>163233</xdr:rowOff>
    </xdr:to>
    <xdr:sp macro="" textlink="">
      <xdr:nvSpPr>
        <xdr:cNvPr id="36" name="TextBox 35">
          <a:extLst>
            <a:ext uri="{FF2B5EF4-FFF2-40B4-BE49-F238E27FC236}">
              <a16:creationId xmlns:a16="http://schemas.microsoft.com/office/drawing/2014/main" id="{53DB0723-735F-44B5-B89F-363F706E2D0B}"/>
            </a:ext>
          </a:extLst>
        </xdr:cNvPr>
        <xdr:cNvSpPr txBox="1"/>
      </xdr:nvSpPr>
      <xdr:spPr>
        <a:xfrm>
          <a:off x="28045690" y="30115306"/>
          <a:ext cx="5719033" cy="824136"/>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eller indeholder tekst.</a:t>
          </a:r>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31</xdr:col>
      <xdr:colOff>479220</xdr:colOff>
      <xdr:row>243</xdr:row>
      <xdr:rowOff>92865</xdr:rowOff>
    </xdr:from>
    <xdr:to>
      <xdr:col>37</xdr:col>
      <xdr:colOff>475632</xdr:colOff>
      <xdr:row>247</xdr:row>
      <xdr:rowOff>140820</xdr:rowOff>
    </xdr:to>
    <xdr:sp macro="" textlink="">
      <xdr:nvSpPr>
        <xdr:cNvPr id="37" name="TextBox 36">
          <a:extLst>
            <a:ext uri="{FF2B5EF4-FFF2-40B4-BE49-F238E27FC236}">
              <a16:creationId xmlns:a16="http://schemas.microsoft.com/office/drawing/2014/main" id="{26BD593C-10D9-4A4C-BC08-335B49E879A3}"/>
            </a:ext>
          </a:extLst>
        </xdr:cNvPr>
        <xdr:cNvSpPr txBox="1"/>
      </xdr:nvSpPr>
      <xdr:spPr>
        <a:xfrm>
          <a:off x="28079308" y="35256924"/>
          <a:ext cx="5711412" cy="80360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eller indeholder tekst.</a:t>
          </a:r>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31</xdr:col>
      <xdr:colOff>512838</xdr:colOff>
      <xdr:row>270</xdr:row>
      <xdr:rowOff>35958</xdr:rowOff>
    </xdr:from>
    <xdr:to>
      <xdr:col>37</xdr:col>
      <xdr:colOff>551160</xdr:colOff>
      <xdr:row>274</xdr:row>
      <xdr:rowOff>84792</xdr:rowOff>
    </xdr:to>
    <xdr:sp macro="" textlink="">
      <xdr:nvSpPr>
        <xdr:cNvPr id="39" name="TextBox 38">
          <a:extLst>
            <a:ext uri="{FF2B5EF4-FFF2-40B4-BE49-F238E27FC236}">
              <a16:creationId xmlns:a16="http://schemas.microsoft.com/office/drawing/2014/main" id="{971B0A21-87A7-4A98-B7C1-06E8EDF29431}"/>
            </a:ext>
          </a:extLst>
        </xdr:cNvPr>
        <xdr:cNvSpPr txBox="1"/>
      </xdr:nvSpPr>
      <xdr:spPr>
        <a:xfrm>
          <a:off x="28112926" y="40343517"/>
          <a:ext cx="5753322" cy="80448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eller indeholder tekst.</a:t>
          </a:r>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25</xdr:col>
      <xdr:colOff>265005</xdr:colOff>
      <xdr:row>316</xdr:row>
      <xdr:rowOff>5830</xdr:rowOff>
    </xdr:from>
    <xdr:to>
      <xdr:col>31</xdr:col>
      <xdr:colOff>249986</xdr:colOff>
      <xdr:row>319</xdr:row>
      <xdr:rowOff>171474</xdr:rowOff>
    </xdr:to>
    <xdr:sp macro="" textlink="">
      <xdr:nvSpPr>
        <xdr:cNvPr id="40" name="TextBox 39">
          <a:extLst>
            <a:ext uri="{FF2B5EF4-FFF2-40B4-BE49-F238E27FC236}">
              <a16:creationId xmlns:a16="http://schemas.microsoft.com/office/drawing/2014/main" id="{36862124-F0E8-467B-918A-86EE63033E9C}"/>
            </a:ext>
          </a:extLst>
        </xdr:cNvPr>
        <xdr:cNvSpPr txBox="1"/>
      </xdr:nvSpPr>
      <xdr:spPr>
        <a:xfrm>
          <a:off x="22241778" y="49276057"/>
          <a:ext cx="5699981" cy="727619"/>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0" baseline="0"/>
            <a:t> Her indtastes antallet af installationer (målere) for henholdsvis egenproducenter uden og med produktionsmåler.</a:t>
          </a:r>
          <a:endParaRPr lang="da-DK" sz="900" b="1"/>
        </a:p>
      </xdr:txBody>
    </xdr:sp>
    <xdr:clientData/>
  </xdr:twoCellAnchor>
  <xdr:twoCellAnchor>
    <xdr:from>
      <xdr:col>31</xdr:col>
      <xdr:colOff>512838</xdr:colOff>
      <xdr:row>316</xdr:row>
      <xdr:rowOff>5830</xdr:rowOff>
    </xdr:from>
    <xdr:to>
      <xdr:col>37</xdr:col>
      <xdr:colOff>551160</xdr:colOff>
      <xdr:row>319</xdr:row>
      <xdr:rowOff>161314</xdr:rowOff>
    </xdr:to>
    <xdr:sp macro="" textlink="">
      <xdr:nvSpPr>
        <xdr:cNvPr id="41" name="TextBox 40">
          <a:extLst>
            <a:ext uri="{FF2B5EF4-FFF2-40B4-BE49-F238E27FC236}">
              <a16:creationId xmlns:a16="http://schemas.microsoft.com/office/drawing/2014/main" id="{7879D9A2-CE3F-45DF-98A1-CBAFC73A5B74}"/>
            </a:ext>
          </a:extLst>
        </xdr:cNvPr>
        <xdr:cNvSpPr txBox="1"/>
      </xdr:nvSpPr>
      <xdr:spPr>
        <a:xfrm>
          <a:off x="28204611" y="49276057"/>
          <a:ext cx="5753322" cy="723809"/>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eller indeholder tekst.</a:t>
          </a:r>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31</xdr:col>
      <xdr:colOff>512838</xdr:colOff>
      <xdr:row>321</xdr:row>
      <xdr:rowOff>8573</xdr:rowOff>
    </xdr:from>
    <xdr:to>
      <xdr:col>37</xdr:col>
      <xdr:colOff>534016</xdr:colOff>
      <xdr:row>325</xdr:row>
      <xdr:rowOff>163617</xdr:rowOff>
    </xdr:to>
    <xdr:sp macro="" textlink="">
      <xdr:nvSpPr>
        <xdr:cNvPr id="42" name="TextBox 41">
          <a:extLst>
            <a:ext uri="{FF2B5EF4-FFF2-40B4-BE49-F238E27FC236}">
              <a16:creationId xmlns:a16="http://schemas.microsoft.com/office/drawing/2014/main" id="{E80110A8-41D7-42D2-ADC9-357B2244470F}"/>
            </a:ext>
          </a:extLst>
        </xdr:cNvPr>
        <xdr:cNvSpPr txBox="1"/>
      </xdr:nvSpPr>
      <xdr:spPr>
        <a:xfrm>
          <a:off x="28292220" y="60318632"/>
          <a:ext cx="5736178" cy="827397"/>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eller indeholder tekst.</a:t>
          </a:r>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31</xdr:col>
      <xdr:colOff>512838</xdr:colOff>
      <xdr:row>139</xdr:row>
      <xdr:rowOff>8238</xdr:rowOff>
    </xdr:from>
    <xdr:to>
      <xdr:col>37</xdr:col>
      <xdr:colOff>542906</xdr:colOff>
      <xdr:row>150</xdr:row>
      <xdr:rowOff>103648</xdr:rowOff>
    </xdr:to>
    <xdr:sp macro="" textlink="">
      <xdr:nvSpPr>
        <xdr:cNvPr id="43" name="TextBox 42">
          <a:extLst>
            <a:ext uri="{FF2B5EF4-FFF2-40B4-BE49-F238E27FC236}">
              <a16:creationId xmlns:a16="http://schemas.microsoft.com/office/drawing/2014/main" id="{407CF0D6-D424-4F10-8EBA-960CBB809E81}"/>
            </a:ext>
          </a:extLst>
        </xdr:cNvPr>
        <xdr:cNvSpPr txBox="1"/>
      </xdr:nvSpPr>
      <xdr:spPr>
        <a:xfrm>
          <a:off x="28112926" y="16559326"/>
          <a:ext cx="5751418" cy="1816923"/>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eller indeholder tekst. For</a:t>
          </a:r>
          <a:r>
            <a:rPr lang="da-DK" sz="900" b="0" baseline="0"/>
            <a:t> "Værdi af målere" i række 96 kan det også skyldes, at der er indtastes i "pr. kundekategori"-cellerne, når "Total" er valgt ovenfor eller omvendt.</a:t>
          </a:r>
          <a:endParaRPr lang="da-DK" sz="900" b="0"/>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31</xdr:col>
      <xdr:colOff>529983</xdr:colOff>
      <xdr:row>151</xdr:row>
      <xdr:rowOff>68079</xdr:rowOff>
    </xdr:from>
    <xdr:to>
      <xdr:col>37</xdr:col>
      <xdr:colOff>542906</xdr:colOff>
      <xdr:row>157</xdr:row>
      <xdr:rowOff>88551</xdr:rowOff>
    </xdr:to>
    <xdr:sp macro="" textlink="">
      <xdr:nvSpPr>
        <xdr:cNvPr id="44" name="TextBox 43">
          <a:extLst>
            <a:ext uri="{FF2B5EF4-FFF2-40B4-BE49-F238E27FC236}">
              <a16:creationId xmlns:a16="http://schemas.microsoft.com/office/drawing/2014/main" id="{51749614-D418-4046-BA14-1FE80A514596}"/>
            </a:ext>
          </a:extLst>
        </xdr:cNvPr>
        <xdr:cNvSpPr txBox="1"/>
      </xdr:nvSpPr>
      <xdr:spPr>
        <a:xfrm>
          <a:off x="28130071" y="18546579"/>
          <a:ext cx="5734273" cy="981241"/>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fra kolonne</a:t>
          </a:r>
          <a:r>
            <a:rPr lang="da-DK" sz="900" b="0" baseline="0"/>
            <a:t> R til V </a:t>
          </a:r>
          <a:r>
            <a:rPr lang="da-DK" sz="900" b="0"/>
            <a:t>er indtastet som negativ eller indeholder tekst. Fejlen</a:t>
          </a:r>
          <a:r>
            <a:rPr lang="da-DK" sz="900" b="0" baseline="0"/>
            <a:t> vil kun opstå, hvis "Overskriv GPD" i kolonne N  i rækken er sat til "Ja".</a:t>
          </a:r>
          <a:endParaRPr lang="da-DK" sz="900" b="0"/>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fra kolonne R til V. Fejlen vil kun opstå,</a:t>
          </a:r>
          <a:r>
            <a:rPr lang="da-DK" sz="900" b="0" baseline="0"/>
            <a:t> hvis "Overskriv GPD" i kolonne N  i rækken er sat til "Ja"</a:t>
          </a:r>
          <a:r>
            <a:rPr lang="da-DK" sz="900" b="0"/>
            <a:t> </a:t>
          </a:r>
        </a:p>
      </xdr:txBody>
    </xdr:sp>
    <xdr:clientData/>
  </xdr:twoCellAnchor>
  <xdr:twoCellAnchor>
    <xdr:from>
      <xdr:col>31</xdr:col>
      <xdr:colOff>512838</xdr:colOff>
      <xdr:row>164</xdr:row>
      <xdr:rowOff>0</xdr:rowOff>
    </xdr:from>
    <xdr:to>
      <xdr:col>37</xdr:col>
      <xdr:colOff>554971</xdr:colOff>
      <xdr:row>167</xdr:row>
      <xdr:rowOff>105078</xdr:rowOff>
    </xdr:to>
    <xdr:sp macro="" textlink="">
      <xdr:nvSpPr>
        <xdr:cNvPr id="45" name="TextBox 44">
          <a:extLst>
            <a:ext uri="{FF2B5EF4-FFF2-40B4-BE49-F238E27FC236}">
              <a16:creationId xmlns:a16="http://schemas.microsoft.com/office/drawing/2014/main" id="{3C16800F-A20F-48C0-A904-32AD3F519B08}"/>
            </a:ext>
          </a:extLst>
        </xdr:cNvPr>
        <xdr:cNvSpPr txBox="1"/>
      </xdr:nvSpPr>
      <xdr:spPr>
        <a:xfrm>
          <a:off x="26173188" y="16268700"/>
          <a:ext cx="5757133" cy="670228"/>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indeholder tekst</a:t>
          </a:r>
          <a:r>
            <a:rPr lang="da-DK" sz="900" b="0" baseline="0"/>
            <a:t> eller at der er indtastet værdier for B-høj eller C kundekategorierne</a:t>
          </a:r>
          <a:endParaRPr lang="da-DK" sz="900" b="0"/>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31</xdr:col>
      <xdr:colOff>512838</xdr:colOff>
      <xdr:row>333</xdr:row>
      <xdr:rowOff>4763</xdr:rowOff>
    </xdr:from>
    <xdr:to>
      <xdr:col>37</xdr:col>
      <xdr:colOff>534015</xdr:colOff>
      <xdr:row>336</xdr:row>
      <xdr:rowOff>104753</xdr:rowOff>
    </xdr:to>
    <xdr:sp macro="" textlink="">
      <xdr:nvSpPr>
        <xdr:cNvPr id="47" name="TextBox 46">
          <a:extLst>
            <a:ext uri="{FF2B5EF4-FFF2-40B4-BE49-F238E27FC236}">
              <a16:creationId xmlns:a16="http://schemas.microsoft.com/office/drawing/2014/main" id="{2236F526-6635-45B4-AA65-89EE96B3A6B0}"/>
            </a:ext>
          </a:extLst>
        </xdr:cNvPr>
        <xdr:cNvSpPr txBox="1"/>
      </xdr:nvSpPr>
      <xdr:spPr>
        <a:xfrm>
          <a:off x="28112926" y="52414675"/>
          <a:ext cx="5736177" cy="66831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i="0" baseline="0">
              <a:solidFill>
                <a:sysClr val="windowText" lastClr="000000"/>
              </a:solidFill>
            </a:rPr>
            <a:t>Hvis </a:t>
          </a:r>
          <a:r>
            <a:rPr lang="da-DK" sz="900" b="1" i="0" baseline="0">
              <a:solidFill>
                <a:srgbClr val="FF0000"/>
              </a:solidFill>
            </a:rPr>
            <a:t>fejl</a:t>
          </a:r>
          <a:r>
            <a:rPr lang="da-DK" sz="900" b="0" i="0" baseline="0">
              <a:solidFill>
                <a:sysClr val="windowText" lastClr="000000"/>
              </a:solidFill>
            </a:rPr>
            <a:t> i kolonne L skyldes det, at en eller flere værdier i inputcellerne i rækken er indtastet som negativ eller indeholder tekst.</a:t>
          </a:r>
        </a:p>
        <a:p>
          <a:r>
            <a:rPr lang="da-DK" sz="900" b="0" i="0" baseline="0">
              <a:solidFill>
                <a:sysClr val="windowText" lastClr="000000"/>
              </a:solidFill>
            </a:rPr>
            <a:t>Hvis </a:t>
          </a:r>
          <a:r>
            <a:rPr lang="da-DK" sz="900" b="1" i="0" baseline="0">
              <a:solidFill>
                <a:srgbClr val="D6A300"/>
              </a:solidFill>
            </a:rPr>
            <a:t>kontrol</a:t>
          </a:r>
          <a:r>
            <a:rPr lang="da-DK" sz="900" b="0" i="0" baseline="0">
              <a:solidFill>
                <a:sysClr val="windowText" lastClr="000000"/>
              </a:solidFill>
            </a:rPr>
            <a:t> i kolonne M skyldes det, at der enten er indtastet 0 eller intet er indtastet i en eller flere af inputcellerne i rækken. </a:t>
          </a:r>
        </a:p>
        <a:p>
          <a:endParaRPr lang="da-DK" sz="900" b="0" i="0" baseline="0">
            <a:solidFill>
              <a:sysClr val="windowText" lastClr="000000"/>
            </a:solidFill>
          </a:endParaRPr>
        </a:p>
      </xdr:txBody>
    </xdr:sp>
    <xdr:clientData/>
  </xdr:twoCellAnchor>
  <xdr:twoCellAnchor>
    <xdr:from>
      <xdr:col>25</xdr:col>
      <xdr:colOff>265005</xdr:colOff>
      <xdr:row>337</xdr:row>
      <xdr:rowOff>43981</xdr:rowOff>
    </xdr:from>
    <xdr:to>
      <xdr:col>31</xdr:col>
      <xdr:colOff>295071</xdr:colOff>
      <xdr:row>340</xdr:row>
      <xdr:rowOff>171277</xdr:rowOff>
    </xdr:to>
    <xdr:sp macro="" textlink="">
      <xdr:nvSpPr>
        <xdr:cNvPr id="48" name="TextBox 47">
          <a:extLst>
            <a:ext uri="{FF2B5EF4-FFF2-40B4-BE49-F238E27FC236}">
              <a16:creationId xmlns:a16="http://schemas.microsoft.com/office/drawing/2014/main" id="{CB5488EE-2EAE-439A-84A2-DD3E6031D66A}"/>
            </a:ext>
          </a:extLst>
        </xdr:cNvPr>
        <xdr:cNvSpPr txBox="1"/>
      </xdr:nvSpPr>
      <xdr:spPr>
        <a:xfrm>
          <a:off x="22150093" y="53977893"/>
          <a:ext cx="5745066" cy="698796"/>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i="0" baseline="0">
              <a:solidFill>
                <a:sysClr val="windowText" lastClr="000000"/>
              </a:solidFill>
            </a:rPr>
            <a:t>Beskrivelse:</a:t>
          </a:r>
          <a:r>
            <a:rPr lang="da-DK" sz="900" b="0" i="0" baseline="0">
              <a:solidFill>
                <a:sysClr val="windowText" lastClr="000000"/>
              </a:solidFill>
            </a:rPr>
            <a:t> Der indtastes her sidste periodes forbrugstariffer i sommerperioden. For A og B kundekategorierne vil disse være de samme, som dem om vinteren. Det samme gælder for C kundekategorien for lavlast perioden.  </a:t>
          </a:r>
        </a:p>
        <a:p>
          <a:endParaRPr lang="da-DK" sz="900" b="0" i="0" baseline="0">
            <a:solidFill>
              <a:sysClr val="windowText" lastClr="000000"/>
            </a:solidFill>
          </a:endParaRPr>
        </a:p>
      </xdr:txBody>
    </xdr:sp>
    <xdr:clientData/>
  </xdr:twoCellAnchor>
  <xdr:twoCellAnchor>
    <xdr:from>
      <xdr:col>31</xdr:col>
      <xdr:colOff>512838</xdr:colOff>
      <xdr:row>337</xdr:row>
      <xdr:rowOff>43981</xdr:rowOff>
    </xdr:from>
    <xdr:to>
      <xdr:col>37</xdr:col>
      <xdr:colOff>534015</xdr:colOff>
      <xdr:row>340</xdr:row>
      <xdr:rowOff>172961</xdr:rowOff>
    </xdr:to>
    <xdr:sp macro="" textlink="">
      <xdr:nvSpPr>
        <xdr:cNvPr id="54" name="TextBox 53">
          <a:extLst>
            <a:ext uri="{FF2B5EF4-FFF2-40B4-BE49-F238E27FC236}">
              <a16:creationId xmlns:a16="http://schemas.microsoft.com/office/drawing/2014/main" id="{1846FE04-7146-460A-B6AC-37E319D48E05}"/>
            </a:ext>
          </a:extLst>
        </xdr:cNvPr>
        <xdr:cNvSpPr txBox="1"/>
      </xdr:nvSpPr>
      <xdr:spPr>
        <a:xfrm>
          <a:off x="28112926" y="53977893"/>
          <a:ext cx="5736177" cy="70048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i="0" baseline="0">
              <a:solidFill>
                <a:schemeClr val="dk1"/>
              </a:solidFill>
              <a:effectLst/>
              <a:latin typeface="+mn-lt"/>
              <a:ea typeface="+mn-ea"/>
              <a:cs typeface="+mn-cs"/>
            </a:rPr>
            <a:t>Hvis </a:t>
          </a:r>
          <a:r>
            <a:rPr lang="da-DK" sz="900" b="1" i="0" baseline="0">
              <a:solidFill>
                <a:srgbClr val="FF0000"/>
              </a:solidFill>
              <a:effectLst/>
              <a:latin typeface="+mn-lt"/>
              <a:ea typeface="+mn-ea"/>
              <a:cs typeface="+mn-cs"/>
            </a:rPr>
            <a:t>fejl</a:t>
          </a:r>
          <a:r>
            <a:rPr lang="da-DK" sz="900" b="0" i="0" baseline="0">
              <a:solidFill>
                <a:schemeClr val="dk1"/>
              </a:solidFill>
              <a:effectLst/>
              <a:latin typeface="+mn-lt"/>
              <a:ea typeface="+mn-ea"/>
              <a:cs typeface="+mn-cs"/>
            </a:rPr>
            <a:t> i kolonne L skyldes det, at en eller flere værdier i inputcellerne i rækken er indtastet som negativ eller indeholder tekst.</a:t>
          </a:r>
        </a:p>
        <a:p>
          <a:r>
            <a:rPr lang="da-DK" sz="900" b="0" i="0" baseline="0">
              <a:solidFill>
                <a:schemeClr val="dk1"/>
              </a:solidFill>
              <a:effectLst/>
              <a:latin typeface="+mn-lt"/>
              <a:ea typeface="+mn-ea"/>
              <a:cs typeface="+mn-cs"/>
            </a:rPr>
            <a:t>Hvis </a:t>
          </a:r>
          <a:r>
            <a:rPr lang="da-DK" sz="900" b="1" i="0" baseline="0">
              <a:solidFill>
                <a:srgbClr val="D6A300"/>
              </a:solidFill>
              <a:effectLst/>
              <a:latin typeface="+mn-lt"/>
              <a:ea typeface="+mn-ea"/>
              <a:cs typeface="+mn-cs"/>
            </a:rPr>
            <a:t>kontrol</a:t>
          </a:r>
          <a:r>
            <a:rPr lang="da-DK" sz="900" b="0" i="0" baseline="0">
              <a:solidFill>
                <a:schemeClr val="dk1"/>
              </a:solidFill>
              <a:effectLst/>
              <a:latin typeface="+mn-lt"/>
              <a:ea typeface="+mn-ea"/>
              <a:cs typeface="+mn-cs"/>
            </a:rPr>
            <a:t> i kolonne M skyldes det, at der enten er indtastet 0 eller intet er indtastet i en eller flere af inputcellerne i rækken. </a:t>
          </a:r>
        </a:p>
        <a:p>
          <a:endParaRPr lang="da-DK" sz="900" b="0" i="0" baseline="0">
            <a:solidFill>
              <a:schemeClr val="dk1"/>
            </a:solidFill>
            <a:effectLst/>
            <a:latin typeface="+mn-lt"/>
            <a:ea typeface="+mn-ea"/>
            <a:cs typeface="+mn-cs"/>
          </a:endParaRPr>
        </a:p>
        <a:p>
          <a:endParaRPr lang="da-DK" sz="900" b="0" i="0" baseline="0">
            <a:solidFill>
              <a:schemeClr val="dk1"/>
            </a:solidFill>
            <a:effectLst/>
            <a:latin typeface="+mn-lt"/>
            <a:ea typeface="+mn-ea"/>
            <a:cs typeface="+mn-cs"/>
          </a:endParaRPr>
        </a:p>
      </xdr:txBody>
    </xdr:sp>
    <xdr:clientData/>
  </xdr:twoCellAnchor>
  <xdr:twoCellAnchor>
    <xdr:from>
      <xdr:col>31</xdr:col>
      <xdr:colOff>512838</xdr:colOff>
      <xdr:row>350</xdr:row>
      <xdr:rowOff>27108</xdr:rowOff>
    </xdr:from>
    <xdr:to>
      <xdr:col>37</xdr:col>
      <xdr:colOff>534015</xdr:colOff>
      <xdr:row>353</xdr:row>
      <xdr:rowOff>133737</xdr:rowOff>
    </xdr:to>
    <xdr:sp macro="" textlink="">
      <xdr:nvSpPr>
        <xdr:cNvPr id="56" name="TextBox 55">
          <a:extLst>
            <a:ext uri="{FF2B5EF4-FFF2-40B4-BE49-F238E27FC236}">
              <a16:creationId xmlns:a16="http://schemas.microsoft.com/office/drawing/2014/main" id="{1D2922A5-BCD8-4B8B-AEEF-75ACFDA7A0E0}"/>
            </a:ext>
          </a:extLst>
        </xdr:cNvPr>
        <xdr:cNvSpPr txBox="1"/>
      </xdr:nvSpPr>
      <xdr:spPr>
        <a:xfrm>
          <a:off x="28112926" y="56437520"/>
          <a:ext cx="5736177" cy="678129"/>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i="0" baseline="0">
              <a:solidFill>
                <a:sysClr val="windowText" lastClr="000000"/>
              </a:solidFill>
            </a:rPr>
            <a:t>Hvis </a:t>
          </a:r>
          <a:r>
            <a:rPr lang="da-DK" sz="900" b="0" i="0" baseline="0">
              <a:solidFill>
                <a:srgbClr val="FF0000"/>
              </a:solidFill>
            </a:rPr>
            <a:t>fejl</a:t>
          </a:r>
          <a:r>
            <a:rPr lang="da-DK" sz="900" b="0" i="0" baseline="0">
              <a:solidFill>
                <a:sysClr val="windowText" lastClr="000000"/>
              </a:solidFill>
            </a:rPr>
            <a:t> i kolonne L skyldes det, at en eller flere værdier i inputcellerne  i rækken er indtastet som negativ eller indeholder tekst. Det kan også skyldes, at der er blevet indtastet i de skraverede felter i rækken.</a:t>
          </a:r>
        </a:p>
        <a:p>
          <a:r>
            <a:rPr lang="da-DK" sz="900" b="0" i="0" baseline="0">
              <a:solidFill>
                <a:sysClr val="windowText" lastClr="000000"/>
              </a:solidFill>
            </a:rPr>
            <a:t>Hvis </a:t>
          </a:r>
          <a:r>
            <a:rPr lang="da-DK" sz="900" b="0" i="0" baseline="0">
              <a:solidFill>
                <a:srgbClr val="D6A300"/>
              </a:solidFill>
            </a:rPr>
            <a:t>kontrol</a:t>
          </a:r>
          <a:r>
            <a:rPr lang="da-DK" sz="900" b="0" i="0" baseline="0">
              <a:solidFill>
                <a:sysClr val="windowText" lastClr="000000"/>
              </a:solidFill>
            </a:rPr>
            <a:t> i kolonne M skyldes det, at der enten er indtastet 0 eller intet er indtastet i en eller flere af inputcellerne i rækken. </a:t>
          </a:r>
        </a:p>
        <a:p>
          <a:endParaRPr lang="da-DK" sz="900" b="0" i="0" baseline="0">
            <a:solidFill>
              <a:sysClr val="windowText" lastClr="000000"/>
            </a:solidFill>
          </a:endParaRPr>
        </a:p>
        <a:p>
          <a:endParaRPr lang="da-DK" sz="900" b="0" i="0" baseline="0">
            <a:solidFill>
              <a:sysClr val="windowText" lastClr="000000"/>
            </a:solidFill>
          </a:endParaRPr>
        </a:p>
      </xdr:txBody>
    </xdr:sp>
    <xdr:clientData/>
  </xdr:twoCellAnchor>
  <xdr:twoCellAnchor>
    <xdr:from>
      <xdr:col>31</xdr:col>
      <xdr:colOff>512838</xdr:colOff>
      <xdr:row>354</xdr:row>
      <xdr:rowOff>49105</xdr:rowOff>
    </xdr:from>
    <xdr:to>
      <xdr:col>37</xdr:col>
      <xdr:colOff>534015</xdr:colOff>
      <xdr:row>357</xdr:row>
      <xdr:rowOff>134316</xdr:rowOff>
    </xdr:to>
    <xdr:sp macro="" textlink="">
      <xdr:nvSpPr>
        <xdr:cNvPr id="62" name="TextBox 61">
          <a:extLst>
            <a:ext uri="{FF2B5EF4-FFF2-40B4-BE49-F238E27FC236}">
              <a16:creationId xmlns:a16="http://schemas.microsoft.com/office/drawing/2014/main" id="{F81188EB-AF11-40FC-845A-8B7C3637A145}"/>
            </a:ext>
          </a:extLst>
        </xdr:cNvPr>
        <xdr:cNvSpPr txBox="1"/>
      </xdr:nvSpPr>
      <xdr:spPr>
        <a:xfrm>
          <a:off x="28292220" y="66556017"/>
          <a:ext cx="5736177" cy="656711"/>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i="0" baseline="0">
              <a:solidFill>
                <a:schemeClr val="dk1"/>
              </a:solidFill>
              <a:effectLst/>
              <a:latin typeface="+mn-lt"/>
              <a:ea typeface="+mn-ea"/>
              <a:cs typeface="+mn-cs"/>
            </a:rPr>
            <a:t>Hvis </a:t>
          </a:r>
          <a:r>
            <a:rPr lang="da-DK" sz="900" b="1" i="0" baseline="0">
              <a:solidFill>
                <a:srgbClr val="FF0000"/>
              </a:solidFill>
              <a:effectLst/>
              <a:latin typeface="+mn-lt"/>
              <a:ea typeface="+mn-ea"/>
              <a:cs typeface="+mn-cs"/>
            </a:rPr>
            <a:t>fejl</a:t>
          </a:r>
          <a:r>
            <a:rPr lang="da-DK" sz="900" b="0" i="0" baseline="0">
              <a:solidFill>
                <a:schemeClr val="dk1"/>
              </a:solidFill>
              <a:effectLst/>
              <a:latin typeface="+mn-lt"/>
              <a:ea typeface="+mn-ea"/>
              <a:cs typeface="+mn-cs"/>
            </a:rPr>
            <a:t> i kolonne L skyldes det, at en eller flere værdier i inputcellerne i rækken er indtastet som negativ eller indeholder tekst.</a:t>
          </a:r>
        </a:p>
        <a:p>
          <a:r>
            <a:rPr lang="da-DK" sz="900" b="0" i="0" baseline="0">
              <a:solidFill>
                <a:schemeClr val="dk1"/>
              </a:solidFill>
              <a:effectLst/>
              <a:latin typeface="+mn-lt"/>
              <a:ea typeface="+mn-ea"/>
              <a:cs typeface="+mn-cs"/>
            </a:rPr>
            <a:t>Hvis </a:t>
          </a:r>
          <a:r>
            <a:rPr lang="da-DK" sz="900" b="1" i="0" baseline="0">
              <a:solidFill>
                <a:srgbClr val="D6A300"/>
              </a:solidFill>
              <a:effectLst/>
              <a:latin typeface="+mn-lt"/>
              <a:ea typeface="+mn-ea"/>
              <a:cs typeface="+mn-cs"/>
            </a:rPr>
            <a:t>kontrol</a:t>
          </a:r>
          <a:r>
            <a:rPr lang="da-DK" sz="900" b="0" i="0" baseline="0">
              <a:solidFill>
                <a:schemeClr val="dk1"/>
              </a:solidFill>
              <a:effectLst/>
              <a:latin typeface="+mn-lt"/>
              <a:ea typeface="+mn-ea"/>
              <a:cs typeface="+mn-cs"/>
            </a:rPr>
            <a:t> i kolonne M skyldes det, at der enten er indtastet 0 eller intet er indtastet i en eller flere af inputcellerne i rækken. </a:t>
          </a:r>
        </a:p>
        <a:p>
          <a:endParaRPr lang="da-DK" sz="900" b="0" i="0" baseline="0">
            <a:solidFill>
              <a:schemeClr val="dk1"/>
            </a:solidFill>
            <a:effectLst/>
            <a:latin typeface="+mn-lt"/>
            <a:ea typeface="+mn-ea"/>
            <a:cs typeface="+mn-cs"/>
          </a:endParaRPr>
        </a:p>
        <a:p>
          <a:endParaRPr lang="da-DK" sz="900" b="0" i="0" baseline="0">
            <a:solidFill>
              <a:schemeClr val="dk1"/>
            </a:solidFill>
            <a:effectLst/>
            <a:latin typeface="+mn-lt"/>
            <a:ea typeface="+mn-ea"/>
            <a:cs typeface="+mn-cs"/>
          </a:endParaRPr>
        </a:p>
      </xdr:txBody>
    </xdr:sp>
    <xdr:clientData/>
  </xdr:twoCellAnchor>
  <xdr:twoCellAnchor>
    <xdr:from>
      <xdr:col>31</xdr:col>
      <xdr:colOff>512838</xdr:colOff>
      <xdr:row>346</xdr:row>
      <xdr:rowOff>8072</xdr:rowOff>
    </xdr:from>
    <xdr:to>
      <xdr:col>37</xdr:col>
      <xdr:colOff>514965</xdr:colOff>
      <xdr:row>349</xdr:row>
      <xdr:rowOff>122546</xdr:rowOff>
    </xdr:to>
    <xdr:sp macro="" textlink="">
      <xdr:nvSpPr>
        <xdr:cNvPr id="77" name="TextBox 76">
          <a:extLst>
            <a:ext uri="{FF2B5EF4-FFF2-40B4-BE49-F238E27FC236}">
              <a16:creationId xmlns:a16="http://schemas.microsoft.com/office/drawing/2014/main" id="{76D28293-8C57-41F8-B635-48C62DD2B3D5}"/>
            </a:ext>
          </a:extLst>
        </xdr:cNvPr>
        <xdr:cNvSpPr txBox="1"/>
      </xdr:nvSpPr>
      <xdr:spPr>
        <a:xfrm>
          <a:off x="28112926" y="55656484"/>
          <a:ext cx="5717127" cy="68597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i="0" baseline="0">
              <a:solidFill>
                <a:schemeClr val="dk1"/>
              </a:solidFill>
              <a:effectLst/>
              <a:latin typeface="+mn-lt"/>
              <a:ea typeface="+mn-ea"/>
              <a:cs typeface="+mn-cs"/>
            </a:rPr>
            <a:t>Hvis </a:t>
          </a:r>
          <a:r>
            <a:rPr lang="da-DK" sz="900" b="1" i="0" baseline="0">
              <a:solidFill>
                <a:srgbClr val="FF0000"/>
              </a:solidFill>
              <a:effectLst/>
              <a:latin typeface="+mn-lt"/>
              <a:ea typeface="+mn-ea"/>
              <a:cs typeface="+mn-cs"/>
            </a:rPr>
            <a:t>fejl</a:t>
          </a:r>
          <a:r>
            <a:rPr lang="da-DK" sz="900" b="0" i="0" baseline="0">
              <a:solidFill>
                <a:schemeClr val="dk1"/>
              </a:solidFill>
              <a:effectLst/>
              <a:latin typeface="+mn-lt"/>
              <a:ea typeface="+mn-ea"/>
              <a:cs typeface="+mn-cs"/>
            </a:rPr>
            <a:t> i kolonne L skyldes det, at en eller flere værdier i inputcellerne i rækken er indtastet som negativ eller indeholder tekst.</a:t>
          </a:r>
        </a:p>
        <a:p>
          <a:r>
            <a:rPr lang="da-DK" sz="900" b="0" i="0" baseline="0">
              <a:solidFill>
                <a:schemeClr val="dk1"/>
              </a:solidFill>
              <a:effectLst/>
              <a:latin typeface="+mn-lt"/>
              <a:ea typeface="+mn-ea"/>
              <a:cs typeface="+mn-cs"/>
            </a:rPr>
            <a:t>Hvis </a:t>
          </a:r>
          <a:r>
            <a:rPr lang="da-DK" sz="900" b="1" i="0" baseline="0">
              <a:solidFill>
                <a:srgbClr val="D6A300"/>
              </a:solidFill>
              <a:effectLst/>
              <a:latin typeface="+mn-lt"/>
              <a:ea typeface="+mn-ea"/>
              <a:cs typeface="+mn-cs"/>
            </a:rPr>
            <a:t>kontrol</a:t>
          </a:r>
          <a:r>
            <a:rPr lang="da-DK" sz="900" b="0" i="0" baseline="0">
              <a:solidFill>
                <a:schemeClr val="dk1"/>
              </a:solidFill>
              <a:effectLst/>
              <a:latin typeface="+mn-lt"/>
              <a:ea typeface="+mn-ea"/>
              <a:cs typeface="+mn-cs"/>
            </a:rPr>
            <a:t> i kolonne M skyldes det, at der enten er indtastet 0 eller intet er indtastet i en eller flere af inputcellerne i rækken. </a:t>
          </a:r>
        </a:p>
        <a:p>
          <a:endParaRPr lang="da-DK" sz="900" b="0" i="0" baseline="0">
            <a:solidFill>
              <a:schemeClr val="dk1"/>
            </a:solidFill>
            <a:effectLst/>
            <a:latin typeface="+mn-lt"/>
            <a:ea typeface="+mn-ea"/>
            <a:cs typeface="+mn-cs"/>
          </a:endParaRPr>
        </a:p>
        <a:p>
          <a:endParaRPr lang="da-DK" sz="900" b="0" i="0" baseline="0">
            <a:solidFill>
              <a:schemeClr val="dk1"/>
            </a:solidFill>
            <a:effectLst/>
            <a:latin typeface="+mn-lt"/>
            <a:ea typeface="+mn-ea"/>
            <a:cs typeface="+mn-cs"/>
          </a:endParaRPr>
        </a:p>
      </xdr:txBody>
    </xdr:sp>
    <xdr:clientData/>
  </xdr:twoCellAnchor>
  <xdr:twoCellAnchor>
    <xdr:from>
      <xdr:col>25</xdr:col>
      <xdr:colOff>265006</xdr:colOff>
      <xdr:row>172</xdr:row>
      <xdr:rowOff>180043</xdr:rowOff>
    </xdr:from>
    <xdr:to>
      <xdr:col>31</xdr:col>
      <xdr:colOff>265226</xdr:colOff>
      <xdr:row>178</xdr:row>
      <xdr:rowOff>189043</xdr:rowOff>
    </xdr:to>
    <xdr:sp macro="" textlink="">
      <xdr:nvSpPr>
        <xdr:cNvPr id="46" name="TextBox 45">
          <a:extLst>
            <a:ext uri="{FF2B5EF4-FFF2-40B4-BE49-F238E27FC236}">
              <a16:creationId xmlns:a16="http://schemas.microsoft.com/office/drawing/2014/main" id="{1AD67566-517C-47CE-86AE-5D925099CCF4}"/>
            </a:ext>
          </a:extLst>
        </xdr:cNvPr>
        <xdr:cNvSpPr txBox="1"/>
      </xdr:nvSpPr>
      <xdr:spPr>
        <a:xfrm>
          <a:off x="22150094" y="22401308"/>
          <a:ext cx="5715220" cy="1152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baseline="0"/>
            <a:t>Der skal her tages forskellige valg vedørende omkostningspost 5.2 Øvrige omkostninger. Der skal vælges, hvilken fordelingsnøgle, der skal bruges til at fordele et evt. residual ud med, priselementet, det vil sige, om denne omkostningspost skal opkræves over tarif, tarif og effekt eller abonnement. Desuden vælges det om omkostningsposten både vedrører høj og lav eller alene skal allokeres til lav. Omkostninger, der er fælles for niveauet, allokeres ikke, mens omkostninger, der alene vedrører lav, allokeres til lav forud for vandfaldet. Dette er kun relevant hvis tarif eller tarif/effekt er valgt som priselement. Desuden vælges, om omkostningsgruppen medtages i vandfald.</a:t>
          </a:r>
          <a:endParaRPr lang="da-DK" sz="900" b="0" i="1" baseline="0">
            <a:solidFill>
              <a:srgbClr val="FF0000"/>
            </a:solidFill>
          </a:endParaRPr>
        </a:p>
      </xdr:txBody>
    </xdr:sp>
    <xdr:clientData/>
  </xdr:twoCellAnchor>
  <xdr:twoCellAnchor>
    <xdr:from>
      <xdr:col>31</xdr:col>
      <xdr:colOff>512837</xdr:colOff>
      <xdr:row>172</xdr:row>
      <xdr:rowOff>183218</xdr:rowOff>
    </xdr:from>
    <xdr:to>
      <xdr:col>37</xdr:col>
      <xdr:colOff>582612</xdr:colOff>
      <xdr:row>178</xdr:row>
      <xdr:rowOff>187548</xdr:rowOff>
    </xdr:to>
    <xdr:sp macro="" textlink="">
      <xdr:nvSpPr>
        <xdr:cNvPr id="51" name="TextBox 50">
          <a:extLst>
            <a:ext uri="{FF2B5EF4-FFF2-40B4-BE49-F238E27FC236}">
              <a16:creationId xmlns:a16="http://schemas.microsoft.com/office/drawing/2014/main" id="{7345E8E7-642A-47A5-B410-F1309F28DB4F}"/>
            </a:ext>
          </a:extLst>
        </xdr:cNvPr>
        <xdr:cNvSpPr txBox="1"/>
      </xdr:nvSpPr>
      <xdr:spPr>
        <a:xfrm>
          <a:off x="28112925" y="22404483"/>
          <a:ext cx="5784775" cy="114733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0">
              <a:solidFill>
                <a:srgbClr val="D6A300"/>
              </a:solidFill>
            </a:rPr>
            <a:t>kontrol</a:t>
          </a:r>
          <a:r>
            <a:rPr lang="da-DK" sz="900" b="0"/>
            <a:t> ved</a:t>
          </a:r>
          <a:r>
            <a:rPr lang="da-DK" sz="900" b="0" baseline="0"/>
            <a:t> "Allokeringsmæssig differentiering" </a:t>
          </a:r>
          <a:r>
            <a:rPr lang="da-DK" sz="900" b="0"/>
            <a:t>i kolonne M skyldes det enten, at der er valgt "Abonnement" som priselement, men der i listen ikke er valgt "Ej relevant", eller at der i</a:t>
          </a:r>
          <a:r>
            <a:rPr lang="da-DK" sz="900" b="0" baseline="0"/>
            <a:t> listen</a:t>
          </a:r>
          <a:r>
            <a:rPr lang="da-DK" sz="900" b="0"/>
            <a:t> er valgt "Ej relevant", selvom der er valgt "Tarif" eller "Tarif/effekt".</a:t>
          </a:r>
        </a:p>
        <a:p>
          <a:r>
            <a:rPr lang="da-DK" sz="900" b="0"/>
            <a:t>Hvis </a:t>
          </a:r>
          <a:r>
            <a:rPr lang="da-DK" sz="900" b="0">
              <a:solidFill>
                <a:srgbClr val="D6A300"/>
              </a:solidFill>
            </a:rPr>
            <a:t>kontrol</a:t>
          </a:r>
          <a:r>
            <a:rPr lang="da-DK" sz="900" b="0" baseline="0">
              <a:solidFill>
                <a:schemeClr val="dk1"/>
              </a:solidFill>
            </a:rPr>
            <a:t> ved "Medtages i vandfald (ja/nej)" </a:t>
          </a:r>
          <a:r>
            <a:rPr lang="da-DK" sz="900" b="0"/>
            <a:t>i kolonne M skyldes det enten, at der er valgt "Abonnement" som priselement, men der i listen er valgt "Ja", eller at der er valgt "Abonnement", men der i</a:t>
          </a:r>
          <a:r>
            <a:rPr lang="da-DK" sz="900" b="0" baseline="0"/>
            <a:t> listen</a:t>
          </a:r>
          <a:r>
            <a:rPr lang="da-DK" sz="900" b="0"/>
            <a:t> vælges "Nej" til vandfald.</a:t>
          </a:r>
        </a:p>
        <a:p>
          <a:endParaRPr lang="da-DK" sz="900" b="0"/>
        </a:p>
      </xdr:txBody>
    </xdr:sp>
    <xdr:clientData/>
  </xdr:twoCellAnchor>
  <xdr:twoCellAnchor editAs="oneCell">
    <xdr:from>
      <xdr:col>1</xdr:col>
      <xdr:colOff>95250</xdr:colOff>
      <xdr:row>3</xdr:row>
      <xdr:rowOff>95250</xdr:rowOff>
    </xdr:from>
    <xdr:to>
      <xdr:col>4</xdr:col>
      <xdr:colOff>1216793</xdr:colOff>
      <xdr:row>7</xdr:row>
      <xdr:rowOff>130896</xdr:rowOff>
    </xdr:to>
    <xdr:pic>
      <xdr:nvPicPr>
        <xdr:cNvPr id="53" name="Picture 52">
          <a:extLst>
            <a:ext uri="{FF2B5EF4-FFF2-40B4-BE49-F238E27FC236}">
              <a16:creationId xmlns:a16="http://schemas.microsoft.com/office/drawing/2014/main" id="{DDCB7807-AED3-499E-85DC-F82FF460792F}"/>
            </a:ext>
          </a:extLst>
        </xdr:cNvPr>
        <xdr:cNvPicPr>
          <a:picLocks noChangeAspect="1"/>
        </xdr:cNvPicPr>
      </xdr:nvPicPr>
      <xdr:blipFill>
        <a:blip xmlns:r="http://schemas.openxmlformats.org/officeDocument/2006/relationships" r:embed="rId1"/>
        <a:stretch>
          <a:fillRect/>
        </a:stretch>
      </xdr:blipFill>
      <xdr:spPr>
        <a:xfrm>
          <a:off x="171450" y="590550"/>
          <a:ext cx="1832743" cy="791296"/>
        </a:xfrm>
        <a:prstGeom prst="rect">
          <a:avLst/>
        </a:prstGeom>
      </xdr:spPr>
    </xdr:pic>
    <xdr:clientData/>
  </xdr:twoCellAnchor>
  <xdr:twoCellAnchor>
    <xdr:from>
      <xdr:col>25</xdr:col>
      <xdr:colOff>265005</xdr:colOff>
      <xdr:row>98</xdr:row>
      <xdr:rowOff>174499</xdr:rowOff>
    </xdr:from>
    <xdr:to>
      <xdr:col>31</xdr:col>
      <xdr:colOff>267130</xdr:colOff>
      <xdr:row>107</xdr:row>
      <xdr:rowOff>163290</xdr:rowOff>
    </xdr:to>
    <xdr:sp macro="" textlink="">
      <xdr:nvSpPr>
        <xdr:cNvPr id="60" name="TextBox 59">
          <a:extLst>
            <a:ext uri="{FF2B5EF4-FFF2-40B4-BE49-F238E27FC236}">
              <a16:creationId xmlns:a16="http://schemas.microsoft.com/office/drawing/2014/main" id="{0362209A-4A1C-438D-8F38-57CAB6433F5C}"/>
            </a:ext>
          </a:extLst>
        </xdr:cNvPr>
        <xdr:cNvSpPr txBox="1"/>
      </xdr:nvSpPr>
      <xdr:spPr>
        <a:xfrm>
          <a:off x="22145291" y="18244785"/>
          <a:ext cx="5717125" cy="1703291"/>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t>Beskrivelse: </a:t>
          </a:r>
          <a:r>
            <a:rPr lang="da-DK" sz="900">
              <a:solidFill>
                <a:schemeClr val="dk1"/>
              </a:solidFill>
              <a:effectLst/>
              <a:latin typeface="+mn-lt"/>
              <a:ea typeface="+mn-ea"/>
              <a:cs typeface="+mn-cs"/>
            </a:rPr>
            <a:t>Det er Green</a:t>
          </a:r>
          <a:r>
            <a:rPr lang="da-DK" sz="900" baseline="0">
              <a:solidFill>
                <a:schemeClr val="dk1"/>
              </a:solidFill>
              <a:effectLst/>
              <a:latin typeface="+mn-lt"/>
              <a:ea typeface="+mn-ea"/>
              <a:cs typeface="+mn-cs"/>
            </a:rPr>
            <a:t> Power Denmark</a:t>
          </a:r>
          <a:r>
            <a:rPr lang="da-DK" sz="900">
              <a:solidFill>
                <a:schemeClr val="dk1"/>
              </a:solidFill>
              <a:effectLst/>
              <a:latin typeface="+mn-lt"/>
              <a:ea typeface="+mn-ea"/>
              <a:cs typeface="+mn-cs"/>
            </a:rPr>
            <a:t>s anbefaling, at størstedelen af posterne så vidt muligt fordeles direkte ud på kundekategorierne. Såfremt det ikke ønskes at foretage en fuldstændig eller delvis fuldstændig direkte fordeling af den pågældende post ud på kundekategorier anvendes en fordelingsnøgle til at fordele omkostningsposten (evt. alene den rest, der ikke er direkte fordelt). De</a:t>
          </a:r>
          <a:r>
            <a:rPr lang="da-DK" sz="900" baseline="0">
              <a:solidFill>
                <a:schemeClr val="dk1"/>
              </a:solidFill>
              <a:effectLst/>
              <a:latin typeface="+mn-lt"/>
              <a:ea typeface="+mn-ea"/>
              <a:cs typeface="+mn-cs"/>
            </a:rPr>
            <a:t> omkostningsposter der ikke henvender sig til indfødning er skraveret.</a:t>
          </a:r>
          <a:endParaRPr lang="da-DK" sz="900"/>
        </a:p>
        <a:p>
          <a:endParaRPr lang="da-DK" sz="900"/>
        </a:p>
        <a:p>
          <a:r>
            <a:rPr lang="da-DK" sz="900"/>
            <a:t>De</a:t>
          </a:r>
          <a:r>
            <a:rPr lang="da-DK" sz="900" baseline="0"/>
            <a:t> totale budgetterede omkostninger for en given post indtastes i kolonne N. De omkostninger, som ønskes at fordeles direkte indtastes i kolonne O til V. Et evt. residual efter direkte fordeling bliver fordelt vha. en fordelingsnøgle. </a:t>
          </a:r>
          <a:r>
            <a:rPr lang="da-DK" sz="900" baseline="0">
              <a:solidFill>
                <a:schemeClr val="tx1"/>
              </a:solidFill>
            </a:rPr>
            <a:t>Der skal ikke indtastes for de skraverede celler.</a:t>
          </a:r>
        </a:p>
        <a:p>
          <a:endParaRPr lang="da-DK" sz="900" baseline="0">
            <a:solidFill>
              <a:schemeClr val="tx1"/>
            </a:solidFill>
          </a:endParaRPr>
        </a:p>
        <a:p>
          <a:r>
            <a:rPr lang="da-DK" sz="900" baseline="0">
              <a:solidFill>
                <a:schemeClr val="tx1"/>
              </a:solidFill>
            </a:rPr>
            <a:t>Hjælp til fordeling af de budgetterede omkostninger for omkostningsposterne 1.1, 1.2, 4.1, 4.2 og 5.1 mellem forbrug og indfødning kan findes i hjælpearket, fall-back metoden</a:t>
          </a:r>
        </a:p>
        <a:p>
          <a:endParaRPr lang="da-DK" sz="900" baseline="0">
            <a:solidFill>
              <a:schemeClr val="tx1"/>
            </a:solidFill>
          </a:endParaRPr>
        </a:p>
        <a:p>
          <a:endParaRPr lang="da-DK" sz="900" baseline="0">
            <a:solidFill>
              <a:schemeClr val="tx1"/>
            </a:solidFill>
          </a:endParaRPr>
        </a:p>
        <a:p>
          <a:endParaRPr lang="da-DK" sz="900" baseline="0">
            <a:solidFill>
              <a:schemeClr val="tx1"/>
            </a:solidFill>
          </a:endParaRPr>
        </a:p>
      </xdr:txBody>
    </xdr:sp>
    <xdr:clientData/>
  </xdr:twoCellAnchor>
  <xdr:twoCellAnchor>
    <xdr:from>
      <xdr:col>31</xdr:col>
      <xdr:colOff>516648</xdr:colOff>
      <xdr:row>117</xdr:row>
      <xdr:rowOff>11210</xdr:rowOff>
    </xdr:from>
    <xdr:to>
      <xdr:col>37</xdr:col>
      <xdr:colOff>516871</xdr:colOff>
      <xdr:row>126</xdr:row>
      <xdr:rowOff>0</xdr:rowOff>
    </xdr:to>
    <xdr:sp macro="" textlink="">
      <xdr:nvSpPr>
        <xdr:cNvPr id="61" name="TextBox 60">
          <a:extLst>
            <a:ext uri="{FF2B5EF4-FFF2-40B4-BE49-F238E27FC236}">
              <a16:creationId xmlns:a16="http://schemas.microsoft.com/office/drawing/2014/main" id="{91CFDB24-5DED-4084-B4D8-B04A25A0D846}"/>
            </a:ext>
          </a:extLst>
        </xdr:cNvPr>
        <xdr:cNvSpPr txBox="1"/>
      </xdr:nvSpPr>
      <xdr:spPr>
        <a:xfrm>
          <a:off x="28116736" y="12371298"/>
          <a:ext cx="5715223" cy="170329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0"/>
            <a:t>Hvis </a:t>
          </a:r>
          <a:r>
            <a:rPr lang="da-DK" sz="900" b="1">
              <a:solidFill>
                <a:srgbClr val="FF0000"/>
              </a:solidFill>
            </a:rPr>
            <a:t>fejl</a:t>
          </a:r>
          <a:r>
            <a:rPr lang="da-DK" sz="900" b="0"/>
            <a:t> i kolonne L skyldes det, at en eller flere værdier i inputcellerne i rækken er indtastet som negative, indeholder tekst,</a:t>
          </a:r>
          <a:r>
            <a:rPr lang="da-DK" sz="900" b="0" baseline="0"/>
            <a:t> eller at residualet er negativt, hvilket betyder, at der er fordelt for meget ud på de enkelte kundekategorier i forhold til "Total"</a:t>
          </a:r>
          <a:r>
            <a:rPr lang="da-DK" sz="900" b="0"/>
            <a:t>. Fejlen</a:t>
          </a:r>
          <a:r>
            <a:rPr lang="da-DK" sz="900" b="0" baseline="0"/>
            <a:t> kan ligeledes skyldes, at der er indtastet et tal forskelligt fra 0 i de skraverede celler, eller de samlede indtastede omkostninger fordelt på forbrug og indfødning overgår det samlede tariferingsgrundlag. Herudover kan fejlen skyldes, at der er indtastet et tariferingsgrundlag selvom modellen udelukkende benyttes til beregning af indfødningstariffer.</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baseline="0"/>
        </a:p>
        <a:p>
          <a:pPr marL="0" marR="0" lvl="0" indent="0" defTabSz="914400" rtl="0" eaLnBrk="1" fontAlgn="auto" latinLnBrk="0" hangingPunct="1">
            <a:lnSpc>
              <a:spcPct val="100000"/>
            </a:lnSpc>
            <a:spcBef>
              <a:spcPts val="0"/>
            </a:spcBef>
            <a:spcAft>
              <a:spcPts val="0"/>
            </a:spcAft>
            <a:buClrTx/>
            <a:buSzTx/>
            <a:buFontTx/>
            <a:buNone/>
            <a:tabLst/>
            <a:defRPr/>
          </a:pPr>
          <a:r>
            <a:rPr lang="da-DK" sz="900" b="0"/>
            <a:t>Hvis </a:t>
          </a:r>
          <a:r>
            <a:rPr lang="da-DK" sz="900" b="1">
              <a:solidFill>
                <a:srgbClr val="D6A300"/>
              </a:solidFill>
            </a:rPr>
            <a:t>kontrol</a:t>
          </a:r>
          <a:r>
            <a:rPr lang="da-DK" sz="900" b="0"/>
            <a:t> i kolonne M skyldes det, at der enten er indtastet 0 eller intet er indtastet i inputcellen under "Total" i</a:t>
          </a:r>
          <a:r>
            <a:rPr lang="da-DK" sz="900" b="0" baseline="0"/>
            <a:t> kolonne N. </a:t>
          </a:r>
          <a:endParaRPr lang="da-DK" sz="900" b="0"/>
        </a:p>
      </xdr:txBody>
    </xdr:sp>
    <xdr:clientData/>
  </xdr:twoCellAnchor>
  <xdr:twoCellAnchor>
    <xdr:from>
      <xdr:col>25</xdr:col>
      <xdr:colOff>265005</xdr:colOff>
      <xdr:row>303</xdr:row>
      <xdr:rowOff>176895</xdr:rowOff>
    </xdr:from>
    <xdr:to>
      <xdr:col>31</xdr:col>
      <xdr:colOff>298355</xdr:colOff>
      <xdr:row>305</xdr:row>
      <xdr:rowOff>176895</xdr:rowOff>
    </xdr:to>
    <xdr:sp macro="" textlink="">
      <xdr:nvSpPr>
        <xdr:cNvPr id="81" name="TextBox 80">
          <a:extLst>
            <a:ext uri="{FF2B5EF4-FFF2-40B4-BE49-F238E27FC236}">
              <a16:creationId xmlns:a16="http://schemas.microsoft.com/office/drawing/2014/main" id="{3ACA9C37-2FB3-4242-88CF-18BD04263685}"/>
            </a:ext>
          </a:extLst>
        </xdr:cNvPr>
        <xdr:cNvSpPr txBox="1"/>
      </xdr:nvSpPr>
      <xdr:spPr>
        <a:xfrm>
          <a:off x="22145291" y="9103181"/>
          <a:ext cx="5748350" cy="381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 </a:t>
          </a:r>
          <a:r>
            <a:rPr lang="da-DK" sz="900" b="0"/>
            <a:t>Der skal</a:t>
          </a:r>
          <a:r>
            <a:rPr lang="da-DK" sz="900" b="0" baseline="0"/>
            <a:t> her indtastes de budgetterede indfødte mængder der hhv. inkluderer eller ikke inkluderer kWh fritaget fra indfødningstariffer.</a:t>
          </a:r>
        </a:p>
      </xdr:txBody>
    </xdr:sp>
    <xdr:clientData/>
  </xdr:twoCellAnchor>
  <xdr:twoCellAnchor>
    <xdr:from>
      <xdr:col>31</xdr:col>
      <xdr:colOff>526300</xdr:colOff>
      <xdr:row>303</xdr:row>
      <xdr:rowOff>176895</xdr:rowOff>
    </xdr:from>
    <xdr:to>
      <xdr:col>37</xdr:col>
      <xdr:colOff>592900</xdr:colOff>
      <xdr:row>305</xdr:row>
      <xdr:rowOff>176895</xdr:rowOff>
    </xdr:to>
    <xdr:sp macro="" textlink="">
      <xdr:nvSpPr>
        <xdr:cNvPr id="82" name="TextBox 81">
          <a:extLst>
            <a:ext uri="{FF2B5EF4-FFF2-40B4-BE49-F238E27FC236}">
              <a16:creationId xmlns:a16="http://schemas.microsoft.com/office/drawing/2014/main" id="{BDE4AA9F-06BA-48CA-8DB1-5BE5F8439C3D}"/>
            </a:ext>
          </a:extLst>
        </xdr:cNvPr>
        <xdr:cNvSpPr txBox="1"/>
      </xdr:nvSpPr>
      <xdr:spPr>
        <a:xfrm>
          <a:off x="28121586" y="9103181"/>
          <a:ext cx="5781600" cy="3810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eller indeholder tekst.</a:t>
          </a:r>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25</xdr:col>
      <xdr:colOff>238878</xdr:colOff>
      <xdr:row>182</xdr:row>
      <xdr:rowOff>0</xdr:rowOff>
    </xdr:from>
    <xdr:to>
      <xdr:col>31</xdr:col>
      <xdr:colOff>240678</xdr:colOff>
      <xdr:row>185</xdr:row>
      <xdr:rowOff>0</xdr:rowOff>
    </xdr:to>
    <xdr:sp macro="" textlink="">
      <xdr:nvSpPr>
        <xdr:cNvPr id="58" name="TextBox 57">
          <a:extLst>
            <a:ext uri="{FF2B5EF4-FFF2-40B4-BE49-F238E27FC236}">
              <a16:creationId xmlns:a16="http://schemas.microsoft.com/office/drawing/2014/main" id="{A5BADA13-FB2B-4C97-917F-10ECE8DEC9A6}"/>
            </a:ext>
          </a:extLst>
        </xdr:cNvPr>
        <xdr:cNvSpPr txBox="1"/>
      </xdr:nvSpPr>
      <xdr:spPr>
        <a:xfrm>
          <a:off x="22123966" y="24126265"/>
          <a:ext cx="5716800" cy="644649"/>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 </a:t>
          </a:r>
          <a:r>
            <a:rPr lang="da-DK" sz="900" b="0"/>
            <a:t>Her indtastes egetforbruget i kWh, hvorpå egenproducenter med produktionsmåler betaler en rådighedstarif, hvilket bruges i beregningen af rådighedstariffen.</a:t>
          </a:r>
        </a:p>
      </xdr:txBody>
    </xdr:sp>
    <xdr:clientData/>
  </xdr:twoCellAnchor>
  <xdr:twoCellAnchor>
    <xdr:from>
      <xdr:col>31</xdr:col>
      <xdr:colOff>512837</xdr:colOff>
      <xdr:row>182</xdr:row>
      <xdr:rowOff>0</xdr:rowOff>
    </xdr:from>
    <xdr:to>
      <xdr:col>37</xdr:col>
      <xdr:colOff>569912</xdr:colOff>
      <xdr:row>185</xdr:row>
      <xdr:rowOff>0</xdr:rowOff>
    </xdr:to>
    <xdr:sp macro="" textlink="">
      <xdr:nvSpPr>
        <xdr:cNvPr id="59" name="TextBox 58">
          <a:extLst>
            <a:ext uri="{FF2B5EF4-FFF2-40B4-BE49-F238E27FC236}">
              <a16:creationId xmlns:a16="http://schemas.microsoft.com/office/drawing/2014/main" id="{1EB15C9F-D359-4D06-90B9-23B94700D574}"/>
            </a:ext>
          </a:extLst>
        </xdr:cNvPr>
        <xdr:cNvSpPr txBox="1"/>
      </xdr:nvSpPr>
      <xdr:spPr>
        <a:xfrm>
          <a:off x="28112925" y="24126265"/>
          <a:ext cx="5772075" cy="644651"/>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0"/>
            <a:t>Hvis </a:t>
          </a:r>
          <a:r>
            <a:rPr lang="da-DK" sz="900" b="1">
              <a:solidFill>
                <a:srgbClr val="FF0000"/>
              </a:solidFill>
            </a:rPr>
            <a:t>fejl</a:t>
          </a:r>
          <a:r>
            <a:rPr lang="da-DK" sz="900" b="0"/>
            <a:t> i kolonne L skyldes det, at en eller flere værdier i inputcellerne i rækken er indtastet som negativ eller indeholder tekst.</a:t>
          </a:r>
        </a:p>
        <a:p>
          <a:r>
            <a:rPr lang="da-DK" sz="900" b="0"/>
            <a:t>Hvis </a:t>
          </a:r>
          <a:r>
            <a:rPr lang="da-DK" sz="900" b="1">
              <a:solidFill>
                <a:srgbClr val="D6A300"/>
              </a:solidFill>
            </a:rPr>
            <a:t>kontrol</a:t>
          </a:r>
          <a:r>
            <a:rPr lang="da-DK" sz="900" b="0"/>
            <a:t> i kolonne M skyldes det, at der enten er indtastet 0 eller intet er indtastet i en eller flere af inputcellerne i rækken. </a:t>
          </a:r>
        </a:p>
      </xdr:txBody>
    </xdr:sp>
    <xdr:clientData/>
  </xdr:twoCellAnchor>
  <xdr:twoCellAnchor>
    <xdr:from>
      <xdr:col>25</xdr:col>
      <xdr:colOff>265005</xdr:colOff>
      <xdr:row>350</xdr:row>
      <xdr:rowOff>32159</xdr:rowOff>
    </xdr:from>
    <xdr:to>
      <xdr:col>31</xdr:col>
      <xdr:colOff>286181</xdr:colOff>
      <xdr:row>353</xdr:row>
      <xdr:rowOff>133734</xdr:rowOff>
    </xdr:to>
    <xdr:sp macro="" textlink="">
      <xdr:nvSpPr>
        <xdr:cNvPr id="65" name="TextBox 64">
          <a:extLst>
            <a:ext uri="{FF2B5EF4-FFF2-40B4-BE49-F238E27FC236}">
              <a16:creationId xmlns:a16="http://schemas.microsoft.com/office/drawing/2014/main" id="{2E25FE71-45EB-4463-900E-B00BA2B47F42}"/>
            </a:ext>
          </a:extLst>
        </xdr:cNvPr>
        <xdr:cNvSpPr txBox="1"/>
      </xdr:nvSpPr>
      <xdr:spPr>
        <a:xfrm>
          <a:off x="22150093" y="56442571"/>
          <a:ext cx="5736176" cy="673075"/>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i="0" baseline="0">
              <a:solidFill>
                <a:sysClr val="windowText" lastClr="000000"/>
              </a:solidFill>
            </a:rPr>
            <a:t>Beskrivelse: </a:t>
          </a:r>
          <a:r>
            <a:rPr lang="da-DK" sz="900" b="0" i="0" baseline="0">
              <a:solidFill>
                <a:sysClr val="windowText" lastClr="000000"/>
              </a:solidFill>
            </a:rPr>
            <a:t>Der indtastes her sidste periodes effektpriser (pris. pr. effektblok) for kundekategorierne A-høj, A-lav og B-høj. </a:t>
          </a:r>
        </a:p>
      </xdr:txBody>
    </xdr:sp>
    <xdr:clientData/>
  </xdr:twoCellAnchor>
  <xdr:twoCellAnchor>
    <xdr:from>
      <xdr:col>25</xdr:col>
      <xdr:colOff>265005</xdr:colOff>
      <xdr:row>354</xdr:row>
      <xdr:rowOff>50762</xdr:rowOff>
    </xdr:from>
    <xdr:to>
      <xdr:col>31</xdr:col>
      <xdr:colOff>286181</xdr:colOff>
      <xdr:row>357</xdr:row>
      <xdr:rowOff>134470</xdr:rowOff>
    </xdr:to>
    <xdr:sp macro="" textlink="">
      <xdr:nvSpPr>
        <xdr:cNvPr id="66" name="TextBox 65">
          <a:extLst>
            <a:ext uri="{FF2B5EF4-FFF2-40B4-BE49-F238E27FC236}">
              <a16:creationId xmlns:a16="http://schemas.microsoft.com/office/drawing/2014/main" id="{B6B1FF75-A938-42EB-9CB9-EF7B31CADAD7}"/>
            </a:ext>
          </a:extLst>
        </xdr:cNvPr>
        <xdr:cNvSpPr txBox="1"/>
      </xdr:nvSpPr>
      <xdr:spPr>
        <a:xfrm>
          <a:off x="22329387" y="66557674"/>
          <a:ext cx="5736176" cy="655208"/>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i="0" baseline="0">
              <a:solidFill>
                <a:sysClr val="windowText" lastClr="000000"/>
              </a:solidFill>
            </a:rPr>
            <a:t>Beskrivelse: </a:t>
          </a:r>
          <a:r>
            <a:rPr lang="da-DK" sz="900" b="0" i="0" baseline="0">
              <a:solidFill>
                <a:sysClr val="windowText" lastClr="000000"/>
              </a:solidFill>
            </a:rPr>
            <a:t>Der indtastes her sidste periodes priser for de forskellige abonnementer. A-høj+ og A-høj+,maske er indeholdt i A-høj kolonnen. </a:t>
          </a:r>
          <a:endParaRPr lang="da-DK" sz="900" b="1" i="0" baseline="0">
            <a:solidFill>
              <a:sysClr val="windowText" lastClr="000000"/>
            </a:solidFill>
          </a:endParaRPr>
        </a:p>
      </xdr:txBody>
    </xdr:sp>
    <xdr:clientData/>
  </xdr:twoCellAnchor>
  <xdr:twoCellAnchor>
    <xdr:from>
      <xdr:col>25</xdr:col>
      <xdr:colOff>265005</xdr:colOff>
      <xdr:row>346</xdr:row>
      <xdr:rowOff>1</xdr:rowOff>
    </xdr:from>
    <xdr:to>
      <xdr:col>31</xdr:col>
      <xdr:colOff>276021</xdr:colOff>
      <xdr:row>349</xdr:row>
      <xdr:rowOff>122553</xdr:rowOff>
    </xdr:to>
    <xdr:sp macro="" textlink="">
      <xdr:nvSpPr>
        <xdr:cNvPr id="67" name="TextBox 66">
          <a:extLst>
            <a:ext uri="{FF2B5EF4-FFF2-40B4-BE49-F238E27FC236}">
              <a16:creationId xmlns:a16="http://schemas.microsoft.com/office/drawing/2014/main" id="{76967635-399A-4D63-8CFD-AFDF8E387D2F}"/>
            </a:ext>
          </a:extLst>
        </xdr:cNvPr>
        <xdr:cNvSpPr txBox="1"/>
      </xdr:nvSpPr>
      <xdr:spPr>
        <a:xfrm>
          <a:off x="22150093" y="55648413"/>
          <a:ext cx="5726016" cy="694052"/>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i="0" baseline="0">
              <a:solidFill>
                <a:sysClr val="windowText" lastClr="000000"/>
              </a:solidFill>
            </a:rPr>
            <a:t>Beskrivelse</a:t>
          </a:r>
          <a:r>
            <a:rPr lang="da-DK" sz="900" b="0" i="0" baseline="0">
              <a:solidFill>
                <a:sysClr val="windowText" lastClr="000000"/>
              </a:solidFill>
            </a:rPr>
            <a:t>: Her indtastes sidste periodes rådighedstarif.</a:t>
          </a:r>
        </a:p>
      </xdr:txBody>
    </xdr:sp>
    <xdr:clientData/>
  </xdr:twoCellAnchor>
  <xdr:twoCellAnchor>
    <xdr:from>
      <xdr:col>25</xdr:col>
      <xdr:colOff>265005</xdr:colOff>
      <xdr:row>12</xdr:row>
      <xdr:rowOff>168091</xdr:rowOff>
    </xdr:from>
    <xdr:to>
      <xdr:col>31</xdr:col>
      <xdr:colOff>266805</xdr:colOff>
      <xdr:row>19</xdr:row>
      <xdr:rowOff>22415</xdr:rowOff>
    </xdr:to>
    <xdr:sp macro="" textlink="">
      <xdr:nvSpPr>
        <xdr:cNvPr id="50" name="TextBox 49">
          <a:extLst>
            <a:ext uri="{FF2B5EF4-FFF2-40B4-BE49-F238E27FC236}">
              <a16:creationId xmlns:a16="http://schemas.microsoft.com/office/drawing/2014/main" id="{43BCF776-0B04-4747-ACF6-D5F233485EE1}"/>
            </a:ext>
          </a:extLst>
        </xdr:cNvPr>
        <xdr:cNvSpPr txBox="1"/>
      </xdr:nvSpPr>
      <xdr:spPr>
        <a:xfrm>
          <a:off x="22150093" y="2241179"/>
          <a:ext cx="5716800" cy="1187824"/>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 </a:t>
          </a:r>
          <a:r>
            <a:rPr lang="da-DK" sz="900" b="0"/>
            <a:t>Her skal der tages et valg vedrørende input</a:t>
          </a:r>
          <a:r>
            <a:rPr lang="da-DK" sz="900" b="0" baseline="0"/>
            <a:t>, som skal bruges i fall-back-metoden. Der skal vælges, om modellen kun benyttes til beregning af indfødningstariffer. Benyttes modellen udelukkende til beregning af indfødningstariffer vælges "Ja" hvorefter input-cellerne fra række 190:294 skraveres, og der kun skal indtastes de samlede budgetterede leverede mængder i række 187 til brug for fall-back-metoden. </a:t>
          </a:r>
          <a:br>
            <a:rPr lang="da-DK" sz="900" b="0" baseline="0"/>
          </a:br>
          <a:r>
            <a:rPr lang="da-DK" sz="900" b="0" baseline="0"/>
            <a:t>Hvis modellen udelukkende benyttes til beregning af indfødningstariffer skal der kun indtastes input under følgende sektioner: 4) Omkostninger til indfødning, 7) Leverede mængder, 8) Indfødte mængder, 10) Eksisterende tarifblad til brug for varslingsoutput (kun for indfødningstarif) og evt. 1) Totale omkostninger i "Hjælpeark, fall-back-metoden".</a:t>
          </a:r>
          <a:endParaRPr lang="da-DK" sz="900" b="0"/>
        </a:p>
      </xdr:txBody>
    </xdr:sp>
    <xdr:clientData/>
  </xdr:twoCellAnchor>
  <xdr:twoCellAnchor>
    <xdr:from>
      <xdr:col>25</xdr:col>
      <xdr:colOff>265005</xdr:colOff>
      <xdr:row>19</xdr:row>
      <xdr:rowOff>186020</xdr:rowOff>
    </xdr:from>
    <xdr:to>
      <xdr:col>31</xdr:col>
      <xdr:colOff>266805</xdr:colOff>
      <xdr:row>23</xdr:row>
      <xdr:rowOff>33619</xdr:rowOff>
    </xdr:to>
    <xdr:sp macro="" textlink="">
      <xdr:nvSpPr>
        <xdr:cNvPr id="52" name="TextBox 51">
          <a:extLst>
            <a:ext uri="{FF2B5EF4-FFF2-40B4-BE49-F238E27FC236}">
              <a16:creationId xmlns:a16="http://schemas.microsoft.com/office/drawing/2014/main" id="{BE3227EB-F7BF-44E2-821C-BCA3403F0E2D}"/>
            </a:ext>
          </a:extLst>
        </xdr:cNvPr>
        <xdr:cNvSpPr txBox="1"/>
      </xdr:nvSpPr>
      <xdr:spPr>
        <a:xfrm>
          <a:off x="22150093" y="3592608"/>
          <a:ext cx="5716800" cy="609599"/>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 </a:t>
          </a:r>
          <a:r>
            <a:rPr lang="da-DK" sz="900" b="0"/>
            <a:t>Her skal der tages et valg i</a:t>
          </a:r>
          <a:r>
            <a:rPr lang="da-DK" sz="900" b="0" baseline="0"/>
            <a:t> forhold til </a:t>
          </a:r>
          <a:r>
            <a:rPr lang="da-DK" sz="900" b="0"/>
            <a:t>input</a:t>
          </a:r>
          <a:r>
            <a:rPr lang="da-DK" sz="900" b="0" baseline="0"/>
            <a:t> vedr. omkostninger til forbrug og indfødning. Der skal vælges, om modellen automatisk skal hente omkostningerne allokeret til forbrug og indfødning fra "Hjælpeark, Fall-back-metoden", eller om det ønskes, at disse omkostninger skal indtastes manuelt i række 59:73 og række 100:114.</a:t>
          </a:r>
          <a:endParaRPr lang="da-DK" sz="900" b="0"/>
        </a:p>
      </xdr:txBody>
    </xdr:sp>
    <xdr:clientData/>
  </xdr:twoCellAnchor>
  <xdr:twoCellAnchor>
    <xdr:from>
      <xdr:col>31</xdr:col>
      <xdr:colOff>516648</xdr:colOff>
      <xdr:row>99</xdr:row>
      <xdr:rowOff>3861</xdr:rowOff>
    </xdr:from>
    <xdr:to>
      <xdr:col>37</xdr:col>
      <xdr:colOff>516871</xdr:colOff>
      <xdr:row>110</xdr:row>
      <xdr:rowOff>35297</xdr:rowOff>
    </xdr:to>
    <xdr:sp macro="" textlink="">
      <xdr:nvSpPr>
        <xdr:cNvPr id="57" name="TextBox 56">
          <a:extLst>
            <a:ext uri="{FF2B5EF4-FFF2-40B4-BE49-F238E27FC236}">
              <a16:creationId xmlns:a16="http://schemas.microsoft.com/office/drawing/2014/main" id="{BB14411A-6DA0-4C4B-BF0A-44CC0FCD921A}"/>
            </a:ext>
          </a:extLst>
        </xdr:cNvPr>
        <xdr:cNvSpPr txBox="1"/>
      </xdr:nvSpPr>
      <xdr:spPr>
        <a:xfrm>
          <a:off x="28111934" y="10644647"/>
          <a:ext cx="5715223" cy="2126936"/>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0"/>
            <a:t>Hvis </a:t>
          </a:r>
          <a:r>
            <a:rPr lang="da-DK" sz="900" b="1">
              <a:solidFill>
                <a:srgbClr val="FF0000"/>
              </a:solidFill>
            </a:rPr>
            <a:t>fejl</a:t>
          </a:r>
          <a:r>
            <a:rPr lang="da-DK" sz="900" b="0"/>
            <a:t> i kolonne L skyldes det, at en eller flere værdier i inputcellerne i rækken er indtastet som negative, indeholder tekst,</a:t>
          </a:r>
          <a:r>
            <a:rPr lang="da-DK" sz="900" b="0" baseline="0"/>
            <a:t> eller at residualet er negativt, hvilket betyder, at der er fordelt for meget ud på de enkelte kundekategorier i forhold til "Total"</a:t>
          </a:r>
          <a:r>
            <a:rPr lang="da-DK" sz="900" b="0"/>
            <a:t>. For omkostningsposter vedrørende transformerstationer og</a:t>
          </a:r>
          <a:r>
            <a:rPr lang="da-DK" sz="900" b="0" baseline="0"/>
            <a:t> netaktiver ekskl. målere og transformerstationer (post 1.1, 1.2, 1.3, 4.1, 4.2, 6.1 og 6.2) kan fejlen også skyldes, at der er blevet indtastet et tal forskelligt fra 0 i de skraverede celler. For omkostningspost 6.1 og 6.2 vil der også være en fejlmeddelse, hvis residualet er forskelligt fra 0, da disse poster udelukkende kan fordeles direkte.</a:t>
          </a:r>
          <a:endParaRPr lang="da-DK" sz="900" b="0"/>
        </a:p>
        <a:p>
          <a:pPr marL="0" marR="0" lvl="0" indent="0" defTabSz="914400" rtl="0" eaLnBrk="1" fontAlgn="auto" latinLnBrk="0" hangingPunct="1">
            <a:lnSpc>
              <a:spcPct val="100000"/>
            </a:lnSpc>
            <a:spcBef>
              <a:spcPts val="0"/>
            </a:spcBef>
            <a:spcAft>
              <a:spcPts val="0"/>
            </a:spcAft>
            <a:buClrTx/>
            <a:buSzTx/>
            <a:buFontTx/>
            <a:buNone/>
            <a:tabLst/>
            <a:defRPr/>
          </a:pPr>
          <a:br>
            <a:rPr lang="da-DK" sz="900" b="0"/>
          </a:br>
          <a:r>
            <a:rPr lang="da-DK" sz="900" b="0"/>
            <a:t>Hvis </a:t>
          </a:r>
          <a:r>
            <a:rPr lang="da-DK" sz="900" b="1">
              <a:solidFill>
                <a:srgbClr val="D6A300"/>
              </a:solidFill>
            </a:rPr>
            <a:t>kontrol</a:t>
          </a:r>
          <a:r>
            <a:rPr lang="da-DK" sz="900" b="0"/>
            <a:t> i kolonne M skyldes det, at der enten er indtastet 0 eller intet er indtastet i inputcellen under "Total" i</a:t>
          </a:r>
          <a:r>
            <a:rPr lang="da-DK" sz="900" b="0" baseline="0"/>
            <a:t> kolonne N</a:t>
          </a:r>
          <a:r>
            <a:rPr lang="da-DK" sz="900" b="0"/>
            <a:t>. </a:t>
          </a:r>
          <a:r>
            <a:rPr lang="da-DK" sz="900" b="0" baseline="0"/>
            <a:t>Desuden kan det skyldes, at værdien i total ud for "5.1 Omkostninger til overliggende net" er forskellig fra totalen indtastet i række 23.</a:t>
          </a:r>
          <a:endParaRPr lang="da-DK" sz="900" b="0"/>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92530</xdr:colOff>
      <xdr:row>3</xdr:row>
      <xdr:rowOff>92530</xdr:rowOff>
    </xdr:from>
    <xdr:to>
      <xdr:col>4</xdr:col>
      <xdr:colOff>1217807</xdr:colOff>
      <xdr:row>7</xdr:row>
      <xdr:rowOff>131351</xdr:rowOff>
    </xdr:to>
    <xdr:pic>
      <xdr:nvPicPr>
        <xdr:cNvPr id="3" name="Picture 2">
          <a:extLst>
            <a:ext uri="{FF2B5EF4-FFF2-40B4-BE49-F238E27FC236}">
              <a16:creationId xmlns:a16="http://schemas.microsoft.com/office/drawing/2014/main" id="{19D9B897-CAAB-4EA8-8CD4-A1FAC1E03843}"/>
            </a:ext>
          </a:extLst>
        </xdr:cNvPr>
        <xdr:cNvPicPr>
          <a:picLocks noChangeAspect="1"/>
        </xdr:cNvPicPr>
      </xdr:nvPicPr>
      <xdr:blipFill>
        <a:blip xmlns:r="http://schemas.openxmlformats.org/officeDocument/2006/relationships" r:embed="rId1"/>
        <a:stretch>
          <a:fillRect/>
        </a:stretch>
      </xdr:blipFill>
      <xdr:spPr>
        <a:xfrm>
          <a:off x="168730" y="587830"/>
          <a:ext cx="1839652" cy="79129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93010</xdr:colOff>
      <xdr:row>3</xdr:row>
      <xdr:rowOff>93010</xdr:rowOff>
    </xdr:from>
    <xdr:to>
      <xdr:col>4</xdr:col>
      <xdr:colOff>1230773</xdr:colOff>
      <xdr:row>7</xdr:row>
      <xdr:rowOff>122306</xdr:rowOff>
    </xdr:to>
    <xdr:pic>
      <xdr:nvPicPr>
        <xdr:cNvPr id="4" name="Picture 3">
          <a:extLst>
            <a:ext uri="{FF2B5EF4-FFF2-40B4-BE49-F238E27FC236}">
              <a16:creationId xmlns:a16="http://schemas.microsoft.com/office/drawing/2014/main" id="{0FDF5629-6262-4716-85A2-71B2E3FBA17F}"/>
            </a:ext>
          </a:extLst>
        </xdr:cNvPr>
        <xdr:cNvPicPr>
          <a:picLocks noChangeAspect="1"/>
        </xdr:cNvPicPr>
      </xdr:nvPicPr>
      <xdr:blipFill>
        <a:blip xmlns:r="http://schemas.openxmlformats.org/officeDocument/2006/relationships" r:embed="rId1"/>
        <a:stretch>
          <a:fillRect/>
        </a:stretch>
      </xdr:blipFill>
      <xdr:spPr>
        <a:xfrm>
          <a:off x="169210" y="588310"/>
          <a:ext cx="1852138" cy="79129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93010</xdr:colOff>
      <xdr:row>3</xdr:row>
      <xdr:rowOff>93010</xdr:rowOff>
    </xdr:from>
    <xdr:to>
      <xdr:col>4</xdr:col>
      <xdr:colOff>1227598</xdr:colOff>
      <xdr:row>7</xdr:row>
      <xdr:rowOff>122306</xdr:rowOff>
    </xdr:to>
    <xdr:pic>
      <xdr:nvPicPr>
        <xdr:cNvPr id="3" name="Picture 2">
          <a:extLst>
            <a:ext uri="{FF2B5EF4-FFF2-40B4-BE49-F238E27FC236}">
              <a16:creationId xmlns:a16="http://schemas.microsoft.com/office/drawing/2014/main" id="{673C9271-8C55-47CF-AFB4-B990E4266AC8}"/>
            </a:ext>
          </a:extLst>
        </xdr:cNvPr>
        <xdr:cNvPicPr>
          <a:picLocks noChangeAspect="1"/>
        </xdr:cNvPicPr>
      </xdr:nvPicPr>
      <xdr:blipFill>
        <a:blip xmlns:r="http://schemas.openxmlformats.org/officeDocument/2006/relationships" r:embed="rId1"/>
        <a:stretch>
          <a:fillRect/>
        </a:stretch>
      </xdr:blipFill>
      <xdr:spPr>
        <a:xfrm>
          <a:off x="169210" y="588310"/>
          <a:ext cx="1852138" cy="79129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93010</xdr:colOff>
      <xdr:row>3</xdr:row>
      <xdr:rowOff>93010</xdr:rowOff>
    </xdr:from>
    <xdr:to>
      <xdr:col>4</xdr:col>
      <xdr:colOff>1233948</xdr:colOff>
      <xdr:row>7</xdr:row>
      <xdr:rowOff>125481</xdr:rowOff>
    </xdr:to>
    <xdr:pic>
      <xdr:nvPicPr>
        <xdr:cNvPr id="4" name="Picture 3">
          <a:extLst>
            <a:ext uri="{FF2B5EF4-FFF2-40B4-BE49-F238E27FC236}">
              <a16:creationId xmlns:a16="http://schemas.microsoft.com/office/drawing/2014/main" id="{3B5EA0E9-3C76-4D4A-BEC4-8C77A49F6575}"/>
            </a:ext>
          </a:extLst>
        </xdr:cNvPr>
        <xdr:cNvPicPr>
          <a:picLocks noChangeAspect="1"/>
        </xdr:cNvPicPr>
      </xdr:nvPicPr>
      <xdr:blipFill>
        <a:blip xmlns:r="http://schemas.openxmlformats.org/officeDocument/2006/relationships" r:embed="rId1"/>
        <a:stretch>
          <a:fillRect/>
        </a:stretch>
      </xdr:blipFill>
      <xdr:spPr>
        <a:xfrm>
          <a:off x="169210" y="588310"/>
          <a:ext cx="1852138" cy="79129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92530</xdr:colOff>
      <xdr:row>3</xdr:row>
      <xdr:rowOff>92530</xdr:rowOff>
    </xdr:from>
    <xdr:to>
      <xdr:col>4</xdr:col>
      <xdr:colOff>1217807</xdr:colOff>
      <xdr:row>7</xdr:row>
      <xdr:rowOff>131351</xdr:rowOff>
    </xdr:to>
    <xdr:pic>
      <xdr:nvPicPr>
        <xdr:cNvPr id="2" name="Picture 1">
          <a:extLst>
            <a:ext uri="{FF2B5EF4-FFF2-40B4-BE49-F238E27FC236}">
              <a16:creationId xmlns:a16="http://schemas.microsoft.com/office/drawing/2014/main" id="{95BB601C-F152-4819-A6EA-12136A1665BC}"/>
            </a:ext>
          </a:extLst>
        </xdr:cNvPr>
        <xdr:cNvPicPr>
          <a:picLocks noChangeAspect="1"/>
        </xdr:cNvPicPr>
      </xdr:nvPicPr>
      <xdr:blipFill>
        <a:blip xmlns:r="http://schemas.openxmlformats.org/officeDocument/2006/relationships" r:embed="rId1"/>
        <a:stretch>
          <a:fillRect/>
        </a:stretch>
      </xdr:blipFill>
      <xdr:spPr>
        <a:xfrm>
          <a:off x="168730" y="587830"/>
          <a:ext cx="1839652" cy="79764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95250</xdr:colOff>
      <xdr:row>3</xdr:row>
      <xdr:rowOff>95250</xdr:rowOff>
    </xdr:from>
    <xdr:to>
      <xdr:col>4</xdr:col>
      <xdr:colOff>1226663</xdr:colOff>
      <xdr:row>7</xdr:row>
      <xdr:rowOff>124546</xdr:rowOff>
    </xdr:to>
    <xdr:pic>
      <xdr:nvPicPr>
        <xdr:cNvPr id="4" name="Picture 3">
          <a:extLst>
            <a:ext uri="{FF2B5EF4-FFF2-40B4-BE49-F238E27FC236}">
              <a16:creationId xmlns:a16="http://schemas.microsoft.com/office/drawing/2014/main" id="{14D6991F-A5B6-4D98-8FCC-B790C80BFB28}"/>
            </a:ext>
          </a:extLst>
        </xdr:cNvPr>
        <xdr:cNvPicPr>
          <a:picLocks noChangeAspect="1"/>
        </xdr:cNvPicPr>
      </xdr:nvPicPr>
      <xdr:blipFill>
        <a:blip xmlns:r="http://schemas.openxmlformats.org/officeDocument/2006/relationships" r:embed="rId1"/>
        <a:stretch>
          <a:fillRect/>
        </a:stretch>
      </xdr:blipFill>
      <xdr:spPr>
        <a:xfrm>
          <a:off x="171450" y="590550"/>
          <a:ext cx="1852138" cy="7912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112060</xdr:colOff>
      <xdr:row>3</xdr:row>
      <xdr:rowOff>112060</xdr:rowOff>
    </xdr:from>
    <xdr:to>
      <xdr:col>4</xdr:col>
      <xdr:colOff>1241419</xdr:colOff>
      <xdr:row>7</xdr:row>
      <xdr:rowOff>141356</xdr:rowOff>
    </xdr:to>
    <xdr:pic>
      <xdr:nvPicPr>
        <xdr:cNvPr id="6" name="Picture 5">
          <a:extLst>
            <a:ext uri="{FF2B5EF4-FFF2-40B4-BE49-F238E27FC236}">
              <a16:creationId xmlns:a16="http://schemas.microsoft.com/office/drawing/2014/main" id="{5A95FFE4-AEF5-4440-99E9-E04EC167F02C}"/>
            </a:ext>
          </a:extLst>
        </xdr:cNvPr>
        <xdr:cNvPicPr>
          <a:picLocks noChangeAspect="1"/>
        </xdr:cNvPicPr>
      </xdr:nvPicPr>
      <xdr:blipFill>
        <a:blip xmlns:r="http://schemas.openxmlformats.org/officeDocument/2006/relationships" r:embed="rId1"/>
        <a:stretch>
          <a:fillRect/>
        </a:stretch>
      </xdr:blipFill>
      <xdr:spPr>
        <a:xfrm>
          <a:off x="190501" y="605119"/>
          <a:ext cx="1835330" cy="79129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31</xdr:col>
      <xdr:colOff>265005</xdr:colOff>
      <xdr:row>12</xdr:row>
      <xdr:rowOff>59614</xdr:rowOff>
    </xdr:from>
    <xdr:to>
      <xdr:col>38</xdr:col>
      <xdr:colOff>855233</xdr:colOff>
      <xdr:row>18</xdr:row>
      <xdr:rowOff>132342</xdr:rowOff>
    </xdr:to>
    <xdr:sp macro="" textlink="">
      <xdr:nvSpPr>
        <xdr:cNvPr id="2" name="TextBox 1">
          <a:extLst>
            <a:ext uri="{FF2B5EF4-FFF2-40B4-BE49-F238E27FC236}">
              <a16:creationId xmlns:a16="http://schemas.microsoft.com/office/drawing/2014/main" id="{75B9223B-0764-4953-B417-5C7964A0EDB5}"/>
            </a:ext>
          </a:extLst>
        </xdr:cNvPr>
        <xdr:cNvSpPr txBox="1"/>
      </xdr:nvSpPr>
      <xdr:spPr>
        <a:xfrm>
          <a:off x="20738152" y="2132702"/>
          <a:ext cx="6869332" cy="1229063"/>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solidFill>
                <a:schemeClr val="dk1"/>
              </a:solidFill>
              <a:effectLst/>
              <a:latin typeface="+mn-lt"/>
              <a:ea typeface="+mn-ea"/>
              <a:cs typeface="+mn-cs"/>
            </a:rPr>
            <a:t>Beskrivelse: </a:t>
          </a:r>
          <a:r>
            <a:rPr lang="da-DK" sz="900" b="0">
              <a:solidFill>
                <a:schemeClr val="dk1"/>
              </a:solidFill>
              <a:effectLst/>
              <a:latin typeface="+mn-lt"/>
              <a:ea typeface="+mn-ea"/>
              <a:cs typeface="+mn-cs"/>
            </a:rPr>
            <a:t>Dette</a:t>
          </a:r>
          <a:r>
            <a:rPr lang="da-DK" sz="900" b="0" baseline="0">
              <a:solidFill>
                <a:schemeClr val="dk1"/>
              </a:solidFill>
              <a:effectLst/>
              <a:latin typeface="+mn-lt"/>
              <a:ea typeface="+mn-ea"/>
              <a:cs typeface="+mn-cs"/>
            </a:rPr>
            <a:t> hjælpeark giver netselskaberne mulighed for at indtaste de totale budgetterede leverede mængder for hver kundekategori (bruttoleverede mængder fra nettet).</a:t>
          </a:r>
          <a:endParaRPr lang="da-DK" sz="900">
            <a:effectLst/>
          </a:endParaRPr>
        </a:p>
        <a:p>
          <a:r>
            <a:rPr lang="da-DK" sz="900" b="0" baseline="0">
              <a:solidFill>
                <a:schemeClr val="dk1"/>
              </a:solidFill>
              <a:effectLst/>
              <a:latin typeface="+mn-lt"/>
              <a:ea typeface="+mn-ea"/>
              <a:cs typeface="+mn-cs"/>
            </a:rPr>
            <a:t>På baggrund af forbrugsprofiler udarbejdet af Dansk Energi, der følger de branchegeneriske belastningsprofiler, vil det totale forbrug for hver kundekategori opdeles i timer (0-24), sæson (sommer/vinter) og dagsklassifikation (weekender/helligdage og hverdage).</a:t>
          </a:r>
          <a:endParaRPr lang="da-DK" sz="900">
            <a:effectLst/>
          </a:endParaRPr>
        </a:p>
        <a:p>
          <a:r>
            <a:rPr lang="da-DK" sz="900" b="0" baseline="0">
              <a:solidFill>
                <a:schemeClr val="dk1"/>
              </a:solidFill>
              <a:effectLst/>
              <a:latin typeface="+mn-lt"/>
              <a:ea typeface="+mn-ea"/>
              <a:cs typeface="+mn-cs"/>
            </a:rPr>
            <a:t>Det opdelte forbrug i sektion 2 kan herefter kopieres til ark 2.3 Selskabsspecifikke input, sektion 7) Leverede mængder.</a:t>
          </a:r>
        </a:p>
        <a:p>
          <a:endParaRPr lang="da-DK" sz="900">
            <a:effectLst/>
          </a:endParaRPr>
        </a:p>
        <a:p>
          <a:r>
            <a:rPr lang="da-DK" sz="900">
              <a:effectLst/>
            </a:rPr>
            <a:t>Der indtastes i cellerne</a:t>
          </a:r>
          <a:r>
            <a:rPr lang="da-DK" sz="900" baseline="0">
              <a:effectLst/>
            </a:rPr>
            <a:t> i række 15. </a:t>
          </a:r>
          <a:r>
            <a:rPr lang="da-DK" sz="900" baseline="0">
              <a:solidFill>
                <a:schemeClr val="dk1"/>
              </a:solidFill>
              <a:effectLst/>
              <a:latin typeface="+mn-lt"/>
              <a:ea typeface="+mn-ea"/>
              <a:cs typeface="+mn-cs"/>
            </a:rPr>
            <a:t>I sektion 3 er de implicitte forbrugsnøgler anvendt i modellen beregnet. </a:t>
          </a:r>
          <a:r>
            <a:rPr lang="da-DK" sz="900" baseline="0">
              <a:effectLst/>
            </a:rPr>
            <a:t>I sektion 4 i dette ark er det muligt at se defaultfordelingerne samt en sammenligning imellem defaultfordelingen og den anvendte fordeling i modellen. </a:t>
          </a:r>
          <a:endParaRPr lang="da-DK" sz="900">
            <a:effectLst/>
          </a:endParaRPr>
        </a:p>
      </xdr:txBody>
    </xdr:sp>
    <xdr:clientData/>
  </xdr:twoCellAnchor>
  <xdr:twoCellAnchor editAs="oneCell">
    <xdr:from>
      <xdr:col>30</xdr:col>
      <xdr:colOff>2990515</xdr:colOff>
      <xdr:row>275</xdr:row>
      <xdr:rowOff>179296</xdr:rowOff>
    </xdr:from>
    <xdr:to>
      <xdr:col>38</xdr:col>
      <xdr:colOff>19208</xdr:colOff>
      <xdr:row>282</xdr:row>
      <xdr:rowOff>164781</xdr:rowOff>
    </xdr:to>
    <xdr:sp macro="" textlink="">
      <xdr:nvSpPr>
        <xdr:cNvPr id="53" name="TextBox 52">
          <a:extLst>
            <a:ext uri="{FF2B5EF4-FFF2-40B4-BE49-F238E27FC236}">
              <a16:creationId xmlns:a16="http://schemas.microsoft.com/office/drawing/2014/main" id="{B0BA99C2-51A1-494C-83CE-2B71314260ED}"/>
            </a:ext>
          </a:extLst>
        </xdr:cNvPr>
        <xdr:cNvSpPr txBox="1"/>
      </xdr:nvSpPr>
      <xdr:spPr>
        <a:xfrm>
          <a:off x="22847339" y="52544384"/>
          <a:ext cx="7539811" cy="131581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b="1">
              <a:solidFill>
                <a:schemeClr val="dk1"/>
              </a:solidFill>
              <a:effectLst/>
              <a:latin typeface="+mn-lt"/>
              <a:ea typeface="+mn-ea"/>
              <a:cs typeface="+mn-cs"/>
            </a:rPr>
            <a:t>Beskrivelse: </a:t>
          </a:r>
        </a:p>
        <a:p>
          <a:r>
            <a:rPr lang="da-DK" sz="1100" b="0">
              <a:solidFill>
                <a:schemeClr val="dk1"/>
              </a:solidFill>
              <a:effectLst/>
              <a:latin typeface="+mn-lt"/>
              <a:ea typeface="+mn-ea"/>
              <a:cs typeface="+mn-cs"/>
            </a:rPr>
            <a:t>De</a:t>
          </a:r>
          <a:r>
            <a:rPr lang="da-DK" sz="1100" b="0" baseline="0">
              <a:solidFill>
                <a:schemeClr val="dk1"/>
              </a:solidFill>
              <a:effectLst/>
              <a:latin typeface="+mn-lt"/>
              <a:ea typeface="+mn-ea"/>
              <a:cs typeface="+mn-cs"/>
            </a:rPr>
            <a:t> grå celler viser default fordelingerne (branchefordelingen). Til højre for er det muligt at se den procentuelle forskel (%-point) imellem branchefordelingen og den implicitte anvendte fordeling baseret på forbruget indtastet i arket 2.3) Selskabsspecifikke input. </a:t>
          </a:r>
          <a:r>
            <a:rPr lang="da-DK" sz="1100" b="0">
              <a:solidFill>
                <a:schemeClr val="dk1"/>
              </a:solidFill>
              <a:effectLst/>
              <a:latin typeface="+mn-lt"/>
              <a:ea typeface="+mn-ea"/>
              <a:cs typeface="+mn-cs"/>
            </a:rPr>
            <a:t>En positiv forskell udtryker, at den anvende fordeling i modellen er højere end branchens fordeling (tallene i de grå celler).</a:t>
          </a:r>
        </a:p>
        <a:p>
          <a:endParaRPr lang="da-DK" sz="1100" b="0">
            <a:solidFill>
              <a:schemeClr val="dk1"/>
            </a:solidFill>
            <a:effectLst/>
            <a:latin typeface="+mn-lt"/>
            <a:ea typeface="+mn-ea"/>
            <a:cs typeface="+mn-cs"/>
          </a:endParaRPr>
        </a:p>
        <a:p>
          <a:r>
            <a:rPr lang="da-DK" sz="1100" b="0">
              <a:solidFill>
                <a:schemeClr val="dk1"/>
              </a:solidFill>
              <a:effectLst/>
              <a:latin typeface="+mn-lt"/>
              <a:ea typeface="+mn-ea"/>
              <a:cs typeface="+mn-cs"/>
            </a:rPr>
            <a:t>Nederst</a:t>
          </a:r>
          <a:r>
            <a:rPr lang="da-DK" sz="1100" b="0" baseline="0">
              <a:solidFill>
                <a:schemeClr val="dk1"/>
              </a:solidFill>
              <a:effectLst/>
              <a:latin typeface="+mn-lt"/>
              <a:ea typeface="+mn-ea"/>
              <a:cs typeface="+mn-cs"/>
            </a:rPr>
            <a:t> i sektionen er der desuden en sammenligning af fordelingerne på lastzoner</a:t>
          </a:r>
          <a:endParaRPr lang="da-DK" sz="1100">
            <a:effectLst/>
          </a:endParaRPr>
        </a:p>
      </xdr:txBody>
    </xdr:sp>
    <xdr:clientData/>
  </xdr:twoCellAnchor>
  <xdr:twoCellAnchor editAs="oneCell">
    <xdr:from>
      <xdr:col>17</xdr:col>
      <xdr:colOff>677091</xdr:colOff>
      <xdr:row>419</xdr:row>
      <xdr:rowOff>70484</xdr:rowOff>
    </xdr:from>
    <xdr:to>
      <xdr:col>22</xdr:col>
      <xdr:colOff>55245</xdr:colOff>
      <xdr:row>431</xdr:row>
      <xdr:rowOff>64133</xdr:rowOff>
    </xdr:to>
    <xdr:graphicFrame macro="">
      <xdr:nvGraphicFramePr>
        <xdr:cNvPr id="54" name="Chart 53">
          <a:extLst>
            <a:ext uri="{FF2B5EF4-FFF2-40B4-BE49-F238E27FC236}">
              <a16:creationId xmlns:a16="http://schemas.microsoft.com/office/drawing/2014/main" id="{F9C90526-B2F2-443D-B48B-818025983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1341936</xdr:colOff>
      <xdr:row>419</xdr:row>
      <xdr:rowOff>68579</xdr:rowOff>
    </xdr:from>
    <xdr:to>
      <xdr:col>12</xdr:col>
      <xdr:colOff>133351</xdr:colOff>
      <xdr:row>431</xdr:row>
      <xdr:rowOff>57148</xdr:rowOff>
    </xdr:to>
    <xdr:graphicFrame macro="">
      <xdr:nvGraphicFramePr>
        <xdr:cNvPr id="55" name="Chart 54">
          <a:extLst>
            <a:ext uri="{FF2B5EF4-FFF2-40B4-BE49-F238E27FC236}">
              <a16:creationId xmlns:a16="http://schemas.microsoft.com/office/drawing/2014/main" id="{63E21012-21A7-4610-8FC0-0A1AEED44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95250</xdr:colOff>
      <xdr:row>3</xdr:row>
      <xdr:rowOff>95250</xdr:rowOff>
    </xdr:from>
    <xdr:to>
      <xdr:col>4</xdr:col>
      <xdr:colOff>1229838</xdr:colOff>
      <xdr:row>7</xdr:row>
      <xdr:rowOff>121371</xdr:rowOff>
    </xdr:to>
    <xdr:pic>
      <xdr:nvPicPr>
        <xdr:cNvPr id="7" name="Picture 6">
          <a:extLst>
            <a:ext uri="{FF2B5EF4-FFF2-40B4-BE49-F238E27FC236}">
              <a16:creationId xmlns:a16="http://schemas.microsoft.com/office/drawing/2014/main" id="{807649BE-7453-487A-ADD1-31CB346EEEE4}"/>
            </a:ext>
          </a:extLst>
        </xdr:cNvPr>
        <xdr:cNvPicPr>
          <a:picLocks noChangeAspect="1"/>
        </xdr:cNvPicPr>
      </xdr:nvPicPr>
      <xdr:blipFill>
        <a:blip xmlns:r="http://schemas.openxmlformats.org/officeDocument/2006/relationships" r:embed="rId3"/>
        <a:stretch>
          <a:fillRect/>
        </a:stretch>
      </xdr:blipFill>
      <xdr:spPr>
        <a:xfrm>
          <a:off x="171450" y="590550"/>
          <a:ext cx="1852138" cy="791296"/>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32.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25</xdr:col>
      <xdr:colOff>265005</xdr:colOff>
      <xdr:row>14</xdr:row>
      <xdr:rowOff>89647</xdr:rowOff>
    </xdr:from>
    <xdr:to>
      <xdr:col>31</xdr:col>
      <xdr:colOff>267130</xdr:colOff>
      <xdr:row>21</xdr:row>
      <xdr:rowOff>8031</xdr:rowOff>
    </xdr:to>
    <xdr:sp macro="" textlink="">
      <xdr:nvSpPr>
        <xdr:cNvPr id="3" name="TextBox 2">
          <a:extLst>
            <a:ext uri="{FF2B5EF4-FFF2-40B4-BE49-F238E27FC236}">
              <a16:creationId xmlns:a16="http://schemas.microsoft.com/office/drawing/2014/main" id="{C2F1198B-537F-4C0F-A957-3368FBDA5040}"/>
            </a:ext>
          </a:extLst>
        </xdr:cNvPr>
        <xdr:cNvSpPr txBox="1"/>
      </xdr:nvSpPr>
      <xdr:spPr>
        <a:xfrm>
          <a:off x="22150093" y="2353235"/>
          <a:ext cx="5717125" cy="1255059"/>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1"/>
            <a:t>Beskrivelse: </a:t>
          </a:r>
          <a:r>
            <a:rPr lang="da-DK" sz="900">
              <a:solidFill>
                <a:schemeClr val="dk1"/>
              </a:solidFill>
              <a:effectLst/>
              <a:latin typeface="+mn-lt"/>
              <a:ea typeface="+mn-ea"/>
              <a:cs typeface="+mn-cs"/>
            </a:rPr>
            <a:t>Det er Green</a:t>
          </a:r>
          <a:r>
            <a:rPr lang="da-DK" sz="900" baseline="0">
              <a:solidFill>
                <a:schemeClr val="dk1"/>
              </a:solidFill>
              <a:effectLst/>
              <a:latin typeface="+mn-lt"/>
              <a:ea typeface="+mn-ea"/>
              <a:cs typeface="+mn-cs"/>
            </a:rPr>
            <a:t> Power Denmark</a:t>
          </a:r>
          <a:r>
            <a:rPr lang="da-DK" sz="900">
              <a:solidFill>
                <a:schemeClr val="dk1"/>
              </a:solidFill>
              <a:effectLst/>
              <a:latin typeface="+mn-lt"/>
              <a:ea typeface="+mn-ea"/>
              <a:cs typeface="+mn-cs"/>
            </a:rPr>
            <a:t>s anbefaling, at størstedelen af posterne så vidt muligt fordeles direkte ud på kundekategorierne. Såfremt det ikke ønskes at foretage en fuldstændig eller delvis fuldstændig direkte fordeling af den pågældende post ud på kundekategorier anvendes en fordelingsnøgle til at fordele omkostningsposten (evt. alene den rest, der ikke er direkte fordelt). Der</a:t>
          </a:r>
          <a:r>
            <a:rPr lang="da-DK" sz="900" baseline="0">
              <a:solidFill>
                <a:schemeClr val="dk1"/>
              </a:solidFill>
              <a:effectLst/>
              <a:latin typeface="+mn-lt"/>
              <a:ea typeface="+mn-ea"/>
              <a:cs typeface="+mn-cs"/>
            </a:rPr>
            <a:t> skal ikke indtastes noget på de</a:t>
          </a:r>
          <a:r>
            <a:rPr lang="da-DK" sz="900">
              <a:solidFill>
                <a:schemeClr val="dk1"/>
              </a:solidFill>
              <a:effectLst/>
              <a:latin typeface="+mn-lt"/>
              <a:ea typeface="+mn-ea"/>
              <a:cs typeface="+mn-cs"/>
            </a:rPr>
            <a:t> omkostningsposter</a:t>
          </a:r>
          <a:r>
            <a:rPr lang="da-DK" sz="900" baseline="0">
              <a:solidFill>
                <a:schemeClr val="dk1"/>
              </a:solidFill>
              <a:effectLst/>
              <a:latin typeface="+mn-lt"/>
              <a:ea typeface="+mn-ea"/>
              <a:cs typeface="+mn-cs"/>
            </a:rPr>
            <a:t> der er skraveret .</a:t>
          </a:r>
          <a:endParaRPr lang="da-DK" sz="900">
            <a:effectLst/>
          </a:endParaRPr>
        </a:p>
        <a:p>
          <a:endParaRPr lang="da-DK" sz="900"/>
        </a:p>
        <a:p>
          <a:r>
            <a:rPr lang="da-DK" sz="900"/>
            <a:t>De</a:t>
          </a:r>
          <a:r>
            <a:rPr lang="da-DK" sz="900" baseline="0"/>
            <a:t> totale budgetterede omkostninger for en given post indtastes i kolonne N. De omkostninger, som ønskes at fordeles direkte indtastes i kolonne O til T. Et evt. residual efter direkte fordeling bliver fordelt vha. en fordelingsnøgle. </a:t>
          </a:r>
          <a:endParaRPr lang="da-DK" sz="900" baseline="0">
            <a:solidFill>
              <a:schemeClr val="tx1"/>
            </a:solidFill>
          </a:endParaRPr>
        </a:p>
      </xdr:txBody>
    </xdr:sp>
    <xdr:clientData/>
  </xdr:twoCellAnchor>
  <xdr:twoCellAnchor editAs="oneCell">
    <xdr:from>
      <xdr:col>25</xdr:col>
      <xdr:colOff>265005</xdr:colOff>
      <xdr:row>24</xdr:row>
      <xdr:rowOff>156994</xdr:rowOff>
    </xdr:from>
    <xdr:to>
      <xdr:col>31</xdr:col>
      <xdr:colOff>265225</xdr:colOff>
      <xdr:row>29</xdr:row>
      <xdr:rowOff>56027</xdr:rowOff>
    </xdr:to>
    <xdr:sp macro="" textlink="">
      <xdr:nvSpPr>
        <xdr:cNvPr id="42" name="TextBox 41">
          <a:extLst>
            <a:ext uri="{FF2B5EF4-FFF2-40B4-BE49-F238E27FC236}">
              <a16:creationId xmlns:a16="http://schemas.microsoft.com/office/drawing/2014/main" id="{6CD1A94D-9E35-44DB-A74A-C6808511F558}"/>
            </a:ext>
          </a:extLst>
        </xdr:cNvPr>
        <xdr:cNvSpPr txBox="1"/>
      </xdr:nvSpPr>
      <xdr:spPr>
        <a:xfrm>
          <a:off x="22150093" y="4516082"/>
          <a:ext cx="5715220" cy="851533"/>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900" b="1"/>
            <a:t>Beskrivelse:</a:t>
          </a:r>
          <a:r>
            <a:rPr lang="da-DK" sz="900" b="1" baseline="0"/>
            <a:t> </a:t>
          </a:r>
          <a:r>
            <a:rPr lang="da-DK" sz="900" b="0" baseline="0"/>
            <a:t>Der skal her vælges, hvilken skalleringsfaktor, der skal bruges til at fordele omkostningerne på indfødning og forbrug. Skalleringsfaktoren skal vælges afhængigt af hvor produktionsdomineret området er. Der kan vælges mellem rødt-, gult- og grønt område. Der skal vælges rødt for netområder der er produktionsdomineret. Der skal vælges gult for områder hvor belastningsbilledet er blandet mellem forbrug og produktion. Der skal vælges grønt i netområder der er forbrugsdomineret.</a:t>
          </a:r>
          <a:endParaRPr lang="da-DK" sz="900" b="0" i="1" baseline="0">
            <a:solidFill>
              <a:srgbClr val="FF0000"/>
            </a:solidFill>
          </a:endParaRPr>
        </a:p>
      </xdr:txBody>
    </xdr:sp>
    <xdr:clientData/>
  </xdr:twoCellAnchor>
  <xdr:twoCellAnchor editAs="oneCell">
    <xdr:from>
      <xdr:col>1</xdr:col>
      <xdr:colOff>95250</xdr:colOff>
      <xdr:row>3</xdr:row>
      <xdr:rowOff>95250</xdr:rowOff>
    </xdr:from>
    <xdr:to>
      <xdr:col>4</xdr:col>
      <xdr:colOff>1216793</xdr:colOff>
      <xdr:row>7</xdr:row>
      <xdr:rowOff>130896</xdr:rowOff>
    </xdr:to>
    <xdr:pic>
      <xdr:nvPicPr>
        <xdr:cNvPr id="44" name="Picture 43">
          <a:extLst>
            <a:ext uri="{FF2B5EF4-FFF2-40B4-BE49-F238E27FC236}">
              <a16:creationId xmlns:a16="http://schemas.microsoft.com/office/drawing/2014/main" id="{B00BD293-3465-40A7-892A-E6A13249BAA2}"/>
            </a:ext>
          </a:extLst>
        </xdr:cNvPr>
        <xdr:cNvPicPr>
          <a:picLocks noChangeAspect="1"/>
        </xdr:cNvPicPr>
      </xdr:nvPicPr>
      <xdr:blipFill>
        <a:blip xmlns:r="http://schemas.openxmlformats.org/officeDocument/2006/relationships" r:embed="rId1"/>
        <a:stretch>
          <a:fillRect/>
        </a:stretch>
      </xdr:blipFill>
      <xdr:spPr>
        <a:xfrm>
          <a:off x="171450" y="590550"/>
          <a:ext cx="1832743" cy="791296"/>
        </a:xfrm>
        <a:prstGeom prst="rect">
          <a:avLst/>
        </a:prstGeom>
      </xdr:spPr>
    </xdr:pic>
    <xdr:clientData/>
  </xdr:twoCellAnchor>
  <xdr:oneCellAnchor>
    <xdr:from>
      <xdr:col>31</xdr:col>
      <xdr:colOff>504265</xdr:colOff>
      <xdr:row>14</xdr:row>
      <xdr:rowOff>89647</xdr:rowOff>
    </xdr:from>
    <xdr:ext cx="5715223" cy="1255800"/>
    <xdr:sp macro="" textlink="">
      <xdr:nvSpPr>
        <xdr:cNvPr id="55" name="TextBox 54">
          <a:extLst>
            <a:ext uri="{FF2B5EF4-FFF2-40B4-BE49-F238E27FC236}">
              <a16:creationId xmlns:a16="http://schemas.microsoft.com/office/drawing/2014/main" id="{762040CC-3913-410C-9D69-1F2CC2F48D13}"/>
            </a:ext>
          </a:extLst>
        </xdr:cNvPr>
        <xdr:cNvSpPr txBox="1"/>
      </xdr:nvSpPr>
      <xdr:spPr>
        <a:xfrm>
          <a:off x="28104353" y="2353235"/>
          <a:ext cx="5715223" cy="1255800"/>
        </a:xfrm>
        <a:prstGeom prst="rect">
          <a:avLst/>
        </a:prstGeom>
        <a:solidFill>
          <a:schemeClr val="lt1"/>
        </a:solidFill>
        <a:ln w="9525" cmpd="sng">
          <a:solidFill>
            <a:srgbClr val="8080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da-DK" sz="900" b="0"/>
            <a:t>Hvis </a:t>
          </a:r>
          <a:r>
            <a:rPr lang="da-DK" sz="900" b="1">
              <a:solidFill>
                <a:srgbClr val="FF0000"/>
              </a:solidFill>
            </a:rPr>
            <a:t>fejl</a:t>
          </a:r>
          <a:r>
            <a:rPr lang="da-DK" sz="900" b="0"/>
            <a:t> i kolonne L skyldes det, at en eller flere værdier i inputcellerne i rækken er indtastet som negative, indeholder tekst,</a:t>
          </a:r>
          <a:r>
            <a:rPr lang="da-DK" sz="900" b="0" baseline="0"/>
            <a:t> eller at residualet er negativt, hvilket betyder, at der er fordelt for meget ud på de enkelte kundekategorier i forhold til "Total"</a:t>
          </a:r>
          <a:r>
            <a:rPr lang="da-DK" sz="900" b="0"/>
            <a:t>. Fejlen</a:t>
          </a:r>
          <a:r>
            <a:rPr lang="da-DK" sz="900" b="0" baseline="0"/>
            <a:t> kan ligeledes skyldes, at der er indtastet et tal forskelligt fra 0 i de skraverede celler.</a:t>
          </a:r>
        </a:p>
        <a:p>
          <a:pPr marL="0" marR="0" lvl="0" indent="0" defTabSz="914400" rtl="0" eaLnBrk="1" fontAlgn="auto" latinLnBrk="0" hangingPunct="1">
            <a:lnSpc>
              <a:spcPct val="100000"/>
            </a:lnSpc>
            <a:spcBef>
              <a:spcPts val="0"/>
            </a:spcBef>
            <a:spcAft>
              <a:spcPts val="0"/>
            </a:spcAft>
            <a:buClrTx/>
            <a:buSzTx/>
            <a:buFontTx/>
            <a:buNone/>
            <a:tabLst/>
            <a:defRPr/>
          </a:pPr>
          <a:endParaRPr lang="da-DK" sz="900" b="0" baseline="0"/>
        </a:p>
        <a:p>
          <a:pPr marL="0" marR="0" lvl="0" indent="0" defTabSz="914400" rtl="0" eaLnBrk="1" fontAlgn="auto" latinLnBrk="0" hangingPunct="1">
            <a:lnSpc>
              <a:spcPct val="100000"/>
            </a:lnSpc>
            <a:spcBef>
              <a:spcPts val="0"/>
            </a:spcBef>
            <a:spcAft>
              <a:spcPts val="0"/>
            </a:spcAft>
            <a:buClrTx/>
            <a:buSzTx/>
            <a:buFontTx/>
            <a:buNone/>
            <a:tabLst/>
            <a:defRPr/>
          </a:pPr>
          <a:r>
            <a:rPr lang="da-DK" sz="900" b="0"/>
            <a:t>Hvis </a:t>
          </a:r>
          <a:r>
            <a:rPr lang="da-DK" sz="900" b="1">
              <a:solidFill>
                <a:srgbClr val="D6A300"/>
              </a:solidFill>
            </a:rPr>
            <a:t>kontrol</a:t>
          </a:r>
          <a:r>
            <a:rPr lang="da-DK" sz="900" b="0"/>
            <a:t> i kolonne M skyldes det, at der enten er indtastet 0 eller intet er indtastet i inputcellen under "Total" i</a:t>
          </a:r>
          <a:r>
            <a:rPr lang="da-DK" sz="900" b="0" baseline="0"/>
            <a:t> kolonne N</a:t>
          </a:r>
          <a:r>
            <a:rPr lang="da-DK" sz="900" b="0"/>
            <a:t>. For rækken med "Total"</a:t>
          </a:r>
          <a:r>
            <a:rPr lang="da-DK" sz="900" b="0" baseline="0"/>
            <a:t> kan det også skyldes, at de samlede omkostninger overstiger tariferingsgrundlaget. </a:t>
          </a:r>
          <a:endParaRPr lang="da-DK" sz="900" b="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112060</xdr:colOff>
      <xdr:row>3</xdr:row>
      <xdr:rowOff>112060</xdr:rowOff>
    </xdr:from>
    <xdr:to>
      <xdr:col>4</xdr:col>
      <xdr:colOff>1193794</xdr:colOff>
      <xdr:row>7</xdr:row>
      <xdr:rowOff>141356</xdr:rowOff>
    </xdr:to>
    <xdr:pic>
      <xdr:nvPicPr>
        <xdr:cNvPr id="3" name="Picture 2">
          <a:extLst>
            <a:ext uri="{FF2B5EF4-FFF2-40B4-BE49-F238E27FC236}">
              <a16:creationId xmlns:a16="http://schemas.microsoft.com/office/drawing/2014/main" id="{C257030F-9F03-4785-B3A9-BC51CD39138E}"/>
            </a:ext>
          </a:extLst>
        </xdr:cNvPr>
        <xdr:cNvPicPr>
          <a:picLocks noChangeAspect="1"/>
        </xdr:cNvPicPr>
      </xdr:nvPicPr>
      <xdr:blipFill>
        <a:blip xmlns:r="http://schemas.openxmlformats.org/officeDocument/2006/relationships" r:embed="rId1"/>
        <a:stretch>
          <a:fillRect/>
        </a:stretch>
      </xdr:blipFill>
      <xdr:spPr>
        <a:xfrm>
          <a:off x="190501" y="605119"/>
          <a:ext cx="1843734" cy="7912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112060</xdr:colOff>
      <xdr:row>3</xdr:row>
      <xdr:rowOff>112060</xdr:rowOff>
    </xdr:from>
    <xdr:to>
      <xdr:col>4</xdr:col>
      <xdr:colOff>1193794</xdr:colOff>
      <xdr:row>7</xdr:row>
      <xdr:rowOff>141356</xdr:rowOff>
    </xdr:to>
    <xdr:pic>
      <xdr:nvPicPr>
        <xdr:cNvPr id="3" name="Picture 2">
          <a:extLst>
            <a:ext uri="{FF2B5EF4-FFF2-40B4-BE49-F238E27FC236}">
              <a16:creationId xmlns:a16="http://schemas.microsoft.com/office/drawing/2014/main" id="{943187F0-AC5B-41B8-824A-7910CB7A0F10}"/>
            </a:ext>
          </a:extLst>
        </xdr:cNvPr>
        <xdr:cNvPicPr>
          <a:picLocks noChangeAspect="1"/>
        </xdr:cNvPicPr>
      </xdr:nvPicPr>
      <xdr:blipFill>
        <a:blip xmlns:r="http://schemas.openxmlformats.org/officeDocument/2006/relationships" r:embed="rId1"/>
        <a:stretch>
          <a:fillRect/>
        </a:stretch>
      </xdr:blipFill>
      <xdr:spPr>
        <a:xfrm>
          <a:off x="190501" y="605119"/>
          <a:ext cx="1843734" cy="7912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69931</xdr:colOff>
      <xdr:row>38</xdr:row>
      <xdr:rowOff>114748</xdr:rowOff>
    </xdr:from>
    <xdr:to>
      <xdr:col>6</xdr:col>
      <xdr:colOff>2280</xdr:colOff>
      <xdr:row>49</xdr:row>
      <xdr:rowOff>98353</xdr:rowOff>
    </xdr:to>
    <xdr:graphicFrame macro="">
      <xdr:nvGraphicFramePr>
        <xdr:cNvPr id="7" name="Chart 6">
          <a:extLst>
            <a:ext uri="{FF2B5EF4-FFF2-40B4-BE49-F238E27FC236}">
              <a16:creationId xmlns:a16="http://schemas.microsoft.com/office/drawing/2014/main" id="{9FA77324-E565-4DED-8B51-2E8F9BA52B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21</xdr:col>
      <xdr:colOff>77323</xdr:colOff>
      <xdr:row>38</xdr:row>
      <xdr:rowOff>114748</xdr:rowOff>
    </xdr:from>
    <xdr:to>
      <xdr:col>24</xdr:col>
      <xdr:colOff>773539</xdr:colOff>
      <xdr:row>49</xdr:row>
      <xdr:rowOff>97513</xdr:rowOff>
    </xdr:to>
    <xdr:graphicFrame macro="">
      <xdr:nvGraphicFramePr>
        <xdr:cNvPr id="16" name="Chart 15">
          <a:extLst>
            <a:ext uri="{FF2B5EF4-FFF2-40B4-BE49-F238E27FC236}">
              <a16:creationId xmlns:a16="http://schemas.microsoft.com/office/drawing/2014/main" id="{D76368A7-C3E5-4D14-BC24-A1CC71F52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57486</xdr:colOff>
      <xdr:row>49</xdr:row>
      <xdr:rowOff>137832</xdr:rowOff>
    </xdr:from>
    <xdr:to>
      <xdr:col>5</xdr:col>
      <xdr:colOff>245665</xdr:colOff>
      <xdr:row>60</xdr:row>
      <xdr:rowOff>121135</xdr:rowOff>
    </xdr:to>
    <xdr:graphicFrame macro="">
      <xdr:nvGraphicFramePr>
        <xdr:cNvPr id="18" name="Chart 17">
          <a:extLst>
            <a:ext uri="{FF2B5EF4-FFF2-40B4-BE49-F238E27FC236}">
              <a16:creationId xmlns:a16="http://schemas.microsoft.com/office/drawing/2014/main" id="{286AF453-82B2-4255-B1B4-15A66F8297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98506</xdr:colOff>
      <xdr:row>49</xdr:row>
      <xdr:rowOff>137832</xdr:rowOff>
    </xdr:from>
    <xdr:to>
      <xdr:col>13</xdr:col>
      <xdr:colOff>478530</xdr:colOff>
      <xdr:row>60</xdr:row>
      <xdr:rowOff>142725</xdr:rowOff>
    </xdr:to>
    <xdr:graphicFrame macro="">
      <xdr:nvGraphicFramePr>
        <xdr:cNvPr id="19" name="Chart 18">
          <a:extLst>
            <a:ext uri="{FF2B5EF4-FFF2-40B4-BE49-F238E27FC236}">
              <a16:creationId xmlns:a16="http://schemas.microsoft.com/office/drawing/2014/main" id="{66DE5A5E-FDA5-4113-A941-3E1EB59857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563884</xdr:colOff>
      <xdr:row>49</xdr:row>
      <xdr:rowOff>137832</xdr:rowOff>
    </xdr:from>
    <xdr:to>
      <xdr:col>17</xdr:col>
      <xdr:colOff>191582</xdr:colOff>
      <xdr:row>60</xdr:row>
      <xdr:rowOff>135740</xdr:rowOff>
    </xdr:to>
    <xdr:graphicFrame macro="">
      <xdr:nvGraphicFramePr>
        <xdr:cNvPr id="20" name="Chart 19">
          <a:extLst>
            <a:ext uri="{FF2B5EF4-FFF2-40B4-BE49-F238E27FC236}">
              <a16:creationId xmlns:a16="http://schemas.microsoft.com/office/drawing/2014/main" id="{D03C8745-4379-484E-9D46-6DAC087D5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458323</xdr:colOff>
      <xdr:row>49</xdr:row>
      <xdr:rowOff>137832</xdr:rowOff>
    </xdr:from>
    <xdr:to>
      <xdr:col>20</xdr:col>
      <xdr:colOff>1040239</xdr:colOff>
      <xdr:row>60</xdr:row>
      <xdr:rowOff>131930</xdr:rowOff>
    </xdr:to>
    <xdr:graphicFrame macro="">
      <xdr:nvGraphicFramePr>
        <xdr:cNvPr id="21" name="Chart 20">
          <a:extLst>
            <a:ext uri="{FF2B5EF4-FFF2-40B4-BE49-F238E27FC236}">
              <a16:creationId xmlns:a16="http://schemas.microsoft.com/office/drawing/2014/main" id="{AECC111B-3F6B-45BB-90DC-2760608E9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458323</xdr:colOff>
      <xdr:row>38</xdr:row>
      <xdr:rowOff>114748</xdr:rowOff>
    </xdr:from>
    <xdr:to>
      <xdr:col>20</xdr:col>
      <xdr:colOff>1059065</xdr:colOff>
      <xdr:row>49</xdr:row>
      <xdr:rowOff>97513</xdr:rowOff>
    </xdr:to>
    <xdr:graphicFrame macro="">
      <xdr:nvGraphicFramePr>
        <xdr:cNvPr id="11" name="Chart 10">
          <a:extLst>
            <a:ext uri="{FF2B5EF4-FFF2-40B4-BE49-F238E27FC236}">
              <a16:creationId xmlns:a16="http://schemas.microsoft.com/office/drawing/2014/main" id="{B86D241E-8E8D-4DB3-BB53-2EA173AD04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93010</xdr:colOff>
      <xdr:row>3</xdr:row>
      <xdr:rowOff>93010</xdr:rowOff>
    </xdr:from>
    <xdr:to>
      <xdr:col>4</xdr:col>
      <xdr:colOff>1230773</xdr:colOff>
      <xdr:row>7</xdr:row>
      <xdr:rowOff>122306</xdr:rowOff>
    </xdr:to>
    <xdr:pic>
      <xdr:nvPicPr>
        <xdr:cNvPr id="10" name="Picture 9">
          <a:extLst>
            <a:ext uri="{FF2B5EF4-FFF2-40B4-BE49-F238E27FC236}">
              <a16:creationId xmlns:a16="http://schemas.microsoft.com/office/drawing/2014/main" id="{44665C5D-A5EC-4FCA-B654-6A371C076352}"/>
            </a:ext>
          </a:extLst>
        </xdr:cNvPr>
        <xdr:cNvPicPr>
          <a:picLocks noChangeAspect="1"/>
        </xdr:cNvPicPr>
      </xdr:nvPicPr>
      <xdr:blipFill>
        <a:blip xmlns:r="http://schemas.openxmlformats.org/officeDocument/2006/relationships" r:embed="rId8"/>
        <a:stretch>
          <a:fillRect/>
        </a:stretch>
      </xdr:blipFill>
      <xdr:spPr>
        <a:xfrm>
          <a:off x="169210" y="588310"/>
          <a:ext cx="1852138" cy="791296"/>
        </a:xfrm>
        <a:prstGeom prst="rect">
          <a:avLst/>
        </a:prstGeom>
      </xdr:spPr>
    </xdr:pic>
    <xdr:clientData/>
  </xdr:twoCellAnchor>
  <xdr:twoCellAnchor editAs="oneCell">
    <xdr:from>
      <xdr:col>13</xdr:col>
      <xdr:colOff>563884</xdr:colOff>
      <xdr:row>38</xdr:row>
      <xdr:rowOff>114748</xdr:rowOff>
    </xdr:from>
    <xdr:to>
      <xdr:col>17</xdr:col>
      <xdr:colOff>191582</xdr:colOff>
      <xdr:row>49</xdr:row>
      <xdr:rowOff>112656</xdr:rowOff>
    </xdr:to>
    <xdr:graphicFrame macro="">
      <xdr:nvGraphicFramePr>
        <xdr:cNvPr id="12" name="Chart 11">
          <a:extLst>
            <a:ext uri="{FF2B5EF4-FFF2-40B4-BE49-F238E27FC236}">
              <a16:creationId xmlns:a16="http://schemas.microsoft.com/office/drawing/2014/main" id="{2E71E9DA-8426-41C3-9D9A-599888DB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6</xdr:col>
      <xdr:colOff>98506</xdr:colOff>
      <xdr:row>38</xdr:row>
      <xdr:rowOff>114748</xdr:rowOff>
    </xdr:from>
    <xdr:to>
      <xdr:col>13</xdr:col>
      <xdr:colOff>494554</xdr:colOff>
      <xdr:row>49</xdr:row>
      <xdr:rowOff>112656</xdr:rowOff>
    </xdr:to>
    <xdr:graphicFrame macro="">
      <xdr:nvGraphicFramePr>
        <xdr:cNvPr id="13" name="Chart 12">
          <a:extLst>
            <a:ext uri="{FF2B5EF4-FFF2-40B4-BE49-F238E27FC236}">
              <a16:creationId xmlns:a16="http://schemas.microsoft.com/office/drawing/2014/main" id="{739D643A-0AF5-45A4-92EC-D08D723153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8.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drawings/drawing9.xml><?xml version="1.0" encoding="utf-8"?>
<c:userShapes xmlns:c="http://schemas.openxmlformats.org/drawingml/2006/chart">
  <cdr:relSizeAnchor xmlns:cdr="http://schemas.openxmlformats.org/drawingml/2006/chartDrawing">
    <cdr:from>
      <cdr:x>0.04013</cdr:x>
      <cdr:y>0.03982</cdr:y>
    </cdr:from>
    <cdr:to>
      <cdr:x>0.09746</cdr:x>
      <cdr:y>0.0967</cdr:y>
    </cdr:to>
    <cdr:sp macro="" textlink="">
      <cdr:nvSpPr>
        <cdr:cNvPr id="3" name="Chart Type" hidden="1">
          <a:extLst xmlns:a="http://schemas.openxmlformats.org/drawingml/2006/main">
            <a:ext uri="{FF2B5EF4-FFF2-40B4-BE49-F238E27FC236}">
              <a16:creationId xmlns:a16="http://schemas.microsoft.com/office/drawing/2014/main" id="{984F19D9-070E-4D62-AA57-A22ACE9B58E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Column Regular</a:t>
          </a:r>
        </a:p>
      </cdr:txBody>
    </cdr:sp>
  </cdr:relSizeAnchor>
  <cdr:relSizeAnchor xmlns:cdr="http://schemas.openxmlformats.org/drawingml/2006/chartDrawing">
    <cdr:from>
      <cdr:x>0.04013</cdr:x>
      <cdr:y>0.03982</cdr:y>
    </cdr:from>
    <cdr:to>
      <cdr:x>0.09746</cdr:x>
      <cdr:y>0.0967</cdr:y>
    </cdr:to>
    <cdr:sp macro="" textlink="">
      <cdr:nvSpPr>
        <cdr:cNvPr id="4" name="Chart GUID" hidden="1">
          <a:extLst xmlns:a="http://schemas.openxmlformats.org/drawingml/2006/main">
            <a:ext uri="{FF2B5EF4-FFF2-40B4-BE49-F238E27FC236}">
              <a16:creationId xmlns:a16="http://schemas.microsoft.com/office/drawing/2014/main" id="{A31500E6-D4BB-4754-A777-E925548AA36E}"/>
            </a:ext>
          </a:extLst>
        </cdr:cNvPr>
        <cdr:cNvSpPr/>
      </cdr:nvSpPr>
      <cdr:spPr>
        <a:xfrm xmlns:a="http://schemas.openxmlformats.org/drawingml/2006/main">
          <a:off x="177800" y="177800"/>
          <a:ext cx="254000" cy="25400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da-DK"/>
            <a:t>4bb6e0ee156b48da8b52a9bff920bb07</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ata/orsinin/Dati-utente/Budget%202008/Linee%20confezione/Tpm/oee/Mixes/OEE%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vr-uk-fs\Evercore%20Partners\Client%20Directory\Anite\Project%20Sparrowhawk\Model\Sparrowhawk_Model_v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vr-uk-fs\Evercore%20Partners\Client%20Directory\BBA\Presentations\Onex\Presentation-back-up\Valuation_considerations_25%20Nov%202008_v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vr-uk-fs\Evercore%20Partners\Documents%20and%20Settings\vaipanm\Local%20Settings\Temporary%20Internet%20Files\OLK88\Client%20Directory\Anite\Project%20Alpine\Preliminary%20Analysis\Preliminary_Analysis_SwissQual_v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epg/Local%20Settings/Temporary%20Internet%20Files/Content.Outlook/W46JGTIJ/New%20color%20palette%20v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TEMP\cache\OLK7D\Caroline%20Mode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16;konomi/08)%20Budget%202010-2011/Skabelon%20salgsbudge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sdkba090\itfinan\KPI\RA\1999\RATemp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kcph06\data_1\Documents%20and%20Settings\pvejlgaard\Local%20Settings\Temporary%20Internet%20Files\OLK6D\peergroup101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sdkba122\itfinan\KPI\RA\1999\RATemp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DKGGK/Documents/Projects/Project%20Europe%20(Catalyst)/Q&amp;A/Vosko%20extraordinary%20items%20impact%20on%20NW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ul/sourcing/labour/weekly/2002/mpwr20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DKISA/PA/PwC%20Archive%20Temp/Beta%20peers%7bPwC-c8csFR5%7d.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vr-uk-fs\Presentations\Evercore%20doc%20templates\_Draft%20Advisory%20template%20v4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bert%20godefroid\Local%20Settings\Temporary%20Internet%20Files\OLK84\Gezamelijke%20documenten\Fondsen\NeSBIC%20Buy%20Out%20Fund\Projects\Targets\Margriet\Valuation%20and%20models\Jeroen\Models\bleustone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ul/sourcing/booklet/2002/Skerton%202002/December/manpower2002DE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dvisory\Deal%20Advisory\1%20Projects\2017\Project%20Frida%20-%20FDD%20-%20June%202017\03-Client%20materials\Finansielle%20poster\Financial%20data%20PL\M&#229;nedsregnskab%202014-2017-05.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Advisory\Deal%20Advisory\1%20Projects\2017\Project%20Frida%20-%20M&amp;A%20-%20June%202017\03-Client%20materials\Kunder\Oms&#230;tning%20fordelt%20p&#229;%20kunder%202015-1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vr-uk-fs\Evercore%20Partners\Documents%20and%20Settings\vaipanm\Local%20Settings\Temporary%20Internet%20Files\OLK88\Client%20Directory\Cobham\Lexington\Model\February_2009\Lexington_Valuation_Feb09_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KTGF/Documents/DataBackup/Data/Projecter/Project%20Firefly/DT%20III/DataPack%20Phase%20III%201.04.15%20v%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lient%20Directory/Safegate%20Group/Project%20Firefly/09%20DD/Orderbook%20Analysis/Firefly%20-%20FY15%20Revenue%20Build-Up%20v20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I"/>
      <sheetName val="A"/>
      <sheetName val="Rip"/>
      <sheetName val="Perdite"/>
      <sheetName val="loss"/>
      <sheetName val="OEE"/>
      <sheetName val="Pareto"/>
      <sheetName val="cambio formato"/>
      <sheetName val="%produzioni"/>
      <sheetName val="AV%"/>
      <sheetName val="PR %"/>
      <sheetName val="QR%"/>
    </sheetNames>
    <sheetDataSet>
      <sheetData sheetId="0" refreshError="1"/>
      <sheetData sheetId="1" refreshError="1"/>
      <sheetData sheetId="2" refreshError="1"/>
      <sheetData sheetId="3" refreshError="1"/>
      <sheetData sheetId="4" refreshError="1"/>
      <sheetData sheetId="5" refreshError="1"/>
      <sheetData sheetId="6" refreshError="1">
        <row r="3">
          <cell r="B3">
            <v>0.88088946027664694</v>
          </cell>
        </row>
        <row r="4">
          <cell r="B4">
            <v>4.8925076780229988</v>
          </cell>
        </row>
        <row r="5">
          <cell r="B5">
            <v>7.7970621146108616</v>
          </cell>
        </row>
        <row r="6">
          <cell r="B6">
            <v>37.543486122873304</v>
          </cell>
        </row>
        <row r="7">
          <cell r="B7">
            <v>3.9997143061209917</v>
          </cell>
        </row>
        <row r="8">
          <cell r="B8">
            <v>26.057662547913246</v>
          </cell>
        </row>
        <row r="9">
          <cell r="B9">
            <v>68.280837083065506</v>
          </cell>
        </row>
        <row r="10">
          <cell r="B10">
            <v>6.5233435706973317</v>
          </cell>
        </row>
      </sheetData>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Handset"/>
      <sheetName val="Wireless"/>
      <sheetName val="Travel"/>
      <sheetName val="Corporate"/>
      <sheetName val="other_valuation_info"/>
      <sheetName val="Broker_Targets"/>
      <sheetName val="Trading"/>
      <sheetName val="Transaction"/>
      <sheetName val="Football"/>
      <sheetName val="Evercore Backlog Analysis"/>
    </sheetNames>
    <sheetDataSet>
      <sheetData sheetId="0"/>
      <sheetData sheetId="1">
        <row r="1">
          <cell r="B1" t="str">
            <v>Project Sparrowhawk</v>
          </cell>
        </row>
        <row r="2">
          <cell r="B2" t="str">
            <v>Handset Financial Summary and DCF</v>
          </cell>
          <cell r="R2" t="str">
            <v>(£ in millions)</v>
          </cell>
        </row>
        <row r="4">
          <cell r="F4" t="str">
            <v>Historical</v>
          </cell>
          <cell r="H4" t="str">
            <v>Forecasts</v>
          </cell>
          <cell r="K4" t="str">
            <v>Evercore Extrapolations</v>
          </cell>
        </row>
        <row r="5">
          <cell r="C5" t="str">
            <v>FYE 30 Apr</v>
          </cell>
          <cell r="F5">
            <v>39202</v>
          </cell>
          <cell r="G5">
            <v>39568</v>
          </cell>
          <cell r="H5">
            <v>39933</v>
          </cell>
          <cell r="I5">
            <v>40298</v>
          </cell>
          <cell r="J5">
            <v>40663</v>
          </cell>
          <cell r="K5">
            <v>41029</v>
          </cell>
          <cell r="L5">
            <v>41394</v>
          </cell>
          <cell r="M5">
            <v>41759</v>
          </cell>
          <cell r="N5">
            <v>42124</v>
          </cell>
          <cell r="O5">
            <v>42490</v>
          </cell>
          <cell r="P5">
            <v>42855</v>
          </cell>
          <cell r="Q5">
            <v>43220</v>
          </cell>
          <cell r="S5" t="str">
            <v>2008-2010 CAGR</v>
          </cell>
        </row>
        <row r="7">
          <cell r="C7" t="str">
            <v>Income Statement</v>
          </cell>
        </row>
        <row r="9">
          <cell r="C9" t="str">
            <v>Revenue</v>
          </cell>
          <cell r="F9">
            <v>57.808</v>
          </cell>
          <cell r="G9">
            <v>41.601999999999997</v>
          </cell>
          <cell r="H9">
            <v>39.426000000000002</v>
          </cell>
          <cell r="I9">
            <v>53.2</v>
          </cell>
          <cell r="J9">
            <v>61.7</v>
          </cell>
          <cell r="K9">
            <v>66.63600000000001</v>
          </cell>
          <cell r="L9">
            <v>69.967800000000011</v>
          </cell>
          <cell r="M9">
            <v>72.76651200000002</v>
          </cell>
          <cell r="N9">
            <v>74.585674800000021</v>
          </cell>
          <cell r="O9">
            <v>76.450316670000021</v>
          </cell>
          <cell r="P9">
            <v>78.36157458675001</v>
          </cell>
          <cell r="Q9">
            <v>80.32061395141875</v>
          </cell>
          <cell r="S9">
            <v>0.1308336189792727</v>
          </cell>
        </row>
        <row r="10">
          <cell r="D10" t="str">
            <v>% growth</v>
          </cell>
          <cell r="F10" t="str">
            <v>n.a.</v>
          </cell>
          <cell r="G10">
            <v>-0.28034182120121787</v>
          </cell>
          <cell r="H10">
            <v>-5.2305177635690425E-2</v>
          </cell>
          <cell r="I10">
            <v>0.34936336427738035</v>
          </cell>
          <cell r="J10">
            <v>0.15977443609022557</v>
          </cell>
          <cell r="K10">
            <v>0.08</v>
          </cell>
          <cell r="L10">
            <v>0.05</v>
          </cell>
          <cell r="M10">
            <v>0.04</v>
          </cell>
          <cell r="N10">
            <v>2.5000000000000001E-2</v>
          </cell>
          <cell r="O10">
            <v>2.5000000000000001E-2</v>
          </cell>
          <cell r="P10">
            <v>2.5000000000000001E-2</v>
          </cell>
          <cell r="Q10">
            <v>2.5000000000000001E-2</v>
          </cell>
        </row>
        <row r="12">
          <cell r="C12" t="str">
            <v>Gross Profit</v>
          </cell>
          <cell r="F12">
            <v>35.722249409820989</v>
          </cell>
          <cell r="G12">
            <v>27.421156831727568</v>
          </cell>
          <cell r="H12">
            <v>25.390344000000002</v>
          </cell>
          <cell r="I12">
            <v>33.700000000000003</v>
          </cell>
          <cell r="J12">
            <v>39.200000000000003</v>
          </cell>
          <cell r="K12">
            <v>42.512010170329013</v>
          </cell>
          <cell r="L12">
            <v>44.637610678845462</v>
          </cell>
          <cell r="M12">
            <v>46.423115105999287</v>
          </cell>
          <cell r="N12">
            <v>47.583692983649271</v>
          </cell>
          <cell r="O12">
            <v>48.773285308240503</v>
          </cell>
          <cell r="P12">
            <v>49.99261744094651</v>
          </cell>
          <cell r="Q12">
            <v>51.242432876970163</v>
          </cell>
          <cell r="S12">
            <v>0.10859282669723225</v>
          </cell>
        </row>
        <row r="13">
          <cell r="D13" t="str">
            <v>% margin</v>
          </cell>
          <cell r="F13">
            <v>0.6179464677868286</v>
          </cell>
          <cell r="G13">
            <v>0.65913073486196749</v>
          </cell>
          <cell r="H13">
            <v>0.64400000000000002</v>
          </cell>
          <cell r="I13">
            <v>0.63345864661654139</v>
          </cell>
          <cell r="J13">
            <v>0.63533225283630468</v>
          </cell>
          <cell r="K13">
            <v>0.63797362042032846</v>
          </cell>
          <cell r="L13">
            <v>0.63797362042032846</v>
          </cell>
          <cell r="M13">
            <v>0.63797362042032846</v>
          </cell>
          <cell r="N13">
            <v>0.63797362042032846</v>
          </cell>
          <cell r="O13">
            <v>0.63797362042032846</v>
          </cell>
          <cell r="P13">
            <v>0.63797362042032846</v>
          </cell>
          <cell r="Q13">
            <v>0.63797362042032846</v>
          </cell>
        </row>
        <row r="14">
          <cell r="D14" t="str">
            <v>% growth</v>
          </cell>
          <cell r="F14" t="str">
            <v>n.a.</v>
          </cell>
          <cell r="G14">
            <v>-0.23237877555972808</v>
          </cell>
          <cell r="H14">
            <v>-7.4060071359856705E-2</v>
          </cell>
          <cell r="I14">
            <v>0.32727622752964658</v>
          </cell>
          <cell r="J14">
            <v>0.16320474777448069</v>
          </cell>
          <cell r="K14">
            <v>8.4490055365535888E-2</v>
          </cell>
          <cell r="L14">
            <v>5.0000000000000044E-2</v>
          </cell>
          <cell r="M14">
            <v>4.0000000000000036E-2</v>
          </cell>
          <cell r="N14">
            <v>2.5000000000000133E-2</v>
          </cell>
          <cell r="O14">
            <v>2.4999999999999911E-2</v>
          </cell>
          <cell r="P14">
            <v>2.4999999999999911E-2</v>
          </cell>
          <cell r="Q14">
            <v>2.4999999999999689E-2</v>
          </cell>
        </row>
        <row r="16">
          <cell r="C16" t="str">
            <v>EBITDA</v>
          </cell>
          <cell r="F16">
            <v>23.16547086088983</v>
          </cell>
          <cell r="G16">
            <v>12.907727457794611</v>
          </cell>
          <cell r="H16">
            <v>11.489587629491641</v>
          </cell>
          <cell r="I16">
            <v>15.100000000000001</v>
          </cell>
          <cell r="J16">
            <v>19.3</v>
          </cell>
          <cell r="K16">
            <v>18.366974602260964</v>
          </cell>
          <cell r="L16">
            <v>19.285323332374013</v>
          </cell>
          <cell r="M16">
            <v>20.056736265668974</v>
          </cell>
          <cell r="N16">
            <v>19.319643957163485</v>
          </cell>
          <cell r="O16">
            <v>19.802635056092576</v>
          </cell>
          <cell r="P16">
            <v>20.297700932494887</v>
          </cell>
          <cell r="Q16">
            <v>20.805143455807258</v>
          </cell>
          <cell r="S16">
            <v>8.159228359547277E-2</v>
          </cell>
        </row>
        <row r="17">
          <cell r="D17" t="str">
            <v>% margin</v>
          </cell>
          <cell r="F17">
            <v>0.40073122856507454</v>
          </cell>
          <cell r="G17">
            <v>0.31026699336076657</v>
          </cell>
          <cell r="H17">
            <v>0.29142159056185363</v>
          </cell>
          <cell r="I17">
            <v>0.28383458646616544</v>
          </cell>
          <cell r="J17">
            <v>0.31280388978930307</v>
          </cell>
          <cell r="K17">
            <v>0.27563140948227627</v>
          </cell>
          <cell r="L17">
            <v>0.27563140948227627</v>
          </cell>
          <cell r="M17">
            <v>0.27563140948227627</v>
          </cell>
          <cell r="N17">
            <v>0.25902620052669256</v>
          </cell>
          <cell r="O17">
            <v>0.25902620052669262</v>
          </cell>
          <cell r="P17">
            <v>0.25902620052669262</v>
          </cell>
          <cell r="Q17">
            <v>0.25902620052669262</v>
          </cell>
        </row>
        <row r="18">
          <cell r="D18" t="str">
            <v>% growth</v>
          </cell>
          <cell r="F18" t="str">
            <v>n.a.</v>
          </cell>
          <cell r="G18">
            <v>-0.44280314717942237</v>
          </cell>
          <cell r="H18">
            <v>-0.1098675063399015</v>
          </cell>
          <cell r="I18">
            <v>0.31423341610982636</v>
          </cell>
          <cell r="J18">
            <v>0.27814569536423828</v>
          </cell>
          <cell r="K18">
            <v>-4.8343284856944946E-2</v>
          </cell>
          <cell r="L18">
            <v>5.0000000000000044E-2</v>
          </cell>
          <cell r="M18">
            <v>4.0000000000000036E-2</v>
          </cell>
          <cell r="N18">
            <v>-3.6750361511566854E-2</v>
          </cell>
          <cell r="O18">
            <v>2.5000000000000133E-2</v>
          </cell>
          <cell r="P18">
            <v>2.4999999999999911E-2</v>
          </cell>
          <cell r="Q18">
            <v>2.4999999999999911E-2</v>
          </cell>
        </row>
        <row r="20">
          <cell r="C20" t="str">
            <v>EBIT</v>
          </cell>
          <cell r="F20">
            <v>17.7563803037654</v>
          </cell>
          <cell r="G20">
            <v>7.58182028026906</v>
          </cell>
          <cell r="H20">
            <v>7.2460000000000004</v>
          </cell>
          <cell r="I20">
            <v>10.9</v>
          </cell>
          <cell r="J20">
            <v>14.8</v>
          </cell>
          <cell r="K20">
            <v>13.506974602260964</v>
          </cell>
          <cell r="L20">
            <v>14.182323332374013</v>
          </cell>
          <cell r="M20">
            <v>14.749616265668974</v>
          </cell>
          <cell r="N20">
            <v>15.118356672310698</v>
          </cell>
          <cell r="O20">
            <v>15.496315589118467</v>
          </cell>
          <cell r="P20">
            <v>15.883723478846425</v>
          </cell>
          <cell r="Q20">
            <v>16.280816565817585</v>
          </cell>
          <cell r="S20">
            <v>0.19902021759092392</v>
          </cell>
        </row>
        <row r="21">
          <cell r="D21" t="str">
            <v>% margin</v>
          </cell>
          <cell r="F21">
            <v>0.30716129780939316</v>
          </cell>
          <cell r="G21">
            <v>0.18224653334621077</v>
          </cell>
          <cell r="H21">
            <v>0.18378734845026126</v>
          </cell>
          <cell r="I21">
            <v>0.20488721804511278</v>
          </cell>
          <cell r="J21">
            <v>0.23987034035656402</v>
          </cell>
          <cell r="K21">
            <v>0.20269786004953722</v>
          </cell>
          <cell r="L21">
            <v>0.20269786004953722</v>
          </cell>
          <cell r="M21">
            <v>0.20269786004953722</v>
          </cell>
          <cell r="N21">
            <v>0.20269786004953722</v>
          </cell>
          <cell r="O21">
            <v>0.20269786004953722</v>
          </cell>
          <cell r="P21">
            <v>0.20269786004953722</v>
          </cell>
          <cell r="Q21">
            <v>0.20269786004953722</v>
          </cell>
        </row>
        <row r="22">
          <cell r="D22" t="str">
            <v>% growth</v>
          </cell>
          <cell r="F22" t="str">
            <v>n.a.</v>
          </cell>
          <cell r="G22">
            <v>-0.57300867910216668</v>
          </cell>
          <cell r="H22">
            <v>-4.4292830462230648E-2</v>
          </cell>
          <cell r="I22">
            <v>0.50427822246756837</v>
          </cell>
          <cell r="J22">
            <v>0.35779816513761475</v>
          </cell>
          <cell r="K22">
            <v>-8.7366580928313287E-2</v>
          </cell>
          <cell r="L22">
            <v>5.0000000000000044E-2</v>
          </cell>
          <cell r="M22">
            <v>4.0000000000000036E-2</v>
          </cell>
          <cell r="N22">
            <v>2.4999999999999911E-2</v>
          </cell>
          <cell r="O22">
            <v>2.5000000000000133E-2</v>
          </cell>
          <cell r="P22">
            <v>2.4999999999999689E-2</v>
          </cell>
          <cell r="Q22">
            <v>2.4999999999999911E-2</v>
          </cell>
        </row>
        <row r="24">
          <cell r="C24" t="str">
            <v>Key Cash Flow Items</v>
          </cell>
        </row>
        <row r="26">
          <cell r="C26" t="str">
            <v>Capex</v>
          </cell>
          <cell r="F26">
            <v>-2.5758770494319001</v>
          </cell>
          <cell r="G26">
            <v>-2.00818203648259</v>
          </cell>
          <cell r="H26">
            <v>-3</v>
          </cell>
          <cell r="I26">
            <v>-3</v>
          </cell>
          <cell r="J26">
            <v>-3.4754586074404874</v>
          </cell>
          <cell r="K26">
            <v>-3.757669172932331</v>
          </cell>
          <cell r="L26">
            <v>-3.9411700608375129</v>
          </cell>
          <cell r="M26">
            <v>-4.098816863271014</v>
          </cell>
          <cell r="N26">
            <v>-4.2012872848527891</v>
          </cell>
          <cell r="O26">
            <v>-4.3063194669741094</v>
          </cell>
          <cell r="P26">
            <v>-4.4139774536484611</v>
          </cell>
          <cell r="Q26">
            <v>-4.5243268899896725</v>
          </cell>
        </row>
        <row r="27">
          <cell r="D27" t="str">
            <v>% revenue</v>
          </cell>
          <cell r="F27">
            <v>-4.4559179515497857E-2</v>
          </cell>
          <cell r="G27">
            <v>-4.8271285911316526E-2</v>
          </cell>
          <cell r="H27">
            <v>-7.6091919038198133E-2</v>
          </cell>
          <cell r="I27">
            <v>-5.6390977443609019E-2</v>
          </cell>
          <cell r="J27">
            <v>-5.6328340477155382E-2</v>
          </cell>
          <cell r="K27">
            <v>-5.6390977443609019E-2</v>
          </cell>
          <cell r="L27">
            <v>-5.6328340477155382E-2</v>
          </cell>
          <cell r="M27">
            <v>-5.6328340477155382E-2</v>
          </cell>
          <cell r="N27">
            <v>-5.6328340477155382E-2</v>
          </cell>
          <cell r="O27">
            <v>-5.6328340477155382E-2</v>
          </cell>
          <cell r="P27">
            <v>-5.6328340477155382E-2</v>
          </cell>
          <cell r="Q27">
            <v>-5.6328340477155382E-2</v>
          </cell>
        </row>
        <row r="29">
          <cell r="C29" t="str">
            <v>Depreciation &amp; Amortisation</v>
          </cell>
          <cell r="F29">
            <v>5.4090905571244301</v>
          </cell>
          <cell r="G29">
            <v>5.3259071775255498</v>
          </cell>
          <cell r="H29">
            <v>4.2435876294916399</v>
          </cell>
          <cell r="I29">
            <v>4.2</v>
          </cell>
          <cell r="J29">
            <v>4.5</v>
          </cell>
          <cell r="K29">
            <v>4.8600000000000003</v>
          </cell>
          <cell r="L29">
            <v>5.1030000000000006</v>
          </cell>
          <cell r="M29">
            <v>5.3071200000000012</v>
          </cell>
          <cell r="N29">
            <v>4.2012872848527891</v>
          </cell>
          <cell r="O29">
            <v>4.3063194669741094</v>
          </cell>
          <cell r="P29">
            <v>4.4139774536484611</v>
          </cell>
          <cell r="Q29">
            <v>4.5243268899896725</v>
          </cell>
        </row>
        <row r="30">
          <cell r="D30" t="str">
            <v>% revenue</v>
          </cell>
          <cell r="F30">
            <v>9.3569930755681402E-2</v>
          </cell>
          <cell r="G30">
            <v>0.1280204600145558</v>
          </cell>
          <cell r="H30">
            <v>0.10763424211159234</v>
          </cell>
          <cell r="I30">
            <v>7.8947368421052627E-2</v>
          </cell>
          <cell r="J30">
            <v>7.2933549432739053E-2</v>
          </cell>
          <cell r="K30">
            <v>7.2933549432739053E-2</v>
          </cell>
          <cell r="L30">
            <v>7.2933549432739053E-2</v>
          </cell>
          <cell r="M30">
            <v>7.2933549432739053E-2</v>
          </cell>
          <cell r="N30">
            <v>5.6328340477155382E-2</v>
          </cell>
          <cell r="O30">
            <v>5.6328340477155382E-2</v>
          </cell>
          <cell r="P30">
            <v>5.6328340477155382E-2</v>
          </cell>
          <cell r="Q30">
            <v>5.6328340477155382E-2</v>
          </cell>
        </row>
        <row r="32">
          <cell r="C32" t="str">
            <v>Δ in NWC</v>
          </cell>
          <cell r="F32">
            <v>-1.5625975233438862</v>
          </cell>
          <cell r="G32">
            <v>-0.91258343337334924</v>
          </cell>
          <cell r="H32">
            <v>-0.96528381139801567</v>
          </cell>
          <cell r="I32">
            <v>-1.3025186112305187</v>
          </cell>
          <cell r="J32">
            <v>-1.5106277878368988</v>
          </cell>
          <cell r="K32">
            <v>-1.6314780108638507</v>
          </cell>
          <cell r="L32">
            <v>-1.7130519114070433</v>
          </cell>
          <cell r="M32">
            <v>-1.7815739878633252</v>
          </cell>
          <cell r="N32">
            <v>-1.8261133375599083</v>
          </cell>
          <cell r="O32">
            <v>-1.871766170998906</v>
          </cell>
          <cell r="P32">
            <v>-1.9185603252738785</v>
          </cell>
          <cell r="Q32">
            <v>-1.966524333405725</v>
          </cell>
        </row>
        <row r="33">
          <cell r="D33" t="str">
            <v>% revenue</v>
          </cell>
          <cell r="F33">
            <v>-2.7030817937722915E-2</v>
          </cell>
          <cell r="G33">
            <v>-2.193604714613118E-2</v>
          </cell>
          <cell r="H33">
            <v>-2.4483432541927044E-2</v>
          </cell>
          <cell r="I33">
            <v>-2.4483432541927041E-2</v>
          </cell>
          <cell r="J33">
            <v>-2.4483432541927044E-2</v>
          </cell>
          <cell r="K33">
            <v>-2.4483432541927044E-2</v>
          </cell>
          <cell r="L33">
            <v>-2.4483432541927044E-2</v>
          </cell>
          <cell r="M33">
            <v>-2.4483432541927044E-2</v>
          </cell>
          <cell r="N33">
            <v>-2.4483432541927044E-2</v>
          </cell>
          <cell r="O33">
            <v>-2.4483432541927041E-2</v>
          </cell>
          <cell r="P33">
            <v>-2.4483432541927044E-2</v>
          </cell>
          <cell r="Q33">
            <v>-2.4483432541927041E-2</v>
          </cell>
        </row>
        <row r="35">
          <cell r="C35" t="str">
            <v>DCF Analysis</v>
          </cell>
        </row>
        <row r="37">
          <cell r="C37" t="str">
            <v>DCF Assumptions</v>
          </cell>
        </row>
        <row r="38">
          <cell r="H38" t="str">
            <v>Notes</v>
          </cell>
        </row>
        <row r="39">
          <cell r="C39" t="str">
            <v>WACC</v>
          </cell>
          <cell r="F39">
            <v>0.09</v>
          </cell>
          <cell r="H39" t="str">
            <v>Hard-coded figures in sensitivity table</v>
          </cell>
        </row>
        <row r="40">
          <cell r="C40" t="str">
            <v>Valuation Date</v>
          </cell>
          <cell r="F40">
            <v>39752</v>
          </cell>
          <cell r="H40" t="str">
            <v>Change in net working capital based on group charge and allocated by % of group revenue</v>
          </cell>
        </row>
        <row r="41">
          <cell r="C41" t="str">
            <v>Mid Year Convention</v>
          </cell>
          <cell r="F41">
            <v>1</v>
          </cell>
        </row>
        <row r="42">
          <cell r="C42" t="str">
            <v>TV Growth Rate</v>
          </cell>
          <cell r="F42">
            <v>0.02</v>
          </cell>
        </row>
        <row r="43">
          <cell r="C43" t="str">
            <v>Tax Rate</v>
          </cell>
          <cell r="F43">
            <v>0.28000000000000003</v>
          </cell>
        </row>
        <row r="45">
          <cell r="C45" t="str">
            <v>DCF Calculation</v>
          </cell>
        </row>
        <row r="47">
          <cell r="F47" t="str">
            <v>Historical</v>
          </cell>
          <cell r="H47" t="str">
            <v>Forecasts</v>
          </cell>
          <cell r="K47" t="str">
            <v>Evercore Extrapolations</v>
          </cell>
        </row>
        <row r="48">
          <cell r="C48" t="str">
            <v>FYE 30 Apr</v>
          </cell>
          <cell r="F48">
            <v>39202</v>
          </cell>
          <cell r="G48">
            <v>39568</v>
          </cell>
          <cell r="H48">
            <v>39933</v>
          </cell>
          <cell r="I48">
            <v>40298</v>
          </cell>
          <cell r="J48">
            <v>40663</v>
          </cell>
          <cell r="K48">
            <v>41029</v>
          </cell>
          <cell r="L48">
            <v>41394</v>
          </cell>
          <cell r="M48">
            <v>41759</v>
          </cell>
          <cell r="N48">
            <v>42124</v>
          </cell>
          <cell r="O48">
            <v>42490</v>
          </cell>
          <cell r="P48">
            <v>42855</v>
          </cell>
          <cell r="Q48">
            <v>43220</v>
          </cell>
        </row>
        <row r="50">
          <cell r="C50" t="str">
            <v>EBIT</v>
          </cell>
          <cell r="F50">
            <v>17.7563803037654</v>
          </cell>
          <cell r="G50">
            <v>7.58182028026906</v>
          </cell>
          <cell r="H50">
            <v>7.2460000000000004</v>
          </cell>
          <cell r="I50">
            <v>10.9</v>
          </cell>
          <cell r="J50">
            <v>14.8</v>
          </cell>
          <cell r="K50">
            <v>13.506974602260964</v>
          </cell>
          <cell r="L50">
            <v>14.182323332374013</v>
          </cell>
          <cell r="M50">
            <v>14.749616265668974</v>
          </cell>
          <cell r="N50">
            <v>15.118356672310698</v>
          </cell>
          <cell r="O50">
            <v>15.496315589118467</v>
          </cell>
          <cell r="P50">
            <v>15.883723478846425</v>
          </cell>
          <cell r="Q50">
            <v>16.280816565817585</v>
          </cell>
        </row>
        <row r="51">
          <cell r="C51" t="str">
            <v>Less: Tax</v>
          </cell>
          <cell r="F51">
            <v>-4.971786485054313</v>
          </cell>
          <cell r="G51">
            <v>-2.1229096784753372</v>
          </cell>
          <cell r="H51">
            <v>-2.0288800000000005</v>
          </cell>
          <cell r="I51">
            <v>-3.0520000000000005</v>
          </cell>
          <cell r="J51">
            <v>-4.144000000000001</v>
          </cell>
          <cell r="K51">
            <v>-3.7819528886330702</v>
          </cell>
          <cell r="L51">
            <v>-3.9710505330647239</v>
          </cell>
          <cell r="M51">
            <v>-4.1298925543873128</v>
          </cell>
          <cell r="N51">
            <v>-4.2331398682469956</v>
          </cell>
          <cell r="O51">
            <v>-4.3389683649531712</v>
          </cell>
          <cell r="P51">
            <v>-4.4474425740769998</v>
          </cell>
          <cell r="Q51">
            <v>-4.5586286384289245</v>
          </cell>
        </row>
        <row r="52">
          <cell r="C52" t="str">
            <v>NOPAT</v>
          </cell>
          <cell r="F52">
            <v>12.784593818711087</v>
          </cell>
          <cell r="G52">
            <v>5.4589106017937228</v>
          </cell>
          <cell r="H52">
            <v>5.2171199999999995</v>
          </cell>
          <cell r="I52">
            <v>7.8479999999999999</v>
          </cell>
          <cell r="J52">
            <v>10.655999999999999</v>
          </cell>
          <cell r="K52">
            <v>9.7250217136278945</v>
          </cell>
          <cell r="L52">
            <v>10.211272799309288</v>
          </cell>
          <cell r="M52">
            <v>10.619723711281662</v>
          </cell>
          <cell r="N52">
            <v>10.885216804063703</v>
          </cell>
          <cell r="O52">
            <v>11.157347224165296</v>
          </cell>
          <cell r="P52">
            <v>11.436280904769426</v>
          </cell>
          <cell r="Q52">
            <v>11.72218792738866</v>
          </cell>
        </row>
        <row r="54">
          <cell r="C54" t="str">
            <v>Plus: D&amp;A</v>
          </cell>
          <cell r="F54">
            <v>5.4090905571244301</v>
          </cell>
          <cell r="G54">
            <v>5.3259071775255498</v>
          </cell>
          <cell r="H54">
            <v>4.2435876294916399</v>
          </cell>
          <cell r="I54">
            <v>4.2</v>
          </cell>
          <cell r="J54">
            <v>4.5</v>
          </cell>
          <cell r="K54">
            <v>4.8600000000000003</v>
          </cell>
          <cell r="L54">
            <v>5.1030000000000006</v>
          </cell>
          <cell r="M54">
            <v>5.3071200000000012</v>
          </cell>
          <cell r="N54">
            <v>4.2012872848527891</v>
          </cell>
          <cell r="O54">
            <v>4.3063194669741094</v>
          </cell>
          <cell r="P54">
            <v>4.4139774536484611</v>
          </cell>
          <cell r="Q54">
            <v>4.5243268899896725</v>
          </cell>
        </row>
        <row r="55">
          <cell r="C55" t="str">
            <v>Plus: Δ in NWC</v>
          </cell>
          <cell r="F55">
            <v>-1.5625975233438862</v>
          </cell>
          <cell r="G55">
            <v>-0.91258343337334924</v>
          </cell>
          <cell r="H55">
            <v>-0.96528381139801567</v>
          </cell>
          <cell r="I55">
            <v>-1.3025186112305187</v>
          </cell>
          <cell r="J55">
            <v>-1.5106277878368988</v>
          </cell>
          <cell r="K55">
            <v>-1.6314780108638507</v>
          </cell>
          <cell r="L55">
            <v>-1.7130519114070433</v>
          </cell>
          <cell r="M55">
            <v>-1.7815739878633252</v>
          </cell>
          <cell r="N55">
            <v>-1.8261133375599083</v>
          </cell>
          <cell r="O55">
            <v>-1.871766170998906</v>
          </cell>
          <cell r="P55">
            <v>-1.9185603252738785</v>
          </cell>
          <cell r="Q55">
            <v>-1.966524333405725</v>
          </cell>
        </row>
        <row r="56">
          <cell r="C56" t="str">
            <v>Less: Capex</v>
          </cell>
          <cell r="F56">
            <v>-2.5758770494319001</v>
          </cell>
          <cell r="G56">
            <v>-2.00818203648259</v>
          </cell>
          <cell r="H56">
            <v>-3</v>
          </cell>
          <cell r="I56">
            <v>-3</v>
          </cell>
          <cell r="J56">
            <v>-3.4754586074404874</v>
          </cell>
          <cell r="K56">
            <v>-3.757669172932331</v>
          </cell>
          <cell r="L56">
            <v>-3.9411700608375129</v>
          </cell>
          <cell r="M56">
            <v>-4.098816863271014</v>
          </cell>
          <cell r="N56">
            <v>-4.2012872848527891</v>
          </cell>
          <cell r="O56">
            <v>-4.3063194669741094</v>
          </cell>
          <cell r="P56">
            <v>-4.4139774536484611</v>
          </cell>
          <cell r="Q56">
            <v>-4.5243268899896725</v>
          </cell>
        </row>
        <row r="57">
          <cell r="C57" t="str">
            <v>Free Cash Flow</v>
          </cell>
          <cell r="F57">
            <v>14.055209803059732</v>
          </cell>
          <cell r="G57">
            <v>7.8640523094633332</v>
          </cell>
          <cell r="H57">
            <v>5.4954238180936237</v>
          </cell>
          <cell r="I57">
            <v>7.7454813887694813</v>
          </cell>
          <cell r="J57">
            <v>10.169913604722613</v>
          </cell>
          <cell r="K57">
            <v>9.1958745298317126</v>
          </cell>
          <cell r="L57">
            <v>9.6600508270647332</v>
          </cell>
          <cell r="M57">
            <v>10.046452860147323</v>
          </cell>
          <cell r="N57">
            <v>9.0591034665037942</v>
          </cell>
          <cell r="O57">
            <v>9.2855810531663892</v>
          </cell>
          <cell r="P57">
            <v>9.5177205794955473</v>
          </cell>
          <cell r="Q57">
            <v>9.7556635939829341</v>
          </cell>
        </row>
        <row r="59">
          <cell r="C59" t="str">
            <v>Stub</v>
          </cell>
          <cell r="H59">
            <v>0.49589041095890413</v>
          </cell>
          <cell r="I59">
            <v>1</v>
          </cell>
          <cell r="J59">
            <v>1</v>
          </cell>
          <cell r="K59">
            <v>1</v>
          </cell>
          <cell r="L59">
            <v>1</v>
          </cell>
          <cell r="M59">
            <v>1</v>
          </cell>
          <cell r="N59">
            <v>1</v>
          </cell>
          <cell r="O59">
            <v>1</v>
          </cell>
          <cell r="P59">
            <v>1</v>
          </cell>
          <cell r="Q59">
            <v>1</v>
          </cell>
        </row>
        <row r="60">
          <cell r="C60" t="str">
            <v>Adjusted Free Cash Flow</v>
          </cell>
          <cell r="F60">
            <v>14.055209803059732</v>
          </cell>
          <cell r="G60">
            <v>7.8640523094633332</v>
          </cell>
          <cell r="H60">
            <v>2.7251279755477968</v>
          </cell>
          <cell r="I60">
            <v>7.7454813887694813</v>
          </cell>
          <cell r="J60">
            <v>10.169913604722613</v>
          </cell>
          <cell r="K60">
            <v>9.1958745298317126</v>
          </cell>
          <cell r="L60">
            <v>9.6600508270647332</v>
          </cell>
          <cell r="M60">
            <v>10.046452860147323</v>
          </cell>
          <cell r="N60">
            <v>9.0591034665037942</v>
          </cell>
          <cell r="O60">
            <v>9.2855810531663892</v>
          </cell>
          <cell r="P60">
            <v>9.5177205794955473</v>
          </cell>
          <cell r="Q60">
            <v>9.7556635939829341</v>
          </cell>
        </row>
        <row r="62">
          <cell r="C62" t="str">
            <v>Exponent</v>
          </cell>
          <cell r="H62">
            <v>0.49589041095890413</v>
          </cell>
          <cell r="I62">
            <v>1.4958904109589042</v>
          </cell>
          <cell r="J62">
            <v>2.4958904109589044</v>
          </cell>
          <cell r="K62">
            <v>3.4958904109589044</v>
          </cell>
          <cell r="L62">
            <v>4.4958904109589044</v>
          </cell>
          <cell r="M62">
            <v>5.4958904109589044</v>
          </cell>
          <cell r="N62">
            <v>6.4958904109589044</v>
          </cell>
          <cell r="O62">
            <v>7.4958904109589044</v>
          </cell>
          <cell r="P62">
            <v>8.4958904109589035</v>
          </cell>
          <cell r="Q62">
            <v>9.4958904109589035</v>
          </cell>
        </row>
        <row r="63">
          <cell r="C63" t="str">
            <v>Discount Factor</v>
          </cell>
          <cell r="H63">
            <v>0.9581655641839032</v>
          </cell>
          <cell r="I63">
            <v>0.87905097631550744</v>
          </cell>
          <cell r="J63">
            <v>0.80646878561055724</v>
          </cell>
          <cell r="K63">
            <v>0.73987961982619921</v>
          </cell>
          <cell r="L63">
            <v>0.67878864204238454</v>
          </cell>
          <cell r="M63">
            <v>0.62274187343338028</v>
          </cell>
          <cell r="N63">
            <v>0.57132281966365162</v>
          </cell>
          <cell r="O63">
            <v>0.52414937583821242</v>
          </cell>
          <cell r="P63">
            <v>0.48087098700753439</v>
          </cell>
          <cell r="Q63">
            <v>0.44116604312617824</v>
          </cell>
        </row>
        <row r="64">
          <cell r="C64" t="str">
            <v>Discounted Cash Flow</v>
          </cell>
          <cell r="H64">
            <v>2.6111237841640929</v>
          </cell>
          <cell r="I64">
            <v>6.8086729768314047</v>
          </cell>
          <cell r="J64">
            <v>8.2017178745649293</v>
          </cell>
          <cell r="K64">
            <v>6.8038401511013156</v>
          </cell>
          <cell r="L64">
            <v>6.5571327829636843</v>
          </cell>
          <cell r="M64">
            <v>6.2563468754882852</v>
          </cell>
          <cell r="N64">
            <v>5.1756725361077081</v>
          </cell>
          <cell r="O64">
            <v>4.8670315133122939</v>
          </cell>
          <cell r="P64">
            <v>4.5767956891239461</v>
          </cell>
          <cell r="Q64">
            <v>4.3038675058275624</v>
          </cell>
        </row>
        <row r="66">
          <cell r="C66" t="str">
            <v>DCF Output</v>
          </cell>
          <cell r="H66" t="str">
            <v>DCF Sensitivity Table</v>
          </cell>
        </row>
        <row r="67">
          <cell r="J67" t="str">
            <v>WACC</v>
          </cell>
        </row>
        <row r="68">
          <cell r="C68" t="str">
            <v>DCF 2009-2018E</v>
          </cell>
          <cell r="F68">
            <v>56.162201689485222</v>
          </cell>
          <cell r="I68">
            <v>118.87569963154399</v>
          </cell>
          <cell r="J68">
            <v>7.9999999999999988E-2</v>
          </cell>
          <cell r="K68">
            <v>8.4999999999999992E-2</v>
          </cell>
          <cell r="L68">
            <v>0.09</v>
          </cell>
          <cell r="M68">
            <v>9.5000000000000001E-2</v>
          </cell>
          <cell r="N68">
            <v>0.1</v>
          </cell>
        </row>
        <row r="69">
          <cell r="C69" t="str">
            <v>Discounted Terminal Value</v>
          </cell>
          <cell r="F69">
            <v>62.71349794205878</v>
          </cell>
          <cell r="H69" t="str">
            <v>TV growth rate</v>
          </cell>
          <cell r="I69">
            <v>1.9999999999999997E-2</v>
          </cell>
          <cell r="J69">
            <v>138.57654122239609</v>
          </cell>
          <cell r="K69">
            <v>127.97063490258753</v>
          </cell>
          <cell r="L69">
            <v>118.87569963154399</v>
          </cell>
          <cell r="M69">
            <v>110.98969569754779</v>
          </cell>
          <cell r="N69">
            <v>104.08608784200447</v>
          </cell>
        </row>
        <row r="70">
          <cell r="C70" t="str">
            <v>Total DCF Value of Division</v>
          </cell>
          <cell r="F70">
            <v>118.87569963154399</v>
          </cell>
          <cell r="I70">
            <v>2.4999999999999998E-2</v>
          </cell>
          <cell r="J70">
            <v>146.26338963614629</v>
          </cell>
          <cell r="K70">
            <v>134.22459405687979</v>
          </cell>
          <cell r="L70">
            <v>124.03088158907369</v>
          </cell>
          <cell r="M70">
            <v>115.28713231293314</v>
          </cell>
          <cell r="N70">
            <v>107.70358212206791</v>
          </cell>
        </row>
        <row r="71">
          <cell r="C71" t="str">
            <v>TV % of Total</v>
          </cell>
          <cell r="F71">
            <v>0.52755523741554977</v>
          </cell>
          <cell r="I71">
            <v>0.03</v>
          </cell>
          <cell r="J71">
            <v>155.48760773264652</v>
          </cell>
          <cell r="K71">
            <v>141.61563669377068</v>
          </cell>
          <cell r="L71">
            <v>130.04526053952506</v>
          </cell>
          <cell r="M71">
            <v>120.24571302299316</v>
          </cell>
          <cell r="N71">
            <v>111.83786129928328</v>
          </cell>
        </row>
        <row r="72">
          <cell r="C72" t="str">
            <v>Implied 2009E EBIT Multiple</v>
          </cell>
          <cell r="F72">
            <v>16.405699645534639</v>
          </cell>
          <cell r="I72">
            <v>3.4999999999999996E-2</v>
          </cell>
          <cell r="J72">
            <v>166.76165207281346</v>
          </cell>
          <cell r="K72">
            <v>150.48488785803971</v>
          </cell>
          <cell r="L72">
            <v>137.15316293551297</v>
          </cell>
          <cell r="M72">
            <v>126.03072385139649</v>
          </cell>
          <cell r="N72">
            <v>116.60818342683945</v>
          </cell>
        </row>
        <row r="73">
          <cell r="C73" t="str">
            <v>Implied 2010E EBIT Multiple</v>
          </cell>
          <cell r="F73">
            <v>10.906027489132477</v>
          </cell>
          <cell r="I73">
            <v>3.9999999999999994E-2</v>
          </cell>
          <cell r="J73">
            <v>180.85420749802216</v>
          </cell>
          <cell r="K73">
            <v>161.32508372547966</v>
          </cell>
          <cell r="L73">
            <v>145.68264581069852</v>
          </cell>
          <cell r="M73">
            <v>132.86755483041864</v>
          </cell>
          <cell r="N73">
            <v>122.17355924232166</v>
          </cell>
        </row>
      </sheetData>
      <sheetData sheetId="2"/>
      <sheetData sheetId="3"/>
      <sheetData sheetId="4"/>
      <sheetData sheetId="5"/>
      <sheetData sheetId="6"/>
      <sheetData sheetId="7">
        <row r="1">
          <cell r="B1" t="str">
            <v>Blank</v>
          </cell>
          <cell r="C1" t="str">
            <v>Blue</v>
          </cell>
          <cell r="D1" t="str">
            <v>Red</v>
          </cell>
          <cell r="E1" t="str">
            <v>Green</v>
          </cell>
          <cell r="F1" t="str">
            <v>Change</v>
          </cell>
          <cell r="H1" t="str">
            <v>NOTE: DO NOT EDIT GRAY</v>
          </cell>
        </row>
        <row r="2">
          <cell r="A2" t="str">
            <v>Handset</v>
          </cell>
          <cell r="C2">
            <v>68.937525776949855</v>
          </cell>
        </row>
        <row r="3">
          <cell r="A3" t="str">
            <v>Network</v>
          </cell>
          <cell r="B3">
            <v>68.937525776949855</v>
          </cell>
          <cell r="D3">
            <v>0</v>
          </cell>
          <cell r="E3">
            <v>62.856595015921421</v>
          </cell>
          <cell r="F3">
            <v>62.856595015921421</v>
          </cell>
        </row>
        <row r="4">
          <cell r="A4" t="str">
            <v>Travel</v>
          </cell>
          <cell r="B4">
            <v>131.79412079287127</v>
          </cell>
          <cell r="D4">
            <v>0</v>
          </cell>
          <cell r="E4">
            <v>61.449795474432847</v>
          </cell>
          <cell r="F4">
            <v>61.449795474432847</v>
          </cell>
        </row>
        <row r="5">
          <cell r="A5" t="str">
            <v>Corporate</v>
          </cell>
          <cell r="B5">
            <v>120.11658322632313</v>
          </cell>
          <cell r="D5">
            <v>11.677537566548136</v>
          </cell>
          <cell r="E5">
            <v>0</v>
          </cell>
          <cell r="F5">
            <v>-11.677537566548136</v>
          </cell>
        </row>
        <row r="6">
          <cell r="A6" t="str">
            <v>Implied TEV</v>
          </cell>
          <cell r="C6">
            <v>120.11658322632313</v>
          </cell>
          <cell r="D6">
            <v>0</v>
          </cell>
          <cell r="E6">
            <v>0</v>
          </cell>
          <cell r="F6">
            <v>0</v>
          </cell>
        </row>
        <row r="7">
          <cell r="A7" t="str">
            <v>TEV Adjustments</v>
          </cell>
          <cell r="B7">
            <v>120.11658322632313</v>
          </cell>
          <cell r="D7">
            <v>0</v>
          </cell>
          <cell r="E7">
            <v>25</v>
          </cell>
          <cell r="F7">
            <v>25</v>
          </cell>
        </row>
        <row r="8">
          <cell r="A8" t="str">
            <v>Implied Equity Value</v>
          </cell>
          <cell r="C8">
            <v>145.11658322632314</v>
          </cell>
        </row>
        <row r="9">
          <cell r="A9" t="str">
            <v>Current Mkt Cap</v>
          </cell>
          <cell r="C9">
            <v>100</v>
          </cell>
        </row>
        <row r="10">
          <cell r="A10" t="str">
            <v>NOSH</v>
          </cell>
          <cell r="C10" t="e">
            <v>#REF!</v>
          </cell>
        </row>
        <row r="11">
          <cell r="A11" t="str">
            <v>Implied share price</v>
          </cell>
          <cell r="C11" t="e">
            <v>#REF!</v>
          </cell>
        </row>
        <row r="12">
          <cell r="A12" t="str">
            <v>Current price</v>
          </cell>
          <cell r="C12" t="e">
            <v>#REF!</v>
          </cell>
        </row>
        <row r="13">
          <cell r="A13" t="str">
            <v>Premium</v>
          </cell>
          <cell r="C13" t="e">
            <v>#REF!</v>
          </cell>
        </row>
        <row r="35">
          <cell r="G35" t="str">
            <v>Revenue 2009E (£m)</v>
          </cell>
          <cell r="H35">
            <v>39.426000000000002</v>
          </cell>
          <cell r="I35">
            <v>22.4</v>
          </cell>
          <cell r="J35">
            <v>33.1</v>
          </cell>
          <cell r="K35">
            <v>0</v>
          </cell>
          <cell r="L35">
            <v>94.926000000000002</v>
          </cell>
        </row>
        <row r="37">
          <cell r="G37" t="str">
            <v>EBITDA 2009E (£m)</v>
          </cell>
          <cell r="H37">
            <v>11.489587629491641</v>
          </cell>
          <cell r="I37">
            <v>7.8570743769901776</v>
          </cell>
          <cell r="J37">
            <v>11.172690086260518</v>
          </cell>
          <cell r="K37">
            <v>-3.8925125221827117</v>
          </cell>
          <cell r="L37">
            <v>26.626839570559625</v>
          </cell>
        </row>
        <row r="38">
          <cell r="G38" t="str">
            <v>% margin</v>
          </cell>
          <cell r="H38">
            <v>0.29142159056185363</v>
          </cell>
          <cell r="I38">
            <v>0.3507622489727758</v>
          </cell>
          <cell r="J38">
            <v>0.33754350713777997</v>
          </cell>
          <cell r="K38" t="str">
            <v>n.a</v>
          </cell>
          <cell r="L38">
            <v>0.28050101732464894</v>
          </cell>
        </row>
        <row r="40">
          <cell r="G40" t="str">
            <v>2009E EBITDA multiple</v>
          </cell>
          <cell r="H40" t="str">
            <v>5.5x - 6.5x</v>
          </cell>
          <cell r="I40" t="str">
            <v>7.5x - 8.5x</v>
          </cell>
          <cell r="J40" t="str">
            <v>5.0x - 6.0x</v>
          </cell>
          <cell r="K40" t="str">
            <v>2.5x - 3.5x</v>
          </cell>
          <cell r="L40">
            <v>4.5111092853517576</v>
          </cell>
        </row>
        <row r="42">
          <cell r="G42" t="str">
            <v>Revenue CAGR 08A - 10E</v>
          </cell>
          <cell r="H42">
            <v>0.1308336189792727</v>
          </cell>
          <cell r="I42">
            <v>0.13016598177190053</v>
          </cell>
          <cell r="J42">
            <v>5.9606889045393574E-2</v>
          </cell>
          <cell r="K42" t="str">
            <v>n.a.</v>
          </cell>
          <cell r="L42">
            <v>0.10692653214440373</v>
          </cell>
        </row>
        <row r="44">
          <cell r="G44" t="str">
            <v>Actual EBITDA multiple</v>
          </cell>
          <cell r="H44">
            <v>6</v>
          </cell>
          <cell r="I44">
            <v>8</v>
          </cell>
          <cell r="J44">
            <v>5.5</v>
          </cell>
          <cell r="K44">
            <v>3</v>
          </cell>
        </row>
        <row r="46">
          <cell r="G46" t="str">
            <v>Range increment</v>
          </cell>
          <cell r="H46">
            <v>0.5</v>
          </cell>
          <cell r="I46">
            <v>0.5</v>
          </cell>
          <cell r="J46">
            <v>0.5</v>
          </cell>
          <cell r="K46">
            <v>0.5</v>
          </cell>
          <cell r="M46" t="str">
            <v>Implied Share Price</v>
          </cell>
        </row>
        <row r="48">
          <cell r="G48" t="str">
            <v>High Multiple</v>
          </cell>
          <cell r="H48">
            <v>6.5</v>
          </cell>
          <cell r="I48">
            <v>8.5</v>
          </cell>
          <cell r="J48">
            <v>6</v>
          </cell>
          <cell r="K48">
            <v>3.5</v>
          </cell>
        </row>
        <row r="49">
          <cell r="G49" t="str">
            <v>High TEV</v>
          </cell>
          <cell r="H49">
            <v>74.682319591695673</v>
          </cell>
          <cell r="I49">
            <v>66.785132204416513</v>
          </cell>
          <cell r="J49">
            <v>67.036140517563112</v>
          </cell>
          <cell r="K49">
            <v>-13.62379382763949</v>
          </cell>
          <cell r="L49">
            <v>194.87979848603581</v>
          </cell>
          <cell r="M49">
            <v>0.65446170017644134</v>
          </cell>
        </row>
        <row r="51">
          <cell r="G51" t="str">
            <v>Low Multiple</v>
          </cell>
          <cell r="H51">
            <v>5.5</v>
          </cell>
          <cell r="I51">
            <v>7.5</v>
          </cell>
          <cell r="J51">
            <v>5</v>
          </cell>
          <cell r="K51">
            <v>2.5</v>
          </cell>
        </row>
        <row r="52">
          <cell r="G52" t="str">
            <v>Low TEV</v>
          </cell>
          <cell r="H52">
            <v>63.192731962204029</v>
          </cell>
          <cell r="I52">
            <v>58.928057827426329</v>
          </cell>
          <cell r="J52">
            <v>55.863450431302589</v>
          </cell>
          <cell r="K52">
            <v>-9.7312813054567791</v>
          </cell>
          <cell r="L52">
            <v>168.25295891547617</v>
          </cell>
          <cell r="M52">
            <v>0.57616956938018171</v>
          </cell>
        </row>
      </sheetData>
      <sheetData sheetId="8"/>
      <sheetData sheetId="9">
        <row r="1">
          <cell r="B1" t="str">
            <v>Autonomy Corp. PLC</v>
          </cell>
        </row>
        <row r="2">
          <cell r="B2" t="str">
            <v>Valuation Summary</v>
          </cell>
        </row>
        <row r="6">
          <cell r="N6" t="str">
            <v>Statistic</v>
          </cell>
          <cell r="O6" t="str">
            <v>Implied multiple</v>
          </cell>
          <cell r="V6" t="str">
            <v>TEV (£m)</v>
          </cell>
        </row>
        <row r="7">
          <cell r="N7" t="str">
            <v>(£m) (1)</v>
          </cell>
          <cell r="O7" t="str">
            <v>Low</v>
          </cell>
          <cell r="P7" t="str">
            <v>High</v>
          </cell>
          <cell r="S7" t="str">
            <v>Start</v>
          </cell>
          <cell r="T7" t="str">
            <v>Blue</v>
          </cell>
          <cell r="U7" t="str">
            <v>Stop</v>
          </cell>
          <cell r="V7" t="str">
            <v>Low</v>
          </cell>
          <cell r="W7" t="str">
            <v>High</v>
          </cell>
        </row>
        <row r="8">
          <cell r="N8">
            <v>25.095450893936771</v>
          </cell>
          <cell r="O8">
            <v>2.1148373607022699</v>
          </cell>
          <cell r="P8" t="str">
            <v>n.a.</v>
          </cell>
          <cell r="R8" t="str">
            <v>Current Price</v>
          </cell>
          <cell r="S8">
            <v>0.23750000000000002</v>
          </cell>
          <cell r="V8">
            <v>53.072797134166663</v>
          </cell>
          <cell r="W8" t="str">
            <v>n.a.</v>
          </cell>
        </row>
        <row r="9">
          <cell r="N9">
            <v>25.095450893936771</v>
          </cell>
          <cell r="O9">
            <v>2.0809571178874755</v>
          </cell>
          <cell r="P9">
            <v>6.4853886838107817</v>
          </cell>
          <cell r="R9" t="str">
            <v xml:space="preserve">52 week high/low </v>
          </cell>
          <cell r="S9">
            <v>0.23500000000000001</v>
          </cell>
          <cell r="T9">
            <v>0.32500000000000007</v>
          </cell>
          <cell r="U9">
            <v>0.56000000000000005</v>
          </cell>
          <cell r="V9">
            <v>52.222557164333338</v>
          </cell>
          <cell r="W9">
            <v>162.7537532426667</v>
          </cell>
        </row>
        <row r="10">
          <cell r="N10">
            <v>25.095450893936771</v>
          </cell>
          <cell r="O10">
            <v>3.9348387294450062</v>
          </cell>
          <cell r="P10" t="str">
            <v>n.a.</v>
          </cell>
          <cell r="R10" t="str">
            <v>6 month VWAP</v>
          </cell>
          <cell r="S10">
            <v>0.37179665916886429</v>
          </cell>
          <cell r="V10">
            <v>98.746552110347707</v>
          </cell>
          <cell r="W10" t="str">
            <v>n.a.</v>
          </cell>
        </row>
        <row r="11">
          <cell r="N11">
            <v>25.095450893936771</v>
          </cell>
          <cell r="O11">
            <v>2.9618434310721362</v>
          </cell>
          <cell r="P11">
            <v>5.8077838275148874</v>
          </cell>
          <cell r="R11" t="str">
            <v>Broker price targets</v>
          </cell>
          <cell r="S11">
            <v>0.3</v>
          </cell>
          <cell r="T11">
            <v>0.21000000000000002</v>
          </cell>
          <cell r="U11">
            <v>0.51</v>
          </cell>
          <cell r="V11">
            <v>74.32879638</v>
          </cell>
          <cell r="W11">
            <v>145.74895384600001</v>
          </cell>
        </row>
        <row r="13">
          <cell r="N13">
            <v>26.626839570559625</v>
          </cell>
          <cell r="O13">
            <v>3.7</v>
          </cell>
          <cell r="P13">
            <v>5.3</v>
          </cell>
          <cell r="R13" t="str">
            <v>TEV/EBITDA '09</v>
          </cell>
          <cell r="S13">
            <v>0.37112847810428307</v>
          </cell>
          <cell r="T13">
            <v>0.12526740927401514</v>
          </cell>
          <cell r="U13">
            <v>0.49639588737829821</v>
          </cell>
          <cell r="V13">
            <v>98.519306411070616</v>
          </cell>
          <cell r="W13">
            <v>141.12224972396601</v>
          </cell>
        </row>
        <row r="14">
          <cell r="N14">
            <v>20.813690086260518</v>
          </cell>
          <cell r="O14">
            <v>5.4</v>
          </cell>
          <cell r="P14">
            <v>13.7</v>
          </cell>
          <cell r="R14" t="str">
            <v>TEV/EBIT '09</v>
          </cell>
          <cell r="S14">
            <v>0.41192466667165867</v>
          </cell>
          <cell r="T14">
            <v>0.50795550034487902</v>
          </cell>
          <cell r="U14">
            <v>0.91988016701653774</v>
          </cell>
          <cell r="V14">
            <v>112.39392646580679</v>
          </cell>
          <cell r="W14">
            <v>285.14755418176907</v>
          </cell>
        </row>
        <row r="15">
          <cell r="N15">
            <v>25.095450893936771</v>
          </cell>
          <cell r="O15">
            <v>8.5958920144559041</v>
          </cell>
          <cell r="P15">
            <v>12.521896308888666</v>
          </cell>
          <cell r="R15" t="str">
            <v>DCF (2)</v>
          </cell>
          <cell r="S15">
            <v>0.71573260072117306</v>
          </cell>
          <cell r="T15">
            <v>0.28969717807913509</v>
          </cell>
          <cell r="U15">
            <v>1.0054297788003081</v>
          </cell>
          <cell r="V15">
            <v>215.71778593836137</v>
          </cell>
          <cell r="W15">
            <v>314.24263391868362</v>
          </cell>
        </row>
        <row r="16">
          <cell r="N16">
            <v>25.095450893936771</v>
          </cell>
          <cell r="O16">
            <v>6.704520258535271</v>
          </cell>
          <cell r="P16">
            <v>10.197804524538432</v>
          </cell>
          <cell r="R16" t="str">
            <v>SoTP</v>
          </cell>
          <cell r="S16">
            <v>0.57616956938018171</v>
          </cell>
          <cell r="T16">
            <v>0.25776706243658709</v>
          </cell>
          <cell r="U16">
            <v>0.8339366318167688</v>
          </cell>
          <cell r="V16">
            <v>168.25295891547617</v>
          </cell>
          <cell r="W16">
            <v>255.91850267152043</v>
          </cell>
        </row>
        <row r="17">
          <cell r="T17">
            <v>0</v>
          </cell>
        </row>
        <row r="18">
          <cell r="N18">
            <v>25.095450893936771</v>
          </cell>
          <cell r="O18">
            <v>3.0804242809239177</v>
          </cell>
          <cell r="P18">
            <v>3.402286587664467</v>
          </cell>
          <cell r="R18" t="str">
            <v>30-40% premium</v>
          </cell>
          <cell r="S18">
            <v>0.30875000000000002</v>
          </cell>
          <cell r="T18">
            <v>2.3749999999999993E-2</v>
          </cell>
          <cell r="U18">
            <v>0.33250000000000002</v>
          </cell>
          <cell r="V18">
            <v>77.304636274416666</v>
          </cell>
          <cell r="W18">
            <v>85.381915987833338</v>
          </cell>
        </row>
        <row r="19">
          <cell r="N19">
            <v>25.095450893936771</v>
          </cell>
          <cell r="O19">
            <v>9.1367819637924601</v>
          </cell>
          <cell r="P19">
            <v>10.197804524538432</v>
          </cell>
          <cell r="R19" t="str">
            <v>TEV/LTM EBITDA</v>
          </cell>
          <cell r="S19">
            <v>0.7556445010205094</v>
          </cell>
          <cell r="T19">
            <v>7.8292130796259407E-2</v>
          </cell>
          <cell r="U19">
            <v>0.8339366318167688</v>
          </cell>
          <cell r="V19">
            <v>229.29166310096085</v>
          </cell>
          <cell r="W19">
            <v>255.91850267152043</v>
          </cell>
        </row>
        <row r="20">
          <cell r="T20">
            <v>0</v>
          </cell>
        </row>
        <row r="23">
          <cell r="D23" t="str">
            <v>Memo items:</v>
          </cell>
          <cell r="Q23" t="str">
            <v>Graph blobs</v>
          </cell>
        </row>
        <row r="24">
          <cell r="D24" t="str">
            <v>Implied USD/GBP</v>
          </cell>
          <cell r="Q24">
            <v>0.23750000000000002</v>
          </cell>
          <cell r="R24">
            <v>6.32</v>
          </cell>
          <cell r="T24">
            <v>6.32</v>
          </cell>
        </row>
        <row r="25">
          <cell r="D25" t="str">
            <v>Net Debt (£m)</v>
          </cell>
          <cell r="F25">
            <v>-27.7</v>
          </cell>
          <cell r="R25">
            <v>5.75</v>
          </cell>
          <cell r="T25">
            <v>5.75</v>
          </cell>
        </row>
        <row r="26">
          <cell r="D26" t="str">
            <v>Fully diluted NOSH (m)</v>
          </cell>
          <cell r="F26">
            <v>340.09598793333333</v>
          </cell>
          <cell r="Q26">
            <v>0.37179665916886429</v>
          </cell>
          <cell r="R26">
            <v>5.16</v>
          </cell>
          <cell r="T26">
            <v>5.16</v>
          </cell>
        </row>
        <row r="27">
          <cell r="R27">
            <v>5.18</v>
          </cell>
          <cell r="T27">
            <v>5.18</v>
          </cell>
        </row>
        <row r="28">
          <cell r="D28" t="str">
            <v>ANT LTM Figures</v>
          </cell>
          <cell r="H28" t="str">
            <v>ANT Calendarised Figures</v>
          </cell>
        </row>
        <row r="29">
          <cell r="F29" t="str">
            <v>LTM</v>
          </cell>
          <cell r="K29">
            <v>2007</v>
          </cell>
          <cell r="L29">
            <v>2008</v>
          </cell>
          <cell r="M29">
            <v>2009</v>
          </cell>
        </row>
        <row r="30">
          <cell r="D30" t="str">
            <v>Revenue</v>
          </cell>
          <cell r="H30" t="str">
            <v>Revenue</v>
          </cell>
          <cell r="K30">
            <v>99.812000000000012</v>
          </cell>
          <cell r="L30">
            <v>91.63</v>
          </cell>
          <cell r="M30">
            <v>94.926000000000002</v>
          </cell>
        </row>
        <row r="31">
          <cell r="D31" t="str">
            <v>EBITDA</v>
          </cell>
          <cell r="H31" t="str">
            <v>EBITDA</v>
          </cell>
          <cell r="K31">
            <v>29.259249966799111</v>
          </cell>
          <cell r="L31">
            <v>25.095450893936771</v>
          </cell>
          <cell r="M31">
            <v>26.626839570559625</v>
          </cell>
        </row>
        <row r="32">
          <cell r="H32" t="str">
            <v>EBIT</v>
          </cell>
          <cell r="K32">
            <v>22.88838015631373</v>
          </cell>
          <cell r="L32">
            <v>18.709719477864049</v>
          </cell>
          <cell r="M32">
            <v>20.813690086260518</v>
          </cell>
        </row>
        <row r="33">
          <cell r="H33" t="str">
            <v>includes group charges</v>
          </cell>
        </row>
        <row r="35">
          <cell r="D35" t="str">
            <v xml:space="preserve">Note: Market data as at 21 November 2008 </v>
          </cell>
        </row>
        <row r="36">
          <cell r="D36" t="str">
            <v>(1) Statistic is EBITDA '08 unless otherwise stated</v>
          </cell>
        </row>
        <row r="37">
          <cell r="D37" t="str">
            <v>(2) see sheet 'Broker Targets' for further information</v>
          </cell>
        </row>
        <row r="38">
          <cell r="D38" t="str">
            <v>(3) DCF range based on a 8.5% to 10% WACC and a perpetuity growth rate of 2% to 3.5%</v>
          </cell>
        </row>
      </sheetData>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t_Peers"/>
      <sheetName val="Target_Coverage "/>
      <sheetName val="SPG"/>
      <sheetName val="__FDSCACHE__"/>
      <sheetName val="Crude_v_BBA"/>
      <sheetName val="Target_Prices"/>
      <sheetName val="Analyst_Coverage"/>
      <sheetName val="EPS_Forecast"/>
      <sheetName val="FY15 Build-Up"/>
    </sheetNames>
    <sheetDataSet>
      <sheetData sheetId="0" refreshError="1"/>
      <sheetData sheetId="1" refreshError="1"/>
      <sheetData sheetId="2">
        <row r="1">
          <cell r="A1" t="str">
            <v>Ticker</v>
          </cell>
          <cell r="B1" t="str">
            <v>B1FP89</v>
          </cell>
          <cell r="F1" t="str">
            <v>186800</v>
          </cell>
          <cell r="K1" t="str">
            <v>NOSH</v>
          </cell>
          <cell r="L1" t="str">
            <v>Net Income 07E</v>
          </cell>
          <cell r="M1" t="str">
            <v>FISCAL YEAR</v>
          </cell>
          <cell r="P1" t="str">
            <v>Equity Analyst Peers</v>
          </cell>
          <cell r="R1" t="str">
            <v>True Peers</v>
          </cell>
        </row>
        <row r="2">
          <cell r="A2" t="str">
            <v>Company Name</v>
          </cell>
          <cell r="B2" t="str">
            <v>BBA Aviation PLC</v>
          </cell>
          <cell r="F2" t="str">
            <v>FTSE 250</v>
          </cell>
          <cell r="G2" t="str">
            <v>FTSE 250 Rebased</v>
          </cell>
          <cell r="AG2" t="str">
            <v>Performance Period</v>
          </cell>
        </row>
        <row r="3">
          <cell r="A3" t="str">
            <v>Currency</v>
          </cell>
          <cell r="B3" t="str">
            <v>GBP</v>
          </cell>
          <cell r="AG3" t="str">
            <v>1 Month</v>
          </cell>
          <cell r="AI3" t="str">
            <v>3 Months</v>
          </cell>
          <cell r="AK3" t="str">
            <v>6 Months</v>
          </cell>
          <cell r="AM3" t="str">
            <v>Since Demerger</v>
          </cell>
        </row>
        <row r="4">
          <cell r="AF4" t="str">
            <v>BBA Aviation</v>
          </cell>
          <cell r="AG4">
            <v>-0.17499999999999993</v>
          </cell>
          <cell r="AI4">
            <v>-0.46195652173913049</v>
          </cell>
          <cell r="AK4">
            <v>-0.51231527093596052</v>
          </cell>
          <cell r="AM4">
            <v>-0.74083769633507845</v>
          </cell>
        </row>
        <row r="5">
          <cell r="AF5" t="str">
            <v>FTSE 250</v>
          </cell>
          <cell r="AG5">
            <v>-0.1189162823980926</v>
          </cell>
          <cell r="AI5">
            <v>-0.4019776318511985</v>
          </cell>
          <cell r="AK5">
            <v>-0.46092923264192254</v>
          </cell>
          <cell r="AM5">
            <v>-0.48730650732891423</v>
          </cell>
        </row>
        <row r="6">
          <cell r="AF6" t="str">
            <v>Aerospace Peers Index (1)</v>
          </cell>
          <cell r="AG6">
            <v>-2.6221035210175714E-2</v>
          </cell>
          <cell r="AI6">
            <v>-0.27161066885759089</v>
          </cell>
          <cell r="AK6">
            <v>-0.3113673302939437</v>
          </cell>
          <cell r="AM6">
            <v>-0.24927757010143337</v>
          </cell>
        </row>
        <row r="7">
          <cell r="A7" t="str">
            <v>Start Date</v>
          </cell>
          <cell r="B7">
            <v>39038</v>
          </cell>
          <cell r="G7">
            <v>4</v>
          </cell>
          <cell r="AF7" t="str">
            <v>Equity analyst peers (2)</v>
          </cell>
          <cell r="AG7">
            <v>-9.4903215287397535E-2</v>
          </cell>
          <cell r="AI7">
            <v>-0.38507967582002789</v>
          </cell>
          <cell r="AK7">
            <v>-0.38619697982348111</v>
          </cell>
          <cell r="AM7">
            <v>-0.456869109512268</v>
          </cell>
        </row>
        <row r="8">
          <cell r="A8" t="str">
            <v>End Date</v>
          </cell>
          <cell r="B8">
            <v>39773</v>
          </cell>
        </row>
        <row r="9">
          <cell r="A9" t="str">
            <v>Frequency</v>
          </cell>
          <cell r="B9" t="str">
            <v>D</v>
          </cell>
        </row>
        <row r="12">
          <cell r="A12">
            <v>39038</v>
          </cell>
          <cell r="B12">
            <v>2.8650000000000002</v>
          </cell>
          <cell r="C12">
            <v>286.5</v>
          </cell>
          <cell r="F12">
            <v>10711</v>
          </cell>
          <cell r="K12">
            <v>411.3997</v>
          </cell>
        </row>
        <row r="13">
          <cell r="A13" t="str">
            <v>PDJ</v>
          </cell>
          <cell r="B13" t="str">
            <v>P_PRICE</v>
          </cell>
          <cell r="K13" t="str">
            <v>P_COM_SHS_OUT</v>
          </cell>
        </row>
        <row r="14">
          <cell r="A14">
            <v>39038</v>
          </cell>
          <cell r="B14">
            <v>2.8650000000000002</v>
          </cell>
          <cell r="C14">
            <v>286.5</v>
          </cell>
          <cell r="F14">
            <v>10711</v>
          </cell>
          <cell r="G14">
            <v>286.5</v>
          </cell>
          <cell r="K14">
            <v>411.3997</v>
          </cell>
          <cell r="L14" t="e">
            <v>#N/A</v>
          </cell>
          <cell r="O14">
            <v>39038</v>
          </cell>
          <cell r="P14">
            <v>286.5</v>
          </cell>
          <cell r="R14">
            <v>286.5</v>
          </cell>
        </row>
        <row r="15">
          <cell r="A15">
            <v>39041</v>
          </cell>
          <cell r="B15">
            <v>2.87</v>
          </cell>
          <cell r="C15">
            <v>287</v>
          </cell>
          <cell r="F15">
            <v>10725.900000000001</v>
          </cell>
          <cell r="G15">
            <v>286.89854822145463</v>
          </cell>
          <cell r="K15">
            <v>411.3997</v>
          </cell>
          <cell r="O15">
            <v>39041</v>
          </cell>
          <cell r="P15">
            <v>286.48485630517422</v>
          </cell>
          <cell r="R15">
            <v>284.28505011928519</v>
          </cell>
        </row>
        <row r="16">
          <cell r="A16">
            <v>39042</v>
          </cell>
          <cell r="B16">
            <v>2.8975</v>
          </cell>
          <cell r="C16">
            <v>289.75</v>
          </cell>
          <cell r="F16">
            <v>10752.2</v>
          </cell>
          <cell r="G16">
            <v>287.60202595462613</v>
          </cell>
          <cell r="K16">
            <v>411.3997</v>
          </cell>
          <cell r="L16"/>
          <cell r="O16">
            <v>39042</v>
          </cell>
          <cell r="P16">
            <v>285.99788722341646</v>
          </cell>
          <cell r="R16">
            <v>284.29386609236064</v>
          </cell>
        </row>
        <row r="17">
          <cell r="A17">
            <v>39043</v>
          </cell>
          <cell r="B17">
            <v>2.9275000000000002</v>
          </cell>
          <cell r="C17">
            <v>292.75</v>
          </cell>
          <cell r="F17">
            <v>10687.7</v>
          </cell>
          <cell r="G17">
            <v>285.87676687517506</v>
          </cell>
          <cell r="K17">
            <v>411.3997</v>
          </cell>
          <cell r="L17"/>
          <cell r="O17">
            <v>39043</v>
          </cell>
          <cell r="P17">
            <v>287.96564585618268</v>
          </cell>
          <cell r="R17">
            <v>280.55677208378432</v>
          </cell>
        </row>
        <row r="18">
          <cell r="A18">
            <v>39045</v>
          </cell>
          <cell r="B18">
            <v>2.8574999999999999</v>
          </cell>
          <cell r="C18">
            <v>285.75</v>
          </cell>
          <cell r="F18">
            <v>10590.2</v>
          </cell>
          <cell r="G18">
            <v>283.26881710391189</v>
          </cell>
          <cell r="K18">
            <v>411.3997</v>
          </cell>
          <cell r="L18"/>
          <cell r="O18">
            <v>39045</v>
          </cell>
          <cell r="P18">
            <v>288.8338943591944</v>
          </cell>
          <cell r="R18">
            <v>277.48222136850012</v>
          </cell>
        </row>
        <row r="19">
          <cell r="A19">
            <v>39048</v>
          </cell>
          <cell r="B19">
            <v>2.8149999999999999</v>
          </cell>
          <cell r="C19">
            <v>281.5</v>
          </cell>
          <cell r="F19">
            <v>10493.6</v>
          </cell>
          <cell r="G19">
            <v>280.68494071515266</v>
          </cell>
          <cell r="K19">
            <v>411.3997</v>
          </cell>
          <cell r="L19"/>
          <cell r="O19">
            <v>39048</v>
          </cell>
          <cell r="P19">
            <v>286.07707253000689</v>
          </cell>
          <cell r="R19">
            <v>271.06740660675092</v>
          </cell>
        </row>
        <row r="20">
          <cell r="A20">
            <v>39049</v>
          </cell>
          <cell r="B20">
            <v>2.8125</v>
          </cell>
          <cell r="C20">
            <v>281.25</v>
          </cell>
          <cell r="F20">
            <v>10497.2</v>
          </cell>
          <cell r="G20">
            <v>280.78123424516855</v>
          </cell>
          <cell r="K20">
            <v>411.3997</v>
          </cell>
          <cell r="L20"/>
          <cell r="O20">
            <v>39049</v>
          </cell>
          <cell r="P20">
            <v>282.76730348315152</v>
          </cell>
          <cell r="R20">
            <v>268.92782717277936</v>
          </cell>
        </row>
        <row r="21">
          <cell r="A21">
            <v>39050</v>
          </cell>
          <cell r="B21">
            <v>2.855</v>
          </cell>
          <cell r="C21">
            <v>285.5</v>
          </cell>
          <cell r="F21">
            <v>10666.1</v>
          </cell>
          <cell r="G21">
            <v>285.29900569507987</v>
          </cell>
          <cell r="K21">
            <v>411.42150000000004</v>
          </cell>
          <cell r="L21"/>
          <cell r="O21">
            <v>39050</v>
          </cell>
          <cell r="P21">
            <v>286.03798270710058</v>
          </cell>
          <cell r="R21">
            <v>273.85590430769253</v>
          </cell>
        </row>
        <row r="22">
          <cell r="A22">
            <v>39051</v>
          </cell>
          <cell r="B22">
            <v>2.8574999999999999</v>
          </cell>
          <cell r="C22">
            <v>285.75</v>
          </cell>
          <cell r="F22">
            <v>10673.900000000001</v>
          </cell>
          <cell r="G22">
            <v>285.50764167678091</v>
          </cell>
          <cell r="K22">
            <v>411.42150000000004</v>
          </cell>
          <cell r="O22">
            <v>39051</v>
          </cell>
          <cell r="P22">
            <v>281.8249703303814</v>
          </cell>
          <cell r="R22">
            <v>270.01541561808261</v>
          </cell>
        </row>
        <row r="23">
          <cell r="A23">
            <v>39052</v>
          </cell>
          <cell r="B23">
            <v>2.9050000000000002</v>
          </cell>
          <cell r="C23">
            <v>290.5</v>
          </cell>
          <cell r="F23">
            <v>10698.900000000001</v>
          </cell>
          <cell r="G23">
            <v>286.17634674633558</v>
          </cell>
          <cell r="K23">
            <v>411.42150000000004</v>
          </cell>
          <cell r="O23">
            <v>39052</v>
          </cell>
          <cell r="P23">
            <v>281.28148279709859</v>
          </cell>
          <cell r="R23">
            <v>268.5404955723651</v>
          </cell>
        </row>
        <row r="24">
          <cell r="A24">
            <v>39055</v>
          </cell>
          <cell r="B24">
            <v>2.9000000000000004</v>
          </cell>
          <cell r="C24">
            <v>290.00000000000006</v>
          </cell>
          <cell r="F24">
            <v>10751.900000000001</v>
          </cell>
          <cell r="G24">
            <v>287.59400149379144</v>
          </cell>
          <cell r="K24">
            <v>411.42150000000004</v>
          </cell>
          <cell r="O24">
            <v>39055</v>
          </cell>
          <cell r="P24">
            <v>282.88304717412746</v>
          </cell>
          <cell r="R24">
            <v>272.67931057760393</v>
          </cell>
        </row>
        <row r="25">
          <cell r="A25">
            <v>39056</v>
          </cell>
          <cell r="B25">
            <v>2.8574999999999999</v>
          </cell>
          <cell r="C25">
            <v>285.75</v>
          </cell>
          <cell r="F25">
            <v>10834.1</v>
          </cell>
          <cell r="G25">
            <v>289.79270376248718</v>
          </cell>
          <cell r="K25">
            <v>411.42150000000004</v>
          </cell>
          <cell r="O25">
            <v>39056</v>
          </cell>
          <cell r="P25">
            <v>285.11822735246801</v>
          </cell>
          <cell r="R25">
            <v>271.87776830757878</v>
          </cell>
        </row>
        <row r="26">
          <cell r="A26">
            <v>39057</v>
          </cell>
          <cell r="B26">
            <v>2.8125</v>
          </cell>
          <cell r="C26">
            <v>281.25</v>
          </cell>
          <cell r="F26">
            <v>10860.2</v>
          </cell>
          <cell r="G26">
            <v>290.49083185510221</v>
          </cell>
          <cell r="K26">
            <v>411.42150000000004</v>
          </cell>
          <cell r="O26">
            <v>39057</v>
          </cell>
          <cell r="P26">
            <v>284.94978737154526</v>
          </cell>
          <cell r="R26">
            <v>269.1698486978529</v>
          </cell>
        </row>
        <row r="27">
          <cell r="A27">
            <v>39058</v>
          </cell>
          <cell r="B27">
            <v>2.8275000000000001</v>
          </cell>
          <cell r="C27">
            <v>282.75</v>
          </cell>
          <cell r="F27">
            <v>10891.300000000001</v>
          </cell>
          <cell r="G27">
            <v>291.32270096162824</v>
          </cell>
          <cell r="K27">
            <v>411.42150000000004</v>
          </cell>
          <cell r="O27">
            <v>39058</v>
          </cell>
          <cell r="P27">
            <v>284.8653180590124</v>
          </cell>
          <cell r="R27">
            <v>272.40068818909276</v>
          </cell>
        </row>
        <row r="28">
          <cell r="A28">
            <v>39059</v>
          </cell>
          <cell r="B28">
            <v>2.83</v>
          </cell>
          <cell r="C28">
            <v>283</v>
          </cell>
          <cell r="F28">
            <v>10944</v>
          </cell>
          <cell r="G28">
            <v>292.73233124824947</v>
          </cell>
          <cell r="K28">
            <v>411.42150000000004</v>
          </cell>
          <cell r="O28">
            <v>39059</v>
          </cell>
          <cell r="P28">
            <v>285.55930070337234</v>
          </cell>
          <cell r="R28">
            <v>275.33620552065793</v>
          </cell>
        </row>
        <row r="29">
          <cell r="A29">
            <v>39062</v>
          </cell>
          <cell r="B29">
            <v>2.8475000000000001</v>
          </cell>
          <cell r="C29">
            <v>284.75</v>
          </cell>
          <cell r="F29">
            <v>10988.6</v>
          </cell>
          <cell r="G29">
            <v>293.92530109233496</v>
          </cell>
          <cell r="K29">
            <v>411.42150000000004</v>
          </cell>
          <cell r="O29">
            <v>39062</v>
          </cell>
          <cell r="P29">
            <v>285.87628648995479</v>
          </cell>
          <cell r="R29">
            <v>279.61861455408717</v>
          </cell>
        </row>
        <row r="30">
          <cell r="A30">
            <v>39063</v>
          </cell>
          <cell r="B30">
            <v>2.8475000000000001</v>
          </cell>
          <cell r="C30">
            <v>284.75</v>
          </cell>
          <cell r="F30">
            <v>10931.900000000001</v>
          </cell>
          <cell r="G30">
            <v>292.40867799458505</v>
          </cell>
          <cell r="K30">
            <v>411.42150000000004</v>
          </cell>
          <cell r="O30">
            <v>39063</v>
          </cell>
          <cell r="P30">
            <v>285.31935184971047</v>
          </cell>
          <cell r="R30">
            <v>279.46578891295269</v>
          </cell>
        </row>
        <row r="31">
          <cell r="A31">
            <v>39064</v>
          </cell>
          <cell r="B31">
            <v>2.81</v>
          </cell>
          <cell r="C31">
            <v>281</v>
          </cell>
          <cell r="F31">
            <v>10980.5</v>
          </cell>
          <cell r="G31">
            <v>293.70864064979924</v>
          </cell>
          <cell r="K31">
            <v>411.42150000000004</v>
          </cell>
          <cell r="O31">
            <v>39064</v>
          </cell>
          <cell r="P31">
            <v>286.2826332186815</v>
          </cell>
          <cell r="R31">
            <v>273.30560910949549</v>
          </cell>
        </row>
        <row r="32">
          <cell r="A32">
            <v>39065</v>
          </cell>
          <cell r="B32">
            <v>2.81</v>
          </cell>
          <cell r="C32">
            <v>281</v>
          </cell>
          <cell r="F32">
            <v>11049.1</v>
          </cell>
          <cell r="G32">
            <v>295.54356736065728</v>
          </cell>
          <cell r="K32">
            <v>411.42150000000004</v>
          </cell>
          <cell r="O32">
            <v>39065</v>
          </cell>
          <cell r="P32">
            <v>289.39306535756009</v>
          </cell>
          <cell r="R32">
            <v>272.84870163654017</v>
          </cell>
        </row>
        <row r="33">
          <cell r="A33">
            <v>39066</v>
          </cell>
          <cell r="B33">
            <v>2.8149999999999999</v>
          </cell>
          <cell r="C33">
            <v>281.5</v>
          </cell>
          <cell r="F33">
            <v>11086</v>
          </cell>
          <cell r="G33">
            <v>296.53057604331997</v>
          </cell>
          <cell r="K33">
            <v>411.42150000000004</v>
          </cell>
          <cell r="O33">
            <v>39066</v>
          </cell>
          <cell r="P33">
            <v>289.16637626164174</v>
          </cell>
          <cell r="R33">
            <v>276.34604921712298</v>
          </cell>
        </row>
        <row r="34">
          <cell r="A34">
            <v>39069</v>
          </cell>
          <cell r="B34">
            <v>2.8000000000000003</v>
          </cell>
          <cell r="C34">
            <v>280</v>
          </cell>
          <cell r="F34">
            <v>11087.7</v>
          </cell>
          <cell r="G34">
            <v>296.57604798804971</v>
          </cell>
          <cell r="K34">
            <v>411.42150000000004</v>
          </cell>
          <cell r="O34">
            <v>39069</v>
          </cell>
          <cell r="P34">
            <v>290.96037470400051</v>
          </cell>
          <cell r="R34">
            <v>278.06471545816675</v>
          </cell>
        </row>
        <row r="35">
          <cell r="A35">
            <v>39070</v>
          </cell>
          <cell r="B35">
            <v>2.7600000000000002</v>
          </cell>
          <cell r="C35">
            <v>276</v>
          </cell>
          <cell r="F35">
            <v>11055.300000000001</v>
          </cell>
          <cell r="G35">
            <v>295.70940621790686</v>
          </cell>
          <cell r="K35">
            <v>411.42150000000004</v>
          </cell>
          <cell r="O35">
            <v>39070</v>
          </cell>
          <cell r="P35">
            <v>290.64774376670141</v>
          </cell>
          <cell r="R35">
            <v>276.24011966419755</v>
          </cell>
        </row>
        <row r="36">
          <cell r="A36">
            <v>39071</v>
          </cell>
          <cell r="B36">
            <v>2.7800000000000002</v>
          </cell>
          <cell r="C36">
            <v>278</v>
          </cell>
          <cell r="F36">
            <v>11048.1</v>
          </cell>
          <cell r="G36">
            <v>295.51681915787509</v>
          </cell>
          <cell r="K36">
            <v>411.42150000000004</v>
          </cell>
          <cell r="O36">
            <v>39071</v>
          </cell>
          <cell r="P36">
            <v>288.86081065222999</v>
          </cell>
          <cell r="R36">
            <v>280.41542448526985</v>
          </cell>
        </row>
        <row r="37">
          <cell r="A37">
            <v>39072</v>
          </cell>
          <cell r="B37">
            <v>2.7175000000000002</v>
          </cell>
          <cell r="C37">
            <v>271.75</v>
          </cell>
          <cell r="F37">
            <v>11066.400000000001</v>
          </cell>
          <cell r="G37">
            <v>296.00631126878915</v>
          </cell>
          <cell r="K37">
            <v>411.7251</v>
          </cell>
          <cell r="O37">
            <v>39072</v>
          </cell>
          <cell r="P37">
            <v>288.03851310659286</v>
          </cell>
          <cell r="R37">
            <v>282.9722231262844</v>
          </cell>
        </row>
        <row r="38">
          <cell r="A38">
            <v>39073</v>
          </cell>
          <cell r="B38">
            <v>2.6875</v>
          </cell>
          <cell r="C38">
            <v>268.75</v>
          </cell>
          <cell r="F38">
            <v>11083.5</v>
          </cell>
          <cell r="G38">
            <v>296.4637055363645</v>
          </cell>
          <cell r="K38">
            <v>411.7251</v>
          </cell>
          <cell r="O38">
            <v>39073</v>
          </cell>
          <cell r="P38">
            <v>288.17586035916946</v>
          </cell>
          <cell r="R38">
            <v>282.01776928404053</v>
          </cell>
        </row>
        <row r="39">
          <cell r="A39">
            <v>39077</v>
          </cell>
          <cell r="B39">
            <v>2.6875</v>
          </cell>
          <cell r="C39">
            <v>268.75</v>
          </cell>
          <cell r="F39">
            <v>11083.5</v>
          </cell>
          <cell r="G39">
            <v>296.4637055363645</v>
          </cell>
          <cell r="K39">
            <v>411.7251</v>
          </cell>
          <cell r="O39">
            <v>39077</v>
          </cell>
          <cell r="P39">
            <v>288.18270316607192</v>
          </cell>
          <cell r="R39">
            <v>282.02686151007026</v>
          </cell>
        </row>
        <row r="40">
          <cell r="A40">
            <v>39078</v>
          </cell>
          <cell r="B40">
            <v>2.7324999999999999</v>
          </cell>
          <cell r="C40">
            <v>273.25</v>
          </cell>
          <cell r="F40">
            <v>11155.300000000001</v>
          </cell>
          <cell r="G40">
            <v>298.38422649612551</v>
          </cell>
          <cell r="K40">
            <v>411.7251</v>
          </cell>
          <cell r="O40">
            <v>39078</v>
          </cell>
          <cell r="P40">
            <v>292.25256719552016</v>
          </cell>
          <cell r="R40">
            <v>285.38909015690678</v>
          </cell>
        </row>
        <row r="41">
          <cell r="A41">
            <v>39079</v>
          </cell>
          <cell r="B41">
            <v>2.74</v>
          </cell>
          <cell r="C41">
            <v>274</v>
          </cell>
          <cell r="F41">
            <v>11190</v>
          </cell>
          <cell r="G41">
            <v>299.31238913266731</v>
          </cell>
          <cell r="K41">
            <v>411.7251</v>
          </cell>
          <cell r="O41">
            <v>39079</v>
          </cell>
          <cell r="P41">
            <v>293.59883698180698</v>
          </cell>
          <cell r="R41">
            <v>286.95530352308958</v>
          </cell>
        </row>
        <row r="42">
          <cell r="A42">
            <v>39080</v>
          </cell>
          <cell r="B42">
            <v>2.7349999999999999</v>
          </cell>
          <cell r="C42">
            <v>273.5</v>
          </cell>
          <cell r="F42">
            <v>11177.800000000001</v>
          </cell>
          <cell r="G42">
            <v>298.98606105872472</v>
          </cell>
          <cell r="K42">
            <v>411.7251</v>
          </cell>
          <cell r="O42">
            <v>39080</v>
          </cell>
          <cell r="P42">
            <v>294.18561648306536</v>
          </cell>
          <cell r="R42">
            <v>287.56689394461023</v>
          </cell>
        </row>
        <row r="43">
          <cell r="A43">
            <v>39085</v>
          </cell>
          <cell r="B43">
            <v>2.7850000000000001</v>
          </cell>
          <cell r="C43">
            <v>278.5</v>
          </cell>
          <cell r="F43">
            <v>11315.900000000001</v>
          </cell>
          <cell r="G43">
            <v>302.6799878629447</v>
          </cell>
          <cell r="K43">
            <v>411.7251</v>
          </cell>
          <cell r="O43">
            <v>39085</v>
          </cell>
          <cell r="P43">
            <v>300.21551310219405</v>
          </cell>
          <cell r="R43">
            <v>292.35232091845904</v>
          </cell>
        </row>
        <row r="44">
          <cell r="A44">
            <v>39086</v>
          </cell>
          <cell r="B44">
            <v>2.7475000000000001</v>
          </cell>
          <cell r="C44">
            <v>274.75</v>
          </cell>
          <cell r="F44">
            <v>11245.900000000001</v>
          </cell>
          <cell r="G44">
            <v>300.80761366819161</v>
          </cell>
          <cell r="K44">
            <v>411.7251</v>
          </cell>
          <cell r="O44">
            <v>39086</v>
          </cell>
          <cell r="P44">
            <v>299.78774869989547</v>
          </cell>
          <cell r="R44">
            <v>291.54078560279038</v>
          </cell>
        </row>
        <row r="45">
          <cell r="A45">
            <v>39087</v>
          </cell>
          <cell r="B45">
            <v>2.7425000000000002</v>
          </cell>
          <cell r="C45">
            <v>274.25</v>
          </cell>
          <cell r="F45">
            <v>11186</v>
          </cell>
          <cell r="G45">
            <v>299.20539632153856</v>
          </cell>
          <cell r="K45">
            <v>411.7251</v>
          </cell>
          <cell r="O45">
            <v>39087</v>
          </cell>
          <cell r="P45">
            <v>299.63454434427837</v>
          </cell>
          <cell r="R45">
            <v>286.34029495497651</v>
          </cell>
        </row>
        <row r="46">
          <cell r="A46">
            <v>39090</v>
          </cell>
          <cell r="B46">
            <v>2.6925000000000003</v>
          </cell>
          <cell r="C46">
            <v>269.25000000000006</v>
          </cell>
          <cell r="F46">
            <v>11156</v>
          </cell>
          <cell r="G46">
            <v>298.402950238073</v>
          </cell>
          <cell r="K46">
            <v>411.74040000000002</v>
          </cell>
          <cell r="O46">
            <v>39090</v>
          </cell>
          <cell r="P46">
            <v>298.4244894238123</v>
          </cell>
          <cell r="R46">
            <v>288.7806567440507</v>
          </cell>
        </row>
        <row r="47">
          <cell r="A47">
            <v>39091</v>
          </cell>
          <cell r="B47">
            <v>2.68</v>
          </cell>
          <cell r="C47">
            <v>268</v>
          </cell>
          <cell r="F47">
            <v>11150.5</v>
          </cell>
          <cell r="G47">
            <v>298.25583512277097</v>
          </cell>
          <cell r="K47">
            <v>411.74040000000002</v>
          </cell>
          <cell r="O47">
            <v>39091</v>
          </cell>
          <cell r="P47">
            <v>300.15857199748945</v>
          </cell>
          <cell r="R47">
            <v>288.95736619076371</v>
          </cell>
        </row>
        <row r="48">
          <cell r="A48">
            <v>39092</v>
          </cell>
          <cell r="B48">
            <v>2.6725000000000003</v>
          </cell>
          <cell r="C48">
            <v>267.25000000000006</v>
          </cell>
          <cell r="F48">
            <v>11087.2</v>
          </cell>
          <cell r="G48">
            <v>296.56267388665856</v>
          </cell>
          <cell r="K48">
            <v>411.7491</v>
          </cell>
          <cell r="O48">
            <v>39092</v>
          </cell>
          <cell r="P48">
            <v>299.22834831793591</v>
          </cell>
          <cell r="R48">
            <v>294.7505489109576</v>
          </cell>
        </row>
        <row r="49">
          <cell r="A49">
            <v>39093</v>
          </cell>
          <cell r="B49">
            <v>2.75</v>
          </cell>
          <cell r="C49">
            <v>275</v>
          </cell>
          <cell r="F49">
            <v>11123.400000000001</v>
          </cell>
          <cell r="G49">
            <v>297.53095882737375</v>
          </cell>
          <cell r="K49">
            <v>411.7491</v>
          </cell>
          <cell r="O49">
            <v>39093</v>
          </cell>
          <cell r="P49">
            <v>301.69787688605049</v>
          </cell>
          <cell r="R49">
            <v>300.92297702535819</v>
          </cell>
          <cell r="W49">
            <v>39038</v>
          </cell>
        </row>
        <row r="50">
          <cell r="A50">
            <v>39094</v>
          </cell>
          <cell r="B50">
            <v>2.7850000000000001</v>
          </cell>
          <cell r="C50">
            <v>278.5</v>
          </cell>
          <cell r="F50">
            <v>11111.7</v>
          </cell>
          <cell r="G50">
            <v>297.21800485482214</v>
          </cell>
          <cell r="K50">
            <v>411.7491</v>
          </cell>
          <cell r="O50">
            <v>39094</v>
          </cell>
          <cell r="P50">
            <v>301.12188760231419</v>
          </cell>
          <cell r="R50">
            <v>302.18701877248554</v>
          </cell>
          <cell r="W50">
            <v>39773</v>
          </cell>
          <cell r="X50">
            <v>735</v>
          </cell>
          <cell r="Y50">
            <v>183.75</v>
          </cell>
        </row>
        <row r="51">
          <cell r="A51">
            <v>39098</v>
          </cell>
          <cell r="B51">
            <v>2.7925</v>
          </cell>
          <cell r="C51">
            <v>279.25</v>
          </cell>
          <cell r="F51">
            <v>11124.5</v>
          </cell>
          <cell r="G51">
            <v>297.56038185043417</v>
          </cell>
          <cell r="K51">
            <v>411.7491</v>
          </cell>
          <cell r="O51">
            <v>39098</v>
          </cell>
          <cell r="P51">
            <v>303.96196463344603</v>
          </cell>
          <cell r="R51">
            <v>310.55466179046272</v>
          </cell>
        </row>
        <row r="52">
          <cell r="A52">
            <v>39099</v>
          </cell>
          <cell r="B52">
            <v>2.7749999999999999</v>
          </cell>
          <cell r="C52">
            <v>277.5</v>
          </cell>
          <cell r="F52">
            <v>11094.6</v>
          </cell>
          <cell r="G52">
            <v>296.76061058724673</v>
          </cell>
          <cell r="K52">
            <v>411.7491</v>
          </cell>
          <cell r="O52">
            <v>39099</v>
          </cell>
          <cell r="P52">
            <v>305.66488226397234</v>
          </cell>
          <cell r="R52">
            <v>307.34820082249655</v>
          </cell>
          <cell r="X52">
            <v>147</v>
          </cell>
        </row>
        <row r="53">
          <cell r="A53">
            <v>39100</v>
          </cell>
          <cell r="B53">
            <v>2.77</v>
          </cell>
          <cell r="C53">
            <v>277</v>
          </cell>
          <cell r="F53">
            <v>11122.900000000001</v>
          </cell>
          <cell r="G53">
            <v>297.51758472598272</v>
          </cell>
          <cell r="K53">
            <v>411.7491</v>
          </cell>
          <cell r="O53">
            <v>39100</v>
          </cell>
          <cell r="P53">
            <v>303.36630450040917</v>
          </cell>
          <cell r="R53">
            <v>307.56392991548256</v>
          </cell>
        </row>
        <row r="54">
          <cell r="A54">
            <v>39101</v>
          </cell>
          <cell r="B54">
            <v>2.7475000000000001</v>
          </cell>
          <cell r="C54">
            <v>274.75</v>
          </cell>
          <cell r="F54">
            <v>11167.7</v>
          </cell>
          <cell r="G54">
            <v>298.71590421062456</v>
          </cell>
          <cell r="K54">
            <v>411.7251</v>
          </cell>
          <cell r="O54">
            <v>39101</v>
          </cell>
          <cell r="P54">
            <v>304.6153572616779</v>
          </cell>
          <cell r="R54">
            <v>308.4613567472062</v>
          </cell>
        </row>
        <row r="55">
          <cell r="A55">
            <v>39104</v>
          </cell>
          <cell r="B55">
            <v>2.7575000000000003</v>
          </cell>
          <cell r="C55">
            <v>275.75</v>
          </cell>
          <cell r="F55">
            <v>11166.6</v>
          </cell>
          <cell r="G55">
            <v>298.6864811875642</v>
          </cell>
          <cell r="K55">
            <v>411.7251</v>
          </cell>
          <cell r="O55">
            <v>39104</v>
          </cell>
          <cell r="P55">
            <v>302.13706866909001</v>
          </cell>
          <cell r="R55">
            <v>307.73198710559143</v>
          </cell>
        </row>
        <row r="56">
          <cell r="A56">
            <v>39105</v>
          </cell>
          <cell r="B56">
            <v>2.7425000000000002</v>
          </cell>
          <cell r="C56">
            <v>274.25</v>
          </cell>
          <cell r="F56">
            <v>11102.2</v>
          </cell>
          <cell r="G56">
            <v>296.96389692839142</v>
          </cell>
          <cell r="K56">
            <v>411.7251</v>
          </cell>
          <cell r="O56">
            <v>39105</v>
          </cell>
          <cell r="P56">
            <v>300.24706476280767</v>
          </cell>
          <cell r="R56">
            <v>305.94871073576536</v>
          </cell>
        </row>
        <row r="57">
          <cell r="A57">
            <v>39106</v>
          </cell>
          <cell r="B57">
            <v>2.7749999999999999</v>
          </cell>
          <cell r="C57">
            <v>277.5</v>
          </cell>
          <cell r="F57">
            <v>11192.800000000001</v>
          </cell>
          <cell r="G57">
            <v>299.38728410045752</v>
          </cell>
          <cell r="K57">
            <v>411.7251</v>
          </cell>
          <cell r="O57">
            <v>39106</v>
          </cell>
          <cell r="P57">
            <v>304.21323003090856</v>
          </cell>
          <cell r="R57">
            <v>308.79706166649754</v>
          </cell>
        </row>
        <row r="58">
          <cell r="A58">
            <v>39107</v>
          </cell>
          <cell r="B58">
            <v>2.7875000000000001</v>
          </cell>
          <cell r="C58">
            <v>278.75</v>
          </cell>
          <cell r="F58">
            <v>11171.1</v>
          </cell>
          <cell r="G58">
            <v>298.80684810008398</v>
          </cell>
          <cell r="K58">
            <v>411.7251</v>
          </cell>
          <cell r="O58">
            <v>39107</v>
          </cell>
          <cell r="P58">
            <v>299.73739553951037</v>
          </cell>
          <cell r="R58">
            <v>307.87971551257215</v>
          </cell>
        </row>
        <row r="59">
          <cell r="A59">
            <v>39108</v>
          </cell>
          <cell r="B59">
            <v>2.8025000000000002</v>
          </cell>
          <cell r="C59">
            <v>280.25</v>
          </cell>
          <cell r="F59">
            <v>11118.6</v>
          </cell>
          <cell r="G59">
            <v>297.40256745401928</v>
          </cell>
          <cell r="K59">
            <v>411.7251</v>
          </cell>
          <cell r="O59">
            <v>39108</v>
          </cell>
          <cell r="P59">
            <v>299.31024301874368</v>
          </cell>
          <cell r="R59">
            <v>304.40230908307655</v>
          </cell>
        </row>
        <row r="60">
          <cell r="A60">
            <v>39111</v>
          </cell>
          <cell r="B60">
            <v>2.8025000000000002</v>
          </cell>
          <cell r="C60">
            <v>280.25</v>
          </cell>
          <cell r="F60">
            <v>11104.7</v>
          </cell>
          <cell r="G60">
            <v>297.03076743534683</v>
          </cell>
          <cell r="K60">
            <v>411.7251</v>
          </cell>
          <cell r="O60">
            <v>39111</v>
          </cell>
          <cell r="P60">
            <v>301.88490562753896</v>
          </cell>
          <cell r="R60">
            <v>307.28871130733785</v>
          </cell>
        </row>
        <row r="61">
          <cell r="A61">
            <v>39112</v>
          </cell>
          <cell r="B61">
            <v>2.8000000000000003</v>
          </cell>
          <cell r="C61">
            <v>280</v>
          </cell>
          <cell r="F61">
            <v>11131</v>
          </cell>
          <cell r="G61">
            <v>297.73424516851833</v>
          </cell>
          <cell r="K61">
            <v>411.7251</v>
          </cell>
          <cell r="O61">
            <v>39112</v>
          </cell>
          <cell r="P61">
            <v>304.70093208649689</v>
          </cell>
          <cell r="R61">
            <v>308.48543847313664</v>
          </cell>
        </row>
        <row r="62">
          <cell r="A62">
            <v>39113</v>
          </cell>
          <cell r="B62">
            <v>2.8075000000000001</v>
          </cell>
          <cell r="C62">
            <v>280.75</v>
          </cell>
          <cell r="F62">
            <v>11100.300000000001</v>
          </cell>
          <cell r="G62">
            <v>296.91307534310522</v>
          </cell>
          <cell r="K62">
            <v>411.77550000000002</v>
          </cell>
          <cell r="O62">
            <v>39113</v>
          </cell>
          <cell r="P62">
            <v>304.46204147081664</v>
          </cell>
          <cell r="R62">
            <v>309.51735113839811</v>
          </cell>
        </row>
        <row r="63">
          <cell r="A63">
            <v>39114</v>
          </cell>
          <cell r="B63">
            <v>2.8275000000000001</v>
          </cell>
          <cell r="C63">
            <v>282.75</v>
          </cell>
          <cell r="F63">
            <v>11221.5</v>
          </cell>
          <cell r="G63">
            <v>300.15495752030625</v>
          </cell>
          <cell r="K63">
            <v>411.77550000000002</v>
          </cell>
          <cell r="O63">
            <v>39114</v>
          </cell>
          <cell r="P63">
            <v>306.73001541049388</v>
          </cell>
          <cell r="R63">
            <v>310.99760197782877</v>
          </cell>
        </row>
        <row r="64">
          <cell r="A64">
            <v>39115</v>
          </cell>
          <cell r="B64">
            <v>2.8275000000000001</v>
          </cell>
          <cell r="C64">
            <v>282.75</v>
          </cell>
          <cell r="F64">
            <v>11343.300000000001</v>
          </cell>
          <cell r="G64">
            <v>303.41288861917656</v>
          </cell>
          <cell r="K64">
            <v>411.77550000000002</v>
          </cell>
          <cell r="O64">
            <v>39115</v>
          </cell>
          <cell r="P64">
            <v>310.35493428108748</v>
          </cell>
          <cell r="R64">
            <v>315.87306010013953</v>
          </cell>
        </row>
        <row r="65">
          <cell r="A65">
            <v>39118</v>
          </cell>
          <cell r="B65">
            <v>2.8574999999999999</v>
          </cell>
          <cell r="C65">
            <v>285.75</v>
          </cell>
          <cell r="F65">
            <v>11406.5</v>
          </cell>
          <cell r="G65">
            <v>305.10337503501074</v>
          </cell>
          <cell r="K65">
            <v>411.77550000000002</v>
          </cell>
          <cell r="O65">
            <v>39118</v>
          </cell>
          <cell r="P65">
            <v>312.92653505090829</v>
          </cell>
          <cell r="R65">
            <v>315.57324595735736</v>
          </cell>
        </row>
        <row r="66">
          <cell r="A66">
            <v>39119</v>
          </cell>
          <cell r="B66">
            <v>2.8574999999999999</v>
          </cell>
          <cell r="C66">
            <v>285.75</v>
          </cell>
          <cell r="F66">
            <v>11479.400000000001</v>
          </cell>
          <cell r="G66">
            <v>307.05331901783217</v>
          </cell>
          <cell r="K66">
            <v>411.77550000000002</v>
          </cell>
          <cell r="O66">
            <v>39119</v>
          </cell>
          <cell r="P66">
            <v>313.42671265019965</v>
          </cell>
          <cell r="R66">
            <v>315.05585929587733</v>
          </cell>
        </row>
        <row r="67">
          <cell r="A67">
            <v>39120</v>
          </cell>
          <cell r="B67">
            <v>2.88</v>
          </cell>
          <cell r="C67">
            <v>288</v>
          </cell>
          <cell r="F67">
            <v>11502</v>
          </cell>
          <cell r="G67">
            <v>307.65782840070955</v>
          </cell>
          <cell r="K67">
            <v>411.77550000000002</v>
          </cell>
          <cell r="O67">
            <v>39120</v>
          </cell>
          <cell r="P67">
            <v>316.24820790396916</v>
          </cell>
          <cell r="R67">
            <v>318.74950088589014</v>
          </cell>
        </row>
        <row r="68">
          <cell r="A68">
            <v>39121</v>
          </cell>
          <cell r="B68">
            <v>2.8475000000000001</v>
          </cell>
          <cell r="C68">
            <v>284.75</v>
          </cell>
          <cell r="F68">
            <v>11441.900000000001</v>
          </cell>
          <cell r="G68">
            <v>306.05026141350015</v>
          </cell>
          <cell r="K68">
            <v>411.77550000000002</v>
          </cell>
          <cell r="O68">
            <v>39121</v>
          </cell>
          <cell r="P68">
            <v>315.54595635678692</v>
          </cell>
          <cell r="R68">
            <v>315.7718613501487</v>
          </cell>
        </row>
        <row r="69">
          <cell r="A69">
            <v>39122</v>
          </cell>
          <cell r="B69">
            <v>2.88</v>
          </cell>
          <cell r="C69">
            <v>288</v>
          </cell>
          <cell r="F69">
            <v>11522.800000000001</v>
          </cell>
          <cell r="G69">
            <v>308.21419101857907</v>
          </cell>
          <cell r="K69">
            <v>411.77550000000002</v>
          </cell>
          <cell r="O69">
            <v>39122</v>
          </cell>
          <cell r="P69">
            <v>322.47168537292646</v>
          </cell>
          <cell r="R69">
            <v>319.0094580760906</v>
          </cell>
        </row>
        <row r="70">
          <cell r="A70">
            <v>39125</v>
          </cell>
          <cell r="B70">
            <v>2.8525</v>
          </cell>
          <cell r="C70">
            <v>285.25</v>
          </cell>
          <cell r="F70">
            <v>11454.800000000001</v>
          </cell>
          <cell r="G70">
            <v>306.39531322939035</v>
          </cell>
          <cell r="K70">
            <v>411.77550000000002</v>
          </cell>
          <cell r="O70">
            <v>39125</v>
          </cell>
          <cell r="P70">
            <v>321.5944350307683</v>
          </cell>
          <cell r="R70">
            <v>320.0409864173867</v>
          </cell>
        </row>
        <row r="71">
          <cell r="A71">
            <v>39126</v>
          </cell>
          <cell r="B71">
            <v>2.8774999999999999</v>
          </cell>
          <cell r="C71">
            <v>287.75</v>
          </cell>
          <cell r="F71">
            <v>11475.7</v>
          </cell>
          <cell r="G71">
            <v>306.95435066753805</v>
          </cell>
          <cell r="K71">
            <v>411.77550000000002</v>
          </cell>
          <cell r="O71">
            <v>39126</v>
          </cell>
          <cell r="P71">
            <v>325.66003971522315</v>
          </cell>
          <cell r="R71">
            <v>321.97127010181578</v>
          </cell>
        </row>
        <row r="72">
          <cell r="A72">
            <v>39127</v>
          </cell>
          <cell r="B72">
            <v>2.89</v>
          </cell>
          <cell r="C72">
            <v>289</v>
          </cell>
          <cell r="F72">
            <v>11541.300000000001</v>
          </cell>
          <cell r="G72">
            <v>308.70903277004953</v>
          </cell>
          <cell r="K72">
            <v>411.77550000000002</v>
          </cell>
          <cell r="O72">
            <v>39127</v>
          </cell>
          <cell r="P72">
            <v>328.30822131956876</v>
          </cell>
          <cell r="R72">
            <v>324.41321011832315</v>
          </cell>
        </row>
        <row r="73">
          <cell r="A73">
            <v>39128</v>
          </cell>
          <cell r="B73">
            <v>2.875</v>
          </cell>
          <cell r="C73">
            <v>287.5</v>
          </cell>
          <cell r="F73">
            <v>11574.6</v>
          </cell>
          <cell r="G73">
            <v>309.59974792269634</v>
          </cell>
          <cell r="K73">
            <v>411.77550000000002</v>
          </cell>
          <cell r="O73">
            <v>39128</v>
          </cell>
          <cell r="P73">
            <v>330.55478900039412</v>
          </cell>
          <cell r="R73">
            <v>322.30025443397687</v>
          </cell>
        </row>
        <row r="74">
          <cell r="A74">
            <v>39129</v>
          </cell>
          <cell r="B74">
            <v>2.87</v>
          </cell>
          <cell r="C74">
            <v>287</v>
          </cell>
          <cell r="F74">
            <v>11556.400000000001</v>
          </cell>
          <cell r="G74">
            <v>309.11293063206051</v>
          </cell>
          <cell r="K74">
            <v>411.77550000000002</v>
          </cell>
          <cell r="O74">
            <v>39129</v>
          </cell>
          <cell r="P74">
            <v>329.95455616391149</v>
          </cell>
          <cell r="R74">
            <v>325.27487685160025</v>
          </cell>
        </row>
        <row r="75">
          <cell r="A75">
            <v>39133</v>
          </cell>
          <cell r="B75">
            <v>2.895</v>
          </cell>
          <cell r="C75">
            <v>289.5</v>
          </cell>
          <cell r="F75">
            <v>11586.900000000001</v>
          </cell>
          <cell r="G75">
            <v>309.92875081691727</v>
          </cell>
          <cell r="K75">
            <v>411.77550000000002</v>
          </cell>
          <cell r="O75">
            <v>39133</v>
          </cell>
          <cell r="P75">
            <v>329.76499157786486</v>
          </cell>
          <cell r="R75">
            <v>326.20422939048029</v>
          </cell>
        </row>
        <row r="76">
          <cell r="A76">
            <v>39134</v>
          </cell>
          <cell r="B76">
            <v>2.88</v>
          </cell>
          <cell r="C76">
            <v>288</v>
          </cell>
          <cell r="F76">
            <v>11543</v>
          </cell>
          <cell r="G76">
            <v>308.75450471477922</v>
          </cell>
          <cell r="K76">
            <v>411.77550000000002</v>
          </cell>
          <cell r="O76">
            <v>39134</v>
          </cell>
          <cell r="P76">
            <v>327.98710719761652</v>
          </cell>
          <cell r="R76">
            <v>325.41109639459808</v>
          </cell>
        </row>
        <row r="77">
          <cell r="A77">
            <v>39135</v>
          </cell>
          <cell r="B77">
            <v>2.8675000000000002</v>
          </cell>
          <cell r="C77">
            <v>286.75</v>
          </cell>
          <cell r="F77">
            <v>11584.400000000001</v>
          </cell>
          <cell r="G77">
            <v>309.86188030996175</v>
          </cell>
          <cell r="K77">
            <v>411.77550000000002</v>
          </cell>
          <cell r="O77">
            <v>39135</v>
          </cell>
          <cell r="P77">
            <v>329.0204218275889</v>
          </cell>
          <cell r="R77">
            <v>324.17805088571799</v>
          </cell>
        </row>
        <row r="78">
          <cell r="A78">
            <v>39136</v>
          </cell>
          <cell r="B78">
            <v>2.84</v>
          </cell>
          <cell r="C78">
            <v>284</v>
          </cell>
          <cell r="F78">
            <v>11600</v>
          </cell>
          <cell r="G78">
            <v>310.27915227336382</v>
          </cell>
          <cell r="K78">
            <v>411.77550000000002</v>
          </cell>
          <cell r="O78">
            <v>39136</v>
          </cell>
          <cell r="P78">
            <v>327.39706225736427</v>
          </cell>
          <cell r="R78">
            <v>321.41121038463041</v>
          </cell>
        </row>
        <row r="79">
          <cell r="A79">
            <v>39139</v>
          </cell>
          <cell r="B79">
            <v>2.84</v>
          </cell>
          <cell r="C79">
            <v>284</v>
          </cell>
          <cell r="F79">
            <v>11612.400000000001</v>
          </cell>
          <cell r="G79">
            <v>310.61082998786299</v>
          </cell>
          <cell r="K79">
            <v>411.77550000000002</v>
          </cell>
          <cell r="O79">
            <v>39139</v>
          </cell>
          <cell r="P79">
            <v>323.57139507680012</v>
          </cell>
          <cell r="R79">
            <v>322.10576232519372</v>
          </cell>
        </row>
        <row r="80">
          <cell r="A80">
            <v>39140</v>
          </cell>
          <cell r="B80">
            <v>2.7625000000000002</v>
          </cell>
          <cell r="C80">
            <v>276.25</v>
          </cell>
          <cell r="F80">
            <v>11180.900000000001</v>
          </cell>
          <cell r="G80">
            <v>299.06898048734951</v>
          </cell>
          <cell r="K80">
            <v>411.77550000000002</v>
          </cell>
          <cell r="O80">
            <v>39140</v>
          </cell>
          <cell r="P80">
            <v>313.3537371208335</v>
          </cell>
          <cell r="R80">
            <v>314.05692595717636</v>
          </cell>
        </row>
        <row r="81">
          <cell r="A81">
            <v>39141</v>
          </cell>
          <cell r="B81">
            <v>2.7349999999999999</v>
          </cell>
          <cell r="C81">
            <v>273.5</v>
          </cell>
          <cell r="F81">
            <v>11082.900000000001</v>
          </cell>
          <cell r="G81">
            <v>296.44765661469523</v>
          </cell>
          <cell r="K81">
            <v>411.77550000000002</v>
          </cell>
          <cell r="O81">
            <v>39141</v>
          </cell>
          <cell r="P81">
            <v>306.00164832737261</v>
          </cell>
          <cell r="R81">
            <v>311.59155310459226</v>
          </cell>
        </row>
        <row r="82">
          <cell r="A82">
            <v>39142</v>
          </cell>
          <cell r="B82">
            <v>2.7725</v>
          </cell>
          <cell r="C82">
            <v>277.25</v>
          </cell>
          <cell r="F82">
            <v>10983.900000000001</v>
          </cell>
          <cell r="G82">
            <v>293.79958453925877</v>
          </cell>
          <cell r="K82">
            <v>411.79080000000005</v>
          </cell>
          <cell r="O82">
            <v>39142</v>
          </cell>
          <cell r="P82">
            <v>302.48029718965716</v>
          </cell>
          <cell r="R82">
            <v>306.96653452296721</v>
          </cell>
        </row>
        <row r="83">
          <cell r="A83">
            <v>39143</v>
          </cell>
          <cell r="B83">
            <v>2.74</v>
          </cell>
          <cell r="C83">
            <v>274</v>
          </cell>
          <cell r="F83">
            <v>11046.1</v>
          </cell>
          <cell r="G83">
            <v>295.46332275231072</v>
          </cell>
          <cell r="K83">
            <v>411.79080000000005</v>
          </cell>
          <cell r="O83">
            <v>39143</v>
          </cell>
          <cell r="P83">
            <v>304.19904192725181</v>
          </cell>
          <cell r="R83">
            <v>308.24403233770198</v>
          </cell>
        </row>
        <row r="84">
          <cell r="A84">
            <v>39146</v>
          </cell>
          <cell r="B84">
            <v>2.6875</v>
          </cell>
          <cell r="C84">
            <v>268.75</v>
          </cell>
          <cell r="F84">
            <v>10857.900000000001</v>
          </cell>
          <cell r="G84">
            <v>290.42931098870326</v>
          </cell>
          <cell r="K84">
            <v>411.79080000000005</v>
          </cell>
          <cell r="O84">
            <v>39146</v>
          </cell>
          <cell r="P84">
            <v>297.80367218859595</v>
          </cell>
          <cell r="R84">
            <v>304.382906685666</v>
          </cell>
        </row>
        <row r="85">
          <cell r="A85">
            <v>39147</v>
          </cell>
          <cell r="B85">
            <v>2.7524999999999999</v>
          </cell>
          <cell r="C85">
            <v>275.25</v>
          </cell>
          <cell r="F85">
            <v>11013</v>
          </cell>
          <cell r="G85">
            <v>294.57795724022037</v>
          </cell>
          <cell r="K85">
            <v>411.79080000000005</v>
          </cell>
          <cell r="O85">
            <v>39147</v>
          </cell>
          <cell r="P85">
            <v>300.33776029003855</v>
          </cell>
          <cell r="R85">
            <v>305.85934618149417</v>
          </cell>
        </row>
        <row r="86">
          <cell r="A86">
            <v>39148</v>
          </cell>
          <cell r="B86">
            <v>2.7800000000000002</v>
          </cell>
          <cell r="C86">
            <v>278</v>
          </cell>
          <cell r="F86">
            <v>11184.5</v>
          </cell>
          <cell r="G86">
            <v>299.16527401736533</v>
          </cell>
          <cell r="K86">
            <v>411.79080000000005</v>
          </cell>
          <cell r="O86">
            <v>39148</v>
          </cell>
          <cell r="P86">
            <v>303.89402230005749</v>
          </cell>
          <cell r="R86">
            <v>308.41808573823033</v>
          </cell>
        </row>
        <row r="87">
          <cell r="A87">
            <v>39149</v>
          </cell>
          <cell r="B87">
            <v>2.81</v>
          </cell>
          <cell r="C87">
            <v>281</v>
          </cell>
          <cell r="F87">
            <v>11363.800000000001</v>
          </cell>
          <cell r="G87">
            <v>303.96122677621139</v>
          </cell>
          <cell r="K87">
            <v>411.79080000000005</v>
          </cell>
          <cell r="O87">
            <v>39149</v>
          </cell>
          <cell r="P87">
            <v>310.01118337531</v>
          </cell>
          <cell r="R87">
            <v>312.91395069787541</v>
          </cell>
        </row>
        <row r="88">
          <cell r="A88">
            <v>39150</v>
          </cell>
          <cell r="B88">
            <v>2.8149999999999999</v>
          </cell>
          <cell r="C88">
            <v>281.5</v>
          </cell>
          <cell r="F88">
            <v>11410.6</v>
          </cell>
          <cell r="G88">
            <v>305.21304266641772</v>
          </cell>
          <cell r="K88">
            <v>411.79080000000005</v>
          </cell>
          <cell r="O88">
            <v>39150</v>
          </cell>
          <cell r="P88">
            <v>310.36272580714257</v>
          </cell>
          <cell r="R88">
            <v>313.07956273867171</v>
          </cell>
        </row>
        <row r="89">
          <cell r="A89">
            <v>39153</v>
          </cell>
          <cell r="B89">
            <v>2.8650000000000002</v>
          </cell>
          <cell r="C89">
            <v>286.5</v>
          </cell>
          <cell r="F89">
            <v>11418</v>
          </cell>
          <cell r="G89">
            <v>305.41097936700584</v>
          </cell>
          <cell r="K89">
            <v>411.79080000000005</v>
          </cell>
          <cell r="O89">
            <v>39153</v>
          </cell>
          <cell r="P89">
            <v>310.44821338461804</v>
          </cell>
          <cell r="R89">
            <v>312.7417428104813</v>
          </cell>
        </row>
        <row r="90">
          <cell r="A90">
            <v>39154</v>
          </cell>
          <cell r="B90">
            <v>2.8425000000000002</v>
          </cell>
          <cell r="C90">
            <v>284.25</v>
          </cell>
          <cell r="F90">
            <v>11260.900000000001</v>
          </cell>
          <cell r="G90">
            <v>301.20883670992447</v>
          </cell>
          <cell r="K90">
            <v>411.79080000000005</v>
          </cell>
          <cell r="O90">
            <v>39154</v>
          </cell>
          <cell r="P90">
            <v>306.19796733765753</v>
          </cell>
          <cell r="R90">
            <v>310.38322208450745</v>
          </cell>
        </row>
        <row r="91">
          <cell r="A91">
            <v>39155</v>
          </cell>
          <cell r="B91">
            <v>2.7475000000000001</v>
          </cell>
          <cell r="C91">
            <v>274.75</v>
          </cell>
          <cell r="F91">
            <v>10944.1</v>
          </cell>
          <cell r="G91">
            <v>292.7350060685277</v>
          </cell>
          <cell r="K91">
            <v>411.79080000000005</v>
          </cell>
          <cell r="O91">
            <v>39155</v>
          </cell>
          <cell r="P91">
            <v>297.65202467200288</v>
          </cell>
          <cell r="R91">
            <v>300.76753184951036</v>
          </cell>
        </row>
        <row r="92">
          <cell r="A92">
            <v>39156</v>
          </cell>
          <cell r="B92">
            <v>2.79</v>
          </cell>
          <cell r="C92">
            <v>279</v>
          </cell>
          <cell r="F92">
            <v>11219.5</v>
          </cell>
          <cell r="G92">
            <v>300.10146111474188</v>
          </cell>
          <cell r="K92">
            <v>411.79080000000005</v>
          </cell>
          <cell r="O92">
            <v>39156</v>
          </cell>
          <cell r="P92">
            <v>302.26870396436613</v>
          </cell>
          <cell r="R92">
            <v>310.4286550161375</v>
          </cell>
        </row>
        <row r="93">
          <cell r="A93">
            <v>39157</v>
          </cell>
          <cell r="B93">
            <v>2.7625000000000002</v>
          </cell>
          <cell r="C93">
            <v>276.25</v>
          </cell>
          <cell r="F93">
            <v>11269.2</v>
          </cell>
          <cell r="G93">
            <v>301.43084679301654</v>
          </cell>
          <cell r="K93">
            <v>411.79080000000005</v>
          </cell>
          <cell r="O93">
            <v>39157</v>
          </cell>
          <cell r="P93">
            <v>301.6694679975659</v>
          </cell>
          <cell r="R93">
            <v>311.29991475086035</v>
          </cell>
        </row>
        <row r="94">
          <cell r="A94">
            <v>39160</v>
          </cell>
          <cell r="B94">
            <v>2.81</v>
          </cell>
          <cell r="C94">
            <v>281</v>
          </cell>
          <cell r="F94">
            <v>11438.7</v>
          </cell>
          <cell r="G94">
            <v>305.96466716459713</v>
          </cell>
          <cell r="K94">
            <v>411.79080000000005</v>
          </cell>
          <cell r="O94">
            <v>39160</v>
          </cell>
          <cell r="P94">
            <v>304.9673899607065</v>
          </cell>
          <cell r="R94">
            <v>314.98747879230774</v>
          </cell>
        </row>
        <row r="95">
          <cell r="A95">
            <v>39161</v>
          </cell>
          <cell r="B95">
            <v>2.8375000000000004</v>
          </cell>
          <cell r="C95">
            <v>283.75000000000006</v>
          </cell>
          <cell r="F95">
            <v>11459.300000000001</v>
          </cell>
          <cell r="G95">
            <v>306.51568014191025</v>
          </cell>
          <cell r="K95">
            <v>411.79080000000005</v>
          </cell>
          <cell r="O95">
            <v>39161</v>
          </cell>
          <cell r="P95">
            <v>307.80109048375556</v>
          </cell>
          <cell r="R95">
            <v>313.9493006324434</v>
          </cell>
        </row>
        <row r="96">
          <cell r="A96">
            <v>39162</v>
          </cell>
          <cell r="B96">
            <v>2.88</v>
          </cell>
          <cell r="C96">
            <v>288</v>
          </cell>
          <cell r="F96">
            <v>11612.7</v>
          </cell>
          <cell r="G96">
            <v>310.61885444869762</v>
          </cell>
          <cell r="K96">
            <v>411.79080000000005</v>
          </cell>
          <cell r="O96">
            <v>39162</v>
          </cell>
          <cell r="P96">
            <v>314.42977016690929</v>
          </cell>
          <cell r="R96">
            <v>316.24003400565971</v>
          </cell>
        </row>
        <row r="97">
          <cell r="A97">
            <v>39163</v>
          </cell>
          <cell r="B97">
            <v>2.8774999999999999</v>
          </cell>
          <cell r="C97">
            <v>287.75</v>
          </cell>
          <cell r="F97">
            <v>11708.1</v>
          </cell>
          <cell r="G97">
            <v>313.17063299411819</v>
          </cell>
          <cell r="K97">
            <v>411.79080000000005</v>
          </cell>
          <cell r="O97">
            <v>39163</v>
          </cell>
          <cell r="P97">
            <v>318.31117796801402</v>
          </cell>
          <cell r="R97">
            <v>319.86759969637114</v>
          </cell>
        </row>
        <row r="98">
          <cell r="A98">
            <v>39164</v>
          </cell>
          <cell r="B98">
            <v>2.8925000000000001</v>
          </cell>
          <cell r="C98">
            <v>289.25</v>
          </cell>
          <cell r="F98">
            <v>11702</v>
          </cell>
          <cell r="G98">
            <v>313.0074689571469</v>
          </cell>
          <cell r="K98">
            <v>411.79080000000005</v>
          </cell>
          <cell r="O98">
            <v>39164</v>
          </cell>
          <cell r="P98">
            <v>315.92193704545753</v>
          </cell>
          <cell r="R98">
            <v>320.84795374341343</v>
          </cell>
        </row>
        <row r="99">
          <cell r="A99">
            <v>39167</v>
          </cell>
          <cell r="B99">
            <v>2.8625000000000003</v>
          </cell>
          <cell r="C99">
            <v>286.25</v>
          </cell>
          <cell r="F99">
            <v>11655.6</v>
          </cell>
          <cell r="G99">
            <v>311.76635234805343</v>
          </cell>
          <cell r="K99">
            <v>411.79080000000005</v>
          </cell>
          <cell r="O99">
            <v>39167</v>
          </cell>
          <cell r="P99">
            <v>312.01014228750728</v>
          </cell>
          <cell r="R99">
            <v>322.88798034815875</v>
          </cell>
        </row>
        <row r="100">
          <cell r="A100">
            <v>39168</v>
          </cell>
          <cell r="B100">
            <v>2.85</v>
          </cell>
          <cell r="C100">
            <v>285</v>
          </cell>
          <cell r="F100">
            <v>11641.800000000001</v>
          </cell>
          <cell r="G100">
            <v>311.39722714965922</v>
          </cell>
          <cell r="K100">
            <v>411.79080000000005</v>
          </cell>
          <cell r="O100">
            <v>39168</v>
          </cell>
          <cell r="P100">
            <v>310.08939925230936</v>
          </cell>
          <cell r="R100">
            <v>323.85143813933439</v>
          </cell>
        </row>
        <row r="101">
          <cell r="A101">
            <v>39169</v>
          </cell>
          <cell r="B101">
            <v>2.8250000000000002</v>
          </cell>
          <cell r="C101">
            <v>282.5</v>
          </cell>
          <cell r="F101">
            <v>11582.7</v>
          </cell>
          <cell r="G101">
            <v>309.81640836523206</v>
          </cell>
          <cell r="K101">
            <v>411.79080000000005</v>
          </cell>
          <cell r="O101">
            <v>39169</v>
          </cell>
          <cell r="P101">
            <v>312.06768585783772</v>
          </cell>
          <cell r="R101">
            <v>327.81811892140098</v>
          </cell>
        </row>
        <row r="102">
          <cell r="A102">
            <v>39170</v>
          </cell>
          <cell r="B102">
            <v>2.8475000000000001</v>
          </cell>
          <cell r="C102">
            <v>284.75</v>
          </cell>
          <cell r="F102">
            <v>11665.7</v>
          </cell>
          <cell r="G102">
            <v>312.03650919615347</v>
          </cell>
          <cell r="K102">
            <v>411.79080000000005</v>
          </cell>
          <cell r="O102">
            <v>39170</v>
          </cell>
          <cell r="P102">
            <v>314.26184873050988</v>
          </cell>
          <cell r="R102">
            <v>333.87945502321713</v>
          </cell>
        </row>
        <row r="103">
          <cell r="A103">
            <v>39171</v>
          </cell>
          <cell r="B103">
            <v>2.81</v>
          </cell>
          <cell r="C103">
            <v>281</v>
          </cell>
          <cell r="F103">
            <v>11689.300000000001</v>
          </cell>
          <cell r="G103">
            <v>312.6677667818131</v>
          </cell>
          <cell r="K103">
            <v>412.01350000000002</v>
          </cell>
          <cell r="O103">
            <v>39171</v>
          </cell>
          <cell r="P103">
            <v>312.93410156497174</v>
          </cell>
          <cell r="R103">
            <v>334.94971676513956</v>
          </cell>
        </row>
        <row r="104">
          <cell r="A104">
            <v>39174</v>
          </cell>
          <cell r="B104">
            <v>2.82</v>
          </cell>
          <cell r="C104">
            <v>282</v>
          </cell>
          <cell r="F104">
            <v>11759.900000000001</v>
          </cell>
          <cell r="G104">
            <v>314.55618989823546</v>
          </cell>
          <cell r="K104">
            <v>412.01350000000002</v>
          </cell>
          <cell r="O104">
            <v>39174</v>
          </cell>
          <cell r="P104">
            <v>316.1891909980647</v>
          </cell>
          <cell r="R104">
            <v>335.35748622039659</v>
          </cell>
        </row>
        <row r="105">
          <cell r="A105">
            <v>39175</v>
          </cell>
          <cell r="B105">
            <v>2.8725000000000001</v>
          </cell>
          <cell r="C105">
            <v>287.25</v>
          </cell>
          <cell r="F105">
            <v>11885.5</v>
          </cell>
          <cell r="G105">
            <v>317.91576416767811</v>
          </cell>
          <cell r="K105">
            <v>412.01350000000002</v>
          </cell>
          <cell r="O105">
            <v>39175</v>
          </cell>
          <cell r="P105">
            <v>318.77548431885958</v>
          </cell>
          <cell r="R105">
            <v>338.38305283541081</v>
          </cell>
        </row>
        <row r="106">
          <cell r="A106">
            <v>39176</v>
          </cell>
          <cell r="B106">
            <v>2.84</v>
          </cell>
          <cell r="C106">
            <v>284</v>
          </cell>
          <cell r="F106">
            <v>11889.2</v>
          </cell>
          <cell r="G106">
            <v>318.01473251797222</v>
          </cell>
          <cell r="K106">
            <v>412.01350000000002</v>
          </cell>
          <cell r="O106">
            <v>39176</v>
          </cell>
          <cell r="P106">
            <v>319.76140752104362</v>
          </cell>
          <cell r="R106">
            <v>336.83644905168507</v>
          </cell>
        </row>
        <row r="107">
          <cell r="A107">
            <v>39177</v>
          </cell>
          <cell r="B107">
            <v>2.8774999999999999</v>
          </cell>
          <cell r="C107">
            <v>287.75</v>
          </cell>
          <cell r="F107">
            <v>11915.900000000001</v>
          </cell>
          <cell r="G107">
            <v>318.72890953225664</v>
          </cell>
          <cell r="K107">
            <v>412.01350000000002</v>
          </cell>
          <cell r="O107">
            <v>39177</v>
          </cell>
          <cell r="P107">
            <v>321.18040174511998</v>
          </cell>
          <cell r="R107">
            <v>341.19878708322773</v>
          </cell>
        </row>
        <row r="108">
          <cell r="A108">
            <v>39181</v>
          </cell>
          <cell r="B108">
            <v>2.8774999999999999</v>
          </cell>
          <cell r="C108">
            <v>287.75</v>
          </cell>
          <cell r="F108">
            <v>11915.900000000001</v>
          </cell>
          <cell r="G108">
            <v>318.72890953225664</v>
          </cell>
          <cell r="K108">
            <v>412.01350000000002</v>
          </cell>
          <cell r="O108">
            <v>39181</v>
          </cell>
          <cell r="P108">
            <v>321.143740726511</v>
          </cell>
          <cell r="R108">
            <v>341.17326495930672</v>
          </cell>
        </row>
        <row r="109">
          <cell r="A109">
            <v>39182</v>
          </cell>
          <cell r="B109">
            <v>2.875</v>
          </cell>
          <cell r="C109">
            <v>287.5</v>
          </cell>
          <cell r="F109">
            <v>11991.1</v>
          </cell>
          <cell r="G109">
            <v>320.74037438147695</v>
          </cell>
          <cell r="K109">
            <v>412.01350000000002</v>
          </cell>
          <cell r="O109">
            <v>39182</v>
          </cell>
          <cell r="P109">
            <v>322.94659998485037</v>
          </cell>
          <cell r="R109">
            <v>341.74525630704193</v>
          </cell>
        </row>
        <row r="110">
          <cell r="A110">
            <v>39183</v>
          </cell>
          <cell r="B110">
            <v>2.8574999999999999</v>
          </cell>
          <cell r="C110">
            <v>285.75</v>
          </cell>
          <cell r="F110">
            <v>11955.300000000001</v>
          </cell>
          <cell r="G110">
            <v>319.78278872187474</v>
          </cell>
          <cell r="K110">
            <v>412.01350000000002</v>
          </cell>
          <cell r="O110">
            <v>39183</v>
          </cell>
          <cell r="P110">
            <v>319.73873367562015</v>
          </cell>
          <cell r="R110">
            <v>339.91797804083564</v>
          </cell>
        </row>
        <row r="111">
          <cell r="A111">
            <v>39184</v>
          </cell>
          <cell r="B111">
            <v>2.8475000000000001</v>
          </cell>
          <cell r="C111">
            <v>284.75</v>
          </cell>
          <cell r="F111">
            <v>11894.7</v>
          </cell>
          <cell r="G111">
            <v>318.16184763327419</v>
          </cell>
          <cell r="K111">
            <v>412.01350000000002</v>
          </cell>
          <cell r="O111">
            <v>39184</v>
          </cell>
          <cell r="P111">
            <v>318.97054400595874</v>
          </cell>
          <cell r="R111">
            <v>338.70515130008266</v>
          </cell>
        </row>
        <row r="112">
          <cell r="A112">
            <v>39185</v>
          </cell>
          <cell r="B112">
            <v>2.8475000000000001</v>
          </cell>
          <cell r="C112">
            <v>284.75</v>
          </cell>
          <cell r="F112">
            <v>11925.2</v>
          </cell>
          <cell r="G112">
            <v>318.9776678181309</v>
          </cell>
          <cell r="K112">
            <v>412.01350000000002</v>
          </cell>
          <cell r="O112">
            <v>39185</v>
          </cell>
          <cell r="P112">
            <v>320.47246791534388</v>
          </cell>
          <cell r="R112">
            <v>336.56305185830939</v>
          </cell>
        </row>
        <row r="113">
          <cell r="A113">
            <v>39188</v>
          </cell>
          <cell r="B113">
            <v>2.85</v>
          </cell>
          <cell r="C113">
            <v>285</v>
          </cell>
          <cell r="F113">
            <v>12015.900000000001</v>
          </cell>
          <cell r="G113">
            <v>321.40372981047523</v>
          </cell>
          <cell r="K113">
            <v>412.01350000000002</v>
          </cell>
          <cell r="O113">
            <v>39188</v>
          </cell>
          <cell r="P113">
            <v>322.30443730885219</v>
          </cell>
          <cell r="R113">
            <v>340.72975644977481</v>
          </cell>
        </row>
        <row r="114">
          <cell r="A114">
            <v>39189</v>
          </cell>
          <cell r="B114">
            <v>2.84</v>
          </cell>
          <cell r="C114">
            <v>284</v>
          </cell>
          <cell r="F114">
            <v>11926.6</v>
          </cell>
          <cell r="G114">
            <v>319.01511530202595</v>
          </cell>
          <cell r="K114">
            <v>412.01350000000002</v>
          </cell>
          <cell r="O114">
            <v>39189</v>
          </cell>
          <cell r="P114">
            <v>320.57187887007393</v>
          </cell>
          <cell r="R114">
            <v>336.71454366540354</v>
          </cell>
        </row>
        <row r="115">
          <cell r="A115">
            <v>39190</v>
          </cell>
          <cell r="B115">
            <v>2.8175000000000003</v>
          </cell>
          <cell r="C115">
            <v>281.75000000000006</v>
          </cell>
          <cell r="F115">
            <v>11874.6</v>
          </cell>
          <cell r="G115">
            <v>317.62420875735222</v>
          </cell>
          <cell r="K115">
            <v>412.01350000000002</v>
          </cell>
          <cell r="O115">
            <v>39190</v>
          </cell>
          <cell r="P115">
            <v>317.97466757137585</v>
          </cell>
          <cell r="R115">
            <v>333.67422874571008</v>
          </cell>
        </row>
        <row r="116">
          <cell r="A116">
            <v>39191</v>
          </cell>
          <cell r="B116">
            <v>2.8000000000000003</v>
          </cell>
          <cell r="C116">
            <v>280</v>
          </cell>
          <cell r="F116">
            <v>11799</v>
          </cell>
          <cell r="G116">
            <v>315.60204462701898</v>
          </cell>
          <cell r="K116">
            <v>412.01350000000002</v>
          </cell>
          <cell r="O116">
            <v>39191</v>
          </cell>
          <cell r="P116">
            <v>318.49019159722906</v>
          </cell>
          <cell r="R116">
            <v>332.64348726571683</v>
          </cell>
        </row>
        <row r="117">
          <cell r="A117">
            <v>39192</v>
          </cell>
          <cell r="B117">
            <v>2.82</v>
          </cell>
          <cell r="C117">
            <v>282</v>
          </cell>
          <cell r="F117">
            <v>11900.6</v>
          </cell>
          <cell r="G117">
            <v>318.31966202968914</v>
          </cell>
          <cell r="K117">
            <v>412.01350000000002</v>
          </cell>
          <cell r="O117">
            <v>39192</v>
          </cell>
          <cell r="P117">
            <v>321.19163742497983</v>
          </cell>
          <cell r="R117">
            <v>334.6582770192507</v>
          </cell>
        </row>
        <row r="118">
          <cell r="A118">
            <v>39195</v>
          </cell>
          <cell r="B118">
            <v>2.82</v>
          </cell>
          <cell r="C118">
            <v>282</v>
          </cell>
          <cell r="F118">
            <v>11924.300000000001</v>
          </cell>
          <cell r="G118">
            <v>318.95359443562694</v>
          </cell>
          <cell r="K118">
            <v>412.01350000000002</v>
          </cell>
          <cell r="O118">
            <v>39195</v>
          </cell>
          <cell r="P118">
            <v>321.17268186180263</v>
          </cell>
          <cell r="R118">
            <v>336.74300643198507</v>
          </cell>
        </row>
        <row r="119">
          <cell r="A119">
            <v>39196</v>
          </cell>
          <cell r="B119">
            <v>2.8025000000000002</v>
          </cell>
          <cell r="C119">
            <v>280.25</v>
          </cell>
          <cell r="F119">
            <v>11816.900000000001</v>
          </cell>
          <cell r="G119">
            <v>316.08083745682018</v>
          </cell>
          <cell r="K119">
            <v>412.01350000000002</v>
          </cell>
          <cell r="O119">
            <v>39196</v>
          </cell>
          <cell r="P119">
            <v>318.21296999972259</v>
          </cell>
          <cell r="R119">
            <v>336.02113024041978</v>
          </cell>
        </row>
        <row r="120">
          <cell r="A120">
            <v>39197</v>
          </cell>
          <cell r="B120">
            <v>2.81</v>
          </cell>
          <cell r="C120">
            <v>281</v>
          </cell>
          <cell r="F120">
            <v>11904.2</v>
          </cell>
          <cell r="G120">
            <v>318.41595555970497</v>
          </cell>
          <cell r="K120">
            <v>412.01350000000002</v>
          </cell>
          <cell r="O120">
            <v>39197</v>
          </cell>
          <cell r="P120">
            <v>320.09750903605197</v>
          </cell>
          <cell r="R120">
            <v>337.32489582764185</v>
          </cell>
        </row>
        <row r="121">
          <cell r="A121">
            <v>39198</v>
          </cell>
          <cell r="B121">
            <v>2.82</v>
          </cell>
          <cell r="C121">
            <v>282</v>
          </cell>
          <cell r="F121">
            <v>11940.900000000001</v>
          </cell>
          <cell r="G121">
            <v>319.39761460181126</v>
          </cell>
          <cell r="K121">
            <v>412.01350000000002</v>
          </cell>
          <cell r="O121">
            <v>39198</v>
          </cell>
          <cell r="P121">
            <v>321.99888184275693</v>
          </cell>
          <cell r="R121">
            <v>335.75261795674595</v>
          </cell>
        </row>
        <row r="122">
          <cell r="A122">
            <v>39199</v>
          </cell>
          <cell r="B122">
            <v>2.8574999999999999</v>
          </cell>
          <cell r="C122">
            <v>285.75</v>
          </cell>
          <cell r="F122">
            <v>11903.5</v>
          </cell>
          <cell r="G122">
            <v>318.39723181775742</v>
          </cell>
          <cell r="K122">
            <v>412.01350000000002</v>
          </cell>
          <cell r="O122">
            <v>39199</v>
          </cell>
          <cell r="P122">
            <v>320.21634964256498</v>
          </cell>
          <cell r="R122">
            <v>334.70906610275654</v>
          </cell>
        </row>
        <row r="123">
          <cell r="A123">
            <v>39202</v>
          </cell>
          <cell r="B123">
            <v>2.8450000000000002</v>
          </cell>
          <cell r="C123">
            <v>284.5</v>
          </cell>
          <cell r="F123">
            <v>11929.400000000001</v>
          </cell>
          <cell r="G123">
            <v>319.09001026981616</v>
          </cell>
          <cell r="K123">
            <v>412.01850000000002</v>
          </cell>
          <cell r="O123">
            <v>39202</v>
          </cell>
          <cell r="P123">
            <v>321.35506865382439</v>
          </cell>
          <cell r="R123">
            <v>333.78084674908138</v>
          </cell>
        </row>
        <row r="124">
          <cell r="A124">
            <v>39203</v>
          </cell>
          <cell r="B124">
            <v>2.8425000000000002</v>
          </cell>
          <cell r="C124">
            <v>284.25</v>
          </cell>
          <cell r="F124">
            <v>11911.400000000001</v>
          </cell>
          <cell r="G124">
            <v>318.60854261973674</v>
          </cell>
          <cell r="K124">
            <v>412.01850000000002</v>
          </cell>
          <cell r="O124">
            <v>39203</v>
          </cell>
          <cell r="P124">
            <v>319.60283142749171</v>
          </cell>
          <cell r="R124">
            <v>334.33436924388837</v>
          </cell>
        </row>
        <row r="125">
          <cell r="A125">
            <v>39204</v>
          </cell>
          <cell r="B125">
            <v>2.82</v>
          </cell>
          <cell r="C125">
            <v>282</v>
          </cell>
          <cell r="F125">
            <v>12019.300000000001</v>
          </cell>
          <cell r="G125">
            <v>321.49467369993465</v>
          </cell>
          <cell r="K125">
            <v>412.01850000000002</v>
          </cell>
          <cell r="O125">
            <v>39204</v>
          </cell>
          <cell r="P125">
            <v>321.93824282378739</v>
          </cell>
          <cell r="R125">
            <v>337.36571655881716</v>
          </cell>
        </row>
        <row r="126">
          <cell r="A126">
            <v>39205</v>
          </cell>
          <cell r="B126">
            <v>2.8050000000000002</v>
          </cell>
          <cell r="C126">
            <v>280.5</v>
          </cell>
          <cell r="F126">
            <v>12046.1</v>
          </cell>
          <cell r="G126">
            <v>322.2115255344973</v>
          </cell>
          <cell r="K126">
            <v>412.01850000000002</v>
          </cell>
          <cell r="O126">
            <v>39205</v>
          </cell>
          <cell r="P126">
            <v>316.67622545463809</v>
          </cell>
          <cell r="R126">
            <v>341.95129449388742</v>
          </cell>
        </row>
        <row r="127">
          <cell r="A127">
            <v>39206</v>
          </cell>
          <cell r="B127">
            <v>2.81</v>
          </cell>
          <cell r="C127">
            <v>281</v>
          </cell>
          <cell r="F127">
            <v>12210.800000000001</v>
          </cell>
          <cell r="G127">
            <v>326.61695453272341</v>
          </cell>
          <cell r="K127">
            <v>412.01850000000002</v>
          </cell>
          <cell r="O127">
            <v>39206</v>
          </cell>
          <cell r="P127">
            <v>315.24331433209659</v>
          </cell>
          <cell r="R127">
            <v>346.82400705051009</v>
          </cell>
        </row>
        <row r="128">
          <cell r="A128">
            <v>39209</v>
          </cell>
          <cell r="B128">
            <v>2.81</v>
          </cell>
          <cell r="C128">
            <v>281</v>
          </cell>
          <cell r="F128">
            <v>12210.800000000001</v>
          </cell>
          <cell r="G128">
            <v>326.61695453272341</v>
          </cell>
          <cell r="K128">
            <v>412.01850000000002</v>
          </cell>
          <cell r="O128">
            <v>39209</v>
          </cell>
          <cell r="P128">
            <v>316.40747470795162</v>
          </cell>
          <cell r="R128">
            <v>346.80631139382058</v>
          </cell>
        </row>
        <row r="129">
          <cell r="A129">
            <v>39210</v>
          </cell>
          <cell r="B129">
            <v>2.8000000000000003</v>
          </cell>
          <cell r="C129">
            <v>280</v>
          </cell>
          <cell r="F129">
            <v>12107.900000000001</v>
          </cell>
          <cell r="G129">
            <v>323.86456446643643</v>
          </cell>
          <cell r="K129">
            <v>412.01850000000002</v>
          </cell>
          <cell r="O129">
            <v>39210</v>
          </cell>
          <cell r="P129">
            <v>311.65623314763502</v>
          </cell>
          <cell r="R129">
            <v>340.32507952826904</v>
          </cell>
        </row>
        <row r="130">
          <cell r="A130">
            <v>39211</v>
          </cell>
          <cell r="B130">
            <v>2.8000000000000003</v>
          </cell>
          <cell r="C130">
            <v>280</v>
          </cell>
          <cell r="F130">
            <v>12057.1</v>
          </cell>
          <cell r="G130">
            <v>322.5057557651013</v>
          </cell>
          <cell r="K130">
            <v>412.01850000000002</v>
          </cell>
          <cell r="O130">
            <v>39211</v>
          </cell>
          <cell r="P130">
            <v>311.15596900827779</v>
          </cell>
          <cell r="R130">
            <v>341.75406407329081</v>
          </cell>
        </row>
        <row r="131">
          <cell r="A131">
            <v>39212</v>
          </cell>
          <cell r="B131">
            <v>2.8050000000000002</v>
          </cell>
          <cell r="C131">
            <v>280.5</v>
          </cell>
          <cell r="F131">
            <v>12062.400000000001</v>
          </cell>
          <cell r="G131">
            <v>322.64752123984698</v>
          </cell>
          <cell r="K131">
            <v>412.01850000000002</v>
          </cell>
          <cell r="O131">
            <v>39212</v>
          </cell>
          <cell r="P131">
            <v>311.12394076427466</v>
          </cell>
          <cell r="R131">
            <v>342.0768676715536</v>
          </cell>
        </row>
        <row r="132">
          <cell r="A132">
            <v>39213</v>
          </cell>
          <cell r="B132">
            <v>2.7850000000000001</v>
          </cell>
          <cell r="C132">
            <v>278.5</v>
          </cell>
          <cell r="F132">
            <v>12033.800000000001</v>
          </cell>
          <cell r="G132">
            <v>321.88252264027636</v>
          </cell>
          <cell r="K132">
            <v>412.01850000000002</v>
          </cell>
          <cell r="O132">
            <v>39213</v>
          </cell>
          <cell r="P132">
            <v>313.32144926962957</v>
          </cell>
          <cell r="R132">
            <v>343.67345660914799</v>
          </cell>
        </row>
        <row r="133">
          <cell r="A133">
            <v>39216</v>
          </cell>
          <cell r="B133">
            <v>2.7949999999999999</v>
          </cell>
          <cell r="C133">
            <v>279.5</v>
          </cell>
          <cell r="F133">
            <v>12037.6</v>
          </cell>
          <cell r="G133">
            <v>321.98416581084865</v>
          </cell>
          <cell r="K133">
            <v>412.01850000000002</v>
          </cell>
          <cell r="O133">
            <v>39216</v>
          </cell>
          <cell r="P133">
            <v>308.15185403314632</v>
          </cell>
          <cell r="R133">
            <v>342.97005524520625</v>
          </cell>
        </row>
        <row r="134">
          <cell r="A134">
            <v>39217</v>
          </cell>
          <cell r="B134">
            <v>2.8050000000000002</v>
          </cell>
          <cell r="C134">
            <v>280.5</v>
          </cell>
          <cell r="F134">
            <v>12092.2</v>
          </cell>
          <cell r="G134">
            <v>323.44461768275607</v>
          </cell>
          <cell r="K134">
            <v>412.01850000000002</v>
          </cell>
          <cell r="O134">
            <v>39217</v>
          </cell>
          <cell r="P134">
            <v>309.46142363831655</v>
          </cell>
          <cell r="R134">
            <v>341.9354312917564</v>
          </cell>
        </row>
        <row r="135">
          <cell r="A135">
            <v>39218</v>
          </cell>
          <cell r="B135">
            <v>2.8000000000000003</v>
          </cell>
          <cell r="C135">
            <v>280</v>
          </cell>
          <cell r="F135">
            <v>12102.6</v>
          </cell>
          <cell r="G135">
            <v>323.72279899169075</v>
          </cell>
          <cell r="K135">
            <v>412.01850000000002</v>
          </cell>
          <cell r="O135">
            <v>39218</v>
          </cell>
          <cell r="P135">
            <v>306.93828975103099</v>
          </cell>
          <cell r="R135">
            <v>343.43592084957299</v>
          </cell>
        </row>
        <row r="136">
          <cell r="A136">
            <v>39219</v>
          </cell>
          <cell r="B136">
            <v>2.82</v>
          </cell>
          <cell r="C136">
            <v>282</v>
          </cell>
          <cell r="F136">
            <v>12143.6</v>
          </cell>
          <cell r="G136">
            <v>324.81947530576042</v>
          </cell>
          <cell r="K136">
            <v>412.01850000000002</v>
          </cell>
          <cell r="O136">
            <v>39219</v>
          </cell>
          <cell r="P136">
            <v>309.48432385150124</v>
          </cell>
          <cell r="R136">
            <v>343.92387204859841</v>
          </cell>
        </row>
        <row r="137">
          <cell r="A137">
            <v>39220</v>
          </cell>
          <cell r="B137">
            <v>2.84</v>
          </cell>
          <cell r="C137">
            <v>284</v>
          </cell>
          <cell r="F137">
            <v>12202.800000000001</v>
          </cell>
          <cell r="G137">
            <v>326.40296891046586</v>
          </cell>
          <cell r="K137">
            <v>412.01850000000002</v>
          </cell>
          <cell r="O137">
            <v>39220</v>
          </cell>
          <cell r="P137">
            <v>309.1912674197884</v>
          </cell>
          <cell r="R137">
            <v>348.51649690334278</v>
          </cell>
        </row>
        <row r="138">
          <cell r="A138">
            <v>39223</v>
          </cell>
          <cell r="B138">
            <v>2.835</v>
          </cell>
          <cell r="C138">
            <v>283.5</v>
          </cell>
          <cell r="F138">
            <v>12201.5</v>
          </cell>
          <cell r="G138">
            <v>326.36819624684904</v>
          </cell>
          <cell r="K138">
            <v>412.01850000000002</v>
          </cell>
          <cell r="O138">
            <v>39223</v>
          </cell>
          <cell r="P138">
            <v>311.14568537520807</v>
          </cell>
          <cell r="R138">
            <v>348.19029970527498</v>
          </cell>
        </row>
        <row r="139">
          <cell r="A139">
            <v>39224</v>
          </cell>
          <cell r="B139">
            <v>2.835</v>
          </cell>
          <cell r="C139">
            <v>283.5</v>
          </cell>
          <cell r="F139">
            <v>12176.300000000001</v>
          </cell>
          <cell r="G139">
            <v>325.69414153673796</v>
          </cell>
          <cell r="K139">
            <v>412.01850000000002</v>
          </cell>
          <cell r="O139">
            <v>39224</v>
          </cell>
          <cell r="P139">
            <v>308.58941734473848</v>
          </cell>
          <cell r="R139">
            <v>349.19423217322549</v>
          </cell>
        </row>
        <row r="140">
          <cell r="A140">
            <v>39225</v>
          </cell>
          <cell r="B140">
            <v>2.84</v>
          </cell>
          <cell r="C140">
            <v>284</v>
          </cell>
          <cell r="F140">
            <v>12220.2</v>
          </cell>
          <cell r="G140">
            <v>326.86838763887596</v>
          </cell>
          <cell r="K140">
            <v>412.01850000000002</v>
          </cell>
          <cell r="O140">
            <v>39225</v>
          </cell>
          <cell r="P140">
            <v>312.28240500186047</v>
          </cell>
          <cell r="R140">
            <v>350.26803135941446</v>
          </cell>
        </row>
        <row r="141">
          <cell r="A141">
            <v>39226</v>
          </cell>
          <cell r="B141">
            <v>2.83</v>
          </cell>
          <cell r="C141">
            <v>283</v>
          </cell>
          <cell r="F141">
            <v>12130.5</v>
          </cell>
          <cell r="G141">
            <v>324.46907384931376</v>
          </cell>
          <cell r="K141">
            <v>412.01850000000002</v>
          </cell>
          <cell r="O141">
            <v>39226</v>
          </cell>
          <cell r="P141">
            <v>311.44820734449183</v>
          </cell>
          <cell r="R141">
            <v>347.12201578602338</v>
          </cell>
        </row>
        <row r="142">
          <cell r="A142">
            <v>39227</v>
          </cell>
          <cell r="B142">
            <v>2.83</v>
          </cell>
          <cell r="C142">
            <v>283</v>
          </cell>
          <cell r="F142">
            <v>12057.6</v>
          </cell>
          <cell r="G142">
            <v>322.51912986649239</v>
          </cell>
          <cell r="K142">
            <v>412.01850000000002</v>
          </cell>
          <cell r="O142">
            <v>39227</v>
          </cell>
          <cell r="P142">
            <v>311.62806138684198</v>
          </cell>
          <cell r="R142">
            <v>348.40062895371045</v>
          </cell>
        </row>
        <row r="143">
          <cell r="A143">
            <v>39231</v>
          </cell>
          <cell r="B143">
            <v>2.8425000000000002</v>
          </cell>
          <cell r="C143">
            <v>284.25</v>
          </cell>
          <cell r="F143">
            <v>12106.7</v>
          </cell>
          <cell r="G143">
            <v>323.83246662309779</v>
          </cell>
          <cell r="K143">
            <v>412.01850000000002</v>
          </cell>
          <cell r="O143">
            <v>39231</v>
          </cell>
          <cell r="P143">
            <v>316.49109302360466</v>
          </cell>
          <cell r="R143">
            <v>350.10888086525307</v>
          </cell>
        </row>
        <row r="144">
          <cell r="A144">
            <v>39232</v>
          </cell>
          <cell r="B144">
            <v>2.8250000000000002</v>
          </cell>
          <cell r="C144">
            <v>282.5</v>
          </cell>
          <cell r="F144">
            <v>12023.2</v>
          </cell>
          <cell r="G144">
            <v>321.59899169078523</v>
          </cell>
          <cell r="K144">
            <v>412.01850000000002</v>
          </cell>
          <cell r="O144">
            <v>39232</v>
          </cell>
          <cell r="P144">
            <v>312.75496280237189</v>
          </cell>
          <cell r="R144">
            <v>347.39391332476987</v>
          </cell>
        </row>
        <row r="145">
          <cell r="A145">
            <v>39233</v>
          </cell>
          <cell r="B145">
            <v>2.8475000000000001</v>
          </cell>
          <cell r="C145">
            <v>284.75</v>
          </cell>
          <cell r="F145">
            <v>12111.1</v>
          </cell>
          <cell r="G145">
            <v>323.9501587153394</v>
          </cell>
          <cell r="K145">
            <v>412.32570000000004</v>
          </cell>
          <cell r="O145">
            <v>39233</v>
          </cell>
          <cell r="P145">
            <v>314.86954862548777</v>
          </cell>
          <cell r="R145">
            <v>349.14274154442745</v>
          </cell>
        </row>
        <row r="146">
          <cell r="A146">
            <v>39234</v>
          </cell>
          <cell r="B146">
            <v>2.87</v>
          </cell>
          <cell r="C146">
            <v>287</v>
          </cell>
          <cell r="F146">
            <v>12196.7</v>
          </cell>
          <cell r="G146">
            <v>326.23980487349456</v>
          </cell>
          <cell r="K146">
            <v>412.32570000000004</v>
          </cell>
          <cell r="O146">
            <v>39234</v>
          </cell>
          <cell r="P146">
            <v>315.86376262858636</v>
          </cell>
          <cell r="R146">
            <v>351.73861197375606</v>
          </cell>
        </row>
        <row r="147">
          <cell r="A147">
            <v>39237</v>
          </cell>
          <cell r="B147">
            <v>2.8475000000000001</v>
          </cell>
          <cell r="C147">
            <v>284.75</v>
          </cell>
          <cell r="F147">
            <v>12135.400000000001</v>
          </cell>
          <cell r="G147">
            <v>324.60014004294652</v>
          </cell>
          <cell r="K147">
            <v>412.32570000000004</v>
          </cell>
          <cell r="O147">
            <v>39237</v>
          </cell>
          <cell r="P147">
            <v>314.72673613862145</v>
          </cell>
          <cell r="R147">
            <v>352.60536564207803</v>
          </cell>
        </row>
        <row r="148">
          <cell r="A148">
            <v>39238</v>
          </cell>
          <cell r="B148">
            <v>2.8149999999999999</v>
          </cell>
          <cell r="C148">
            <v>281.5</v>
          </cell>
          <cell r="F148">
            <v>12066.2</v>
          </cell>
          <cell r="G148">
            <v>322.74916441041927</v>
          </cell>
          <cell r="K148">
            <v>412.32570000000004</v>
          </cell>
          <cell r="O148">
            <v>39238</v>
          </cell>
          <cell r="P148">
            <v>309.72390802378436</v>
          </cell>
          <cell r="R148">
            <v>354.48129132558591</v>
          </cell>
        </row>
        <row r="149">
          <cell r="A149">
            <v>39239</v>
          </cell>
          <cell r="B149">
            <v>2.7375000000000003</v>
          </cell>
          <cell r="C149">
            <v>273.75</v>
          </cell>
          <cell r="F149">
            <v>11782.400000000001</v>
          </cell>
          <cell r="G149">
            <v>315.15802446083467</v>
          </cell>
          <cell r="K149">
            <v>412.32570000000004</v>
          </cell>
          <cell r="O149">
            <v>39239</v>
          </cell>
          <cell r="P149">
            <v>301.88420025681205</v>
          </cell>
          <cell r="R149">
            <v>348.74417762586688</v>
          </cell>
        </row>
        <row r="150">
          <cell r="A150">
            <v>39240</v>
          </cell>
          <cell r="B150">
            <v>2.7225000000000001</v>
          </cell>
          <cell r="C150">
            <v>272.25</v>
          </cell>
          <cell r="F150">
            <v>11626.300000000001</v>
          </cell>
          <cell r="G150">
            <v>310.98263000653532</v>
          </cell>
          <cell r="K150">
            <v>412.32570000000004</v>
          </cell>
          <cell r="O150">
            <v>39240</v>
          </cell>
          <cell r="P150">
            <v>298.89221297867959</v>
          </cell>
          <cell r="R150">
            <v>344.64222339781105</v>
          </cell>
        </row>
        <row r="151">
          <cell r="A151">
            <v>39241</v>
          </cell>
          <cell r="B151">
            <v>2.6675</v>
          </cell>
          <cell r="C151">
            <v>266.75</v>
          </cell>
          <cell r="F151">
            <v>11583.6</v>
          </cell>
          <cell r="G151">
            <v>309.84048174773596</v>
          </cell>
          <cell r="K151">
            <v>412.32570000000004</v>
          </cell>
          <cell r="O151">
            <v>39241</v>
          </cell>
          <cell r="P151">
            <v>295.64056587266816</v>
          </cell>
          <cell r="R151">
            <v>341.12458926316413</v>
          </cell>
        </row>
        <row r="152">
          <cell r="A152">
            <v>39244</v>
          </cell>
          <cell r="B152">
            <v>2.7149999999999999</v>
          </cell>
          <cell r="C152">
            <v>271.5</v>
          </cell>
          <cell r="F152">
            <v>11635.5</v>
          </cell>
          <cell r="G152">
            <v>311.22871347213146</v>
          </cell>
          <cell r="K152">
            <v>412.32570000000004</v>
          </cell>
          <cell r="O152">
            <v>39244</v>
          </cell>
          <cell r="P152">
            <v>299.38093218708946</v>
          </cell>
          <cell r="R152">
            <v>344.24072057402731</v>
          </cell>
        </row>
        <row r="153">
          <cell r="A153">
            <v>39245</v>
          </cell>
          <cell r="B153">
            <v>2.6825000000000001</v>
          </cell>
          <cell r="C153">
            <v>268.25</v>
          </cell>
          <cell r="F153">
            <v>11581.5</v>
          </cell>
          <cell r="G153">
            <v>309.78431052189336</v>
          </cell>
          <cell r="K153">
            <v>412.32570000000004</v>
          </cell>
          <cell r="O153">
            <v>39245</v>
          </cell>
          <cell r="P153">
            <v>296.3885779462006</v>
          </cell>
          <cell r="R153">
            <v>346.23351274320146</v>
          </cell>
        </row>
        <row r="154">
          <cell r="A154">
            <v>39246</v>
          </cell>
          <cell r="B154">
            <v>2.72</v>
          </cell>
          <cell r="C154">
            <v>272</v>
          </cell>
          <cell r="F154">
            <v>11597.7</v>
          </cell>
          <cell r="G154">
            <v>310.21763140696481</v>
          </cell>
          <cell r="K154">
            <v>412.32570000000004</v>
          </cell>
          <cell r="O154">
            <v>39246</v>
          </cell>
          <cell r="P154">
            <v>296.68936408689729</v>
          </cell>
          <cell r="R154">
            <v>350.31831479857055</v>
          </cell>
        </row>
        <row r="155">
          <cell r="A155">
            <v>39247</v>
          </cell>
          <cell r="B155">
            <v>2.8050000000000002</v>
          </cell>
          <cell r="C155">
            <v>280.5</v>
          </cell>
          <cell r="F155">
            <v>11809.2</v>
          </cell>
          <cell r="G155">
            <v>315.87487629539726</v>
          </cell>
          <cell r="K155">
            <v>412.32570000000004</v>
          </cell>
          <cell r="O155">
            <v>39247</v>
          </cell>
          <cell r="P155">
            <v>302.80092467874641</v>
          </cell>
          <cell r="R155">
            <v>356.74997096293225</v>
          </cell>
        </row>
        <row r="156">
          <cell r="A156">
            <v>39248</v>
          </cell>
          <cell r="B156">
            <v>2.83</v>
          </cell>
          <cell r="C156">
            <v>283</v>
          </cell>
          <cell r="F156">
            <v>11999.6</v>
          </cell>
          <cell r="G156">
            <v>320.9677341051256</v>
          </cell>
          <cell r="K156">
            <v>412.32570000000004</v>
          </cell>
          <cell r="O156">
            <v>39248</v>
          </cell>
          <cell r="P156">
            <v>308.52935639588566</v>
          </cell>
          <cell r="R156">
            <v>359.55939924426627</v>
          </cell>
        </row>
        <row r="157">
          <cell r="A157">
            <v>39251</v>
          </cell>
          <cell r="B157">
            <v>2.8375000000000004</v>
          </cell>
          <cell r="C157">
            <v>283.75000000000006</v>
          </cell>
          <cell r="F157">
            <v>11947.5</v>
          </cell>
          <cell r="G157">
            <v>319.57415274017364</v>
          </cell>
          <cell r="K157">
            <v>412.32570000000004</v>
          </cell>
          <cell r="O157">
            <v>39251</v>
          </cell>
          <cell r="P157">
            <v>307.05213806207661</v>
          </cell>
          <cell r="R157">
            <v>359.97218361468572</v>
          </cell>
        </row>
        <row r="158">
          <cell r="A158">
            <v>39252</v>
          </cell>
          <cell r="B158">
            <v>2.7800000000000002</v>
          </cell>
          <cell r="C158">
            <v>278</v>
          </cell>
          <cell r="F158">
            <v>11817.2</v>
          </cell>
          <cell r="G158">
            <v>316.08886191765475</v>
          </cell>
          <cell r="K158">
            <v>412.32570000000004</v>
          </cell>
          <cell r="O158">
            <v>39252</v>
          </cell>
          <cell r="P158">
            <v>303.61100458279765</v>
          </cell>
          <cell r="R158">
            <v>358.0186854808764</v>
          </cell>
        </row>
        <row r="159">
          <cell r="A159">
            <v>39253</v>
          </cell>
          <cell r="B159">
            <v>2.7850000000000001</v>
          </cell>
          <cell r="C159">
            <v>278.5</v>
          </cell>
          <cell r="F159">
            <v>11797.5</v>
          </cell>
          <cell r="G159">
            <v>315.56192232284565</v>
          </cell>
          <cell r="K159">
            <v>412.32570000000004</v>
          </cell>
          <cell r="O159">
            <v>39253</v>
          </cell>
          <cell r="P159">
            <v>304.25470866976468</v>
          </cell>
          <cell r="R159">
            <v>358.82133250466461</v>
          </cell>
        </row>
        <row r="160">
          <cell r="A160">
            <v>39254</v>
          </cell>
          <cell r="B160">
            <v>2.7349999999999999</v>
          </cell>
          <cell r="C160">
            <v>273.5</v>
          </cell>
          <cell r="F160">
            <v>11617.1</v>
          </cell>
          <cell r="G160">
            <v>310.73654654093923</v>
          </cell>
          <cell r="K160">
            <v>412.32570000000004</v>
          </cell>
          <cell r="O160">
            <v>39254</v>
          </cell>
          <cell r="P160">
            <v>301.14594248410265</v>
          </cell>
          <cell r="R160">
            <v>355.68970216172937</v>
          </cell>
        </row>
        <row r="161">
          <cell r="A161">
            <v>39255</v>
          </cell>
          <cell r="B161">
            <v>2.71</v>
          </cell>
          <cell r="C161">
            <v>271</v>
          </cell>
          <cell r="F161">
            <v>11589.1</v>
          </cell>
          <cell r="G161">
            <v>309.98759686303805</v>
          </cell>
          <cell r="K161">
            <v>412.32570000000004</v>
          </cell>
          <cell r="O161">
            <v>39255</v>
          </cell>
          <cell r="P161">
            <v>299.41544828663797</v>
          </cell>
          <cell r="R161">
            <v>354.73627701696722</v>
          </cell>
        </row>
        <row r="162">
          <cell r="A162">
            <v>39258</v>
          </cell>
          <cell r="B162">
            <v>2.7275</v>
          </cell>
          <cell r="C162">
            <v>272.75</v>
          </cell>
          <cell r="F162">
            <v>11577.400000000001</v>
          </cell>
          <cell r="G162">
            <v>309.67464289048644</v>
          </cell>
          <cell r="K162">
            <v>412.32570000000004</v>
          </cell>
          <cell r="O162">
            <v>39258</v>
          </cell>
          <cell r="P162">
            <v>303.04496323636641</v>
          </cell>
          <cell r="R162">
            <v>353.87638839288047</v>
          </cell>
        </row>
        <row r="163">
          <cell r="A163">
            <v>39259</v>
          </cell>
          <cell r="B163">
            <v>2.71</v>
          </cell>
          <cell r="C163">
            <v>271</v>
          </cell>
          <cell r="F163">
            <v>11537.1</v>
          </cell>
          <cell r="G163">
            <v>308.59669031836427</v>
          </cell>
          <cell r="K163">
            <v>412.32570000000004</v>
          </cell>
          <cell r="O163">
            <v>39259</v>
          </cell>
          <cell r="P163">
            <v>300.73440316559925</v>
          </cell>
          <cell r="R163">
            <v>348.00257892183424</v>
          </cell>
        </row>
        <row r="164">
          <cell r="A164">
            <v>39260</v>
          </cell>
          <cell r="B164">
            <v>2.7</v>
          </cell>
          <cell r="C164">
            <v>270</v>
          </cell>
          <cell r="F164">
            <v>11391.900000000001</v>
          </cell>
          <cell r="G164">
            <v>304.71285127439086</v>
          </cell>
          <cell r="K164">
            <v>412.32570000000004</v>
          </cell>
          <cell r="O164">
            <v>39260</v>
          </cell>
          <cell r="P164">
            <v>298.16910306515928</v>
          </cell>
          <cell r="R164">
            <v>347.61033263019442</v>
          </cell>
        </row>
        <row r="165">
          <cell r="A165">
            <v>39261</v>
          </cell>
          <cell r="B165">
            <v>2.7275</v>
          </cell>
          <cell r="C165">
            <v>272.75</v>
          </cell>
          <cell r="F165">
            <v>11519.2</v>
          </cell>
          <cell r="G165">
            <v>308.11789748856319</v>
          </cell>
          <cell r="K165">
            <v>412.32570000000004</v>
          </cell>
          <cell r="O165">
            <v>39261</v>
          </cell>
          <cell r="P165">
            <v>300.67186976408351</v>
          </cell>
          <cell r="R165">
            <v>349.20832384904861</v>
          </cell>
        </row>
        <row r="166">
          <cell r="A166">
            <v>39262</v>
          </cell>
          <cell r="B166">
            <v>2.7275</v>
          </cell>
          <cell r="C166">
            <v>272.75</v>
          </cell>
          <cell r="F166">
            <v>11527.6</v>
          </cell>
          <cell r="G166">
            <v>308.34258239193355</v>
          </cell>
          <cell r="K166">
            <v>412.41630000000004</v>
          </cell>
          <cell r="O166">
            <v>39262</v>
          </cell>
          <cell r="P166">
            <v>301.62096492362156</v>
          </cell>
          <cell r="R166">
            <v>351.25221255243491</v>
          </cell>
        </row>
        <row r="167">
          <cell r="A167">
            <v>39265</v>
          </cell>
          <cell r="B167">
            <v>2.7149999999999999</v>
          </cell>
          <cell r="C167">
            <v>271.5</v>
          </cell>
          <cell r="F167">
            <v>11534.300000000001</v>
          </cell>
          <cell r="G167">
            <v>308.52179535057417</v>
          </cell>
          <cell r="K167">
            <v>412.41630000000004</v>
          </cell>
          <cell r="O167">
            <v>39265</v>
          </cell>
          <cell r="P167">
            <v>302.20042352214102</v>
          </cell>
          <cell r="R167">
            <v>350.22347790753628</v>
          </cell>
        </row>
        <row r="168">
          <cell r="A168">
            <v>39266</v>
          </cell>
          <cell r="B168">
            <v>2.74</v>
          </cell>
          <cell r="C168">
            <v>274</v>
          </cell>
          <cell r="F168">
            <v>11747.6</v>
          </cell>
          <cell r="G168">
            <v>314.22718700401458</v>
          </cell>
          <cell r="K168">
            <v>412.41630000000004</v>
          </cell>
          <cell r="O168">
            <v>39266</v>
          </cell>
          <cell r="P168">
            <v>306.70706958211787</v>
          </cell>
          <cell r="R168">
            <v>353.72150335687161</v>
          </cell>
        </row>
        <row r="169">
          <cell r="A169">
            <v>39268</v>
          </cell>
          <cell r="B169">
            <v>2.7225000000000001</v>
          </cell>
          <cell r="C169">
            <v>272.25</v>
          </cell>
          <cell r="F169">
            <v>11802.800000000001</v>
          </cell>
          <cell r="G169">
            <v>315.70368779759133</v>
          </cell>
          <cell r="K169">
            <v>412.41630000000004</v>
          </cell>
          <cell r="O169">
            <v>39268</v>
          </cell>
          <cell r="P169">
            <v>312.19708695526271</v>
          </cell>
          <cell r="R169">
            <v>353.30965933753254</v>
          </cell>
        </row>
        <row r="170">
          <cell r="A170">
            <v>39269</v>
          </cell>
          <cell r="B170">
            <v>2.7275</v>
          </cell>
          <cell r="C170">
            <v>272.75</v>
          </cell>
          <cell r="F170">
            <v>11867.300000000001</v>
          </cell>
          <cell r="G170">
            <v>317.42894687704234</v>
          </cell>
          <cell r="K170">
            <v>412.41630000000004</v>
          </cell>
          <cell r="O170">
            <v>39269</v>
          </cell>
          <cell r="P170">
            <v>312.92708934676313</v>
          </cell>
          <cell r="R170">
            <v>354.77605856675541</v>
          </cell>
        </row>
        <row r="171">
          <cell r="A171">
            <v>39272</v>
          </cell>
          <cell r="B171">
            <v>2.71</v>
          </cell>
          <cell r="C171">
            <v>271</v>
          </cell>
          <cell r="F171">
            <v>11859.6</v>
          </cell>
          <cell r="G171">
            <v>317.22298571561947</v>
          </cell>
          <cell r="K171">
            <v>412.41630000000004</v>
          </cell>
          <cell r="O171">
            <v>39272</v>
          </cell>
          <cell r="P171">
            <v>317.11893584677085</v>
          </cell>
          <cell r="R171">
            <v>358.8044782574014</v>
          </cell>
        </row>
        <row r="172">
          <cell r="A172">
            <v>39273</v>
          </cell>
          <cell r="B172">
            <v>2.6875</v>
          </cell>
          <cell r="C172">
            <v>268.75</v>
          </cell>
          <cell r="F172">
            <v>11732.1</v>
          </cell>
          <cell r="G172">
            <v>313.81258986089068</v>
          </cell>
          <cell r="K172">
            <v>412.41630000000004</v>
          </cell>
          <cell r="O172">
            <v>39273</v>
          </cell>
          <cell r="P172">
            <v>312.62598145969702</v>
          </cell>
          <cell r="R172">
            <v>355.70924602033938</v>
          </cell>
        </row>
        <row r="173">
          <cell r="A173">
            <v>39274</v>
          </cell>
          <cell r="B173">
            <v>2.6</v>
          </cell>
          <cell r="C173">
            <v>260</v>
          </cell>
          <cell r="F173">
            <v>11666.800000000001</v>
          </cell>
          <cell r="G173">
            <v>312.06593221921395</v>
          </cell>
          <cell r="K173">
            <v>412.41630000000004</v>
          </cell>
          <cell r="O173">
            <v>39274</v>
          </cell>
          <cell r="P173">
            <v>313.01167624253458</v>
          </cell>
          <cell r="R173">
            <v>353.70423644500892</v>
          </cell>
        </row>
        <row r="174">
          <cell r="A174">
            <v>39275</v>
          </cell>
          <cell r="B174">
            <v>2.6550000000000002</v>
          </cell>
          <cell r="C174">
            <v>265.5</v>
          </cell>
          <cell r="F174">
            <v>11809</v>
          </cell>
          <cell r="G174">
            <v>315.8695266548408</v>
          </cell>
          <cell r="K174">
            <v>412.41630000000004</v>
          </cell>
          <cell r="O174">
            <v>39275</v>
          </cell>
          <cell r="P174">
            <v>317.86021713972315</v>
          </cell>
          <cell r="R174">
            <v>361.74325487556536</v>
          </cell>
        </row>
        <row r="175">
          <cell r="A175">
            <v>39276</v>
          </cell>
          <cell r="B175">
            <v>2.6375000000000002</v>
          </cell>
          <cell r="C175">
            <v>263.75</v>
          </cell>
          <cell r="F175">
            <v>11922.900000000001</v>
          </cell>
          <cell r="G175">
            <v>318.91614695173189</v>
          </cell>
          <cell r="K175">
            <v>412.41630000000004</v>
          </cell>
          <cell r="O175">
            <v>39276</v>
          </cell>
          <cell r="P175">
            <v>318.67616576377532</v>
          </cell>
          <cell r="R175">
            <v>361.66693298076603</v>
          </cell>
        </row>
        <row r="176">
          <cell r="A176">
            <v>39279</v>
          </cell>
          <cell r="B176">
            <v>2.64</v>
          </cell>
          <cell r="C176">
            <v>264</v>
          </cell>
          <cell r="F176">
            <v>11917.300000000001</v>
          </cell>
          <cell r="G176">
            <v>318.76635701615169</v>
          </cell>
          <cell r="K176">
            <v>412.41630000000004</v>
          </cell>
          <cell r="O176">
            <v>39279</v>
          </cell>
          <cell r="P176">
            <v>318.01984052720229</v>
          </cell>
          <cell r="R176">
            <v>359.90151847149008</v>
          </cell>
        </row>
        <row r="177">
          <cell r="A177">
            <v>39280</v>
          </cell>
          <cell r="B177">
            <v>2.6074999999999999</v>
          </cell>
          <cell r="C177">
            <v>260.75</v>
          </cell>
          <cell r="F177">
            <v>11801</v>
          </cell>
          <cell r="G177">
            <v>315.65554103258336</v>
          </cell>
          <cell r="K177">
            <v>412.41630000000004</v>
          </cell>
          <cell r="O177">
            <v>39280</v>
          </cell>
          <cell r="P177">
            <v>316.43374296706418</v>
          </cell>
          <cell r="R177">
            <v>354.6625439503178</v>
          </cell>
        </row>
        <row r="178">
          <cell r="A178">
            <v>39281</v>
          </cell>
          <cell r="B178">
            <v>2.5874999999999999</v>
          </cell>
          <cell r="C178">
            <v>258.75</v>
          </cell>
          <cell r="F178">
            <v>11726</v>
          </cell>
          <cell r="G178">
            <v>313.64942582391933</v>
          </cell>
          <cell r="K178">
            <v>412.41630000000004</v>
          </cell>
          <cell r="O178">
            <v>39281</v>
          </cell>
          <cell r="P178">
            <v>314.94580804738843</v>
          </cell>
          <cell r="R178">
            <v>348.5992132645801</v>
          </cell>
        </row>
        <row r="179">
          <cell r="A179">
            <v>39282</v>
          </cell>
          <cell r="B179">
            <v>2.6</v>
          </cell>
          <cell r="C179">
            <v>260</v>
          </cell>
          <cell r="F179">
            <v>11880.2</v>
          </cell>
          <cell r="G179">
            <v>317.77399869293248</v>
          </cell>
          <cell r="K179">
            <v>412.41630000000004</v>
          </cell>
          <cell r="O179">
            <v>39282</v>
          </cell>
          <cell r="P179">
            <v>316.97279065488402</v>
          </cell>
          <cell r="R179">
            <v>352.97079431601639</v>
          </cell>
        </row>
        <row r="180">
          <cell r="A180">
            <v>39283</v>
          </cell>
          <cell r="B180">
            <v>2.5750000000000002</v>
          </cell>
          <cell r="C180">
            <v>257.5</v>
          </cell>
          <cell r="F180">
            <v>11819.400000000001</v>
          </cell>
          <cell r="G180">
            <v>316.14770796377559</v>
          </cell>
          <cell r="K180">
            <v>412.41630000000004</v>
          </cell>
          <cell r="O180">
            <v>39283</v>
          </cell>
          <cell r="P180">
            <v>315.64983319768896</v>
          </cell>
          <cell r="R180">
            <v>351.73409117494413</v>
          </cell>
        </row>
        <row r="181">
          <cell r="A181">
            <v>39286</v>
          </cell>
          <cell r="B181">
            <v>2.5625</v>
          </cell>
          <cell r="C181">
            <v>256.25</v>
          </cell>
          <cell r="F181">
            <v>11782.2</v>
          </cell>
          <cell r="G181">
            <v>315.15267482027821</v>
          </cell>
          <cell r="K181">
            <v>412.41630000000004</v>
          </cell>
          <cell r="O181">
            <v>39286</v>
          </cell>
          <cell r="P181">
            <v>316.25336891072527</v>
          </cell>
          <cell r="R181">
            <v>349.70721240165756</v>
          </cell>
        </row>
        <row r="182">
          <cell r="A182">
            <v>39287</v>
          </cell>
          <cell r="B182">
            <v>2.52</v>
          </cell>
          <cell r="C182">
            <v>252</v>
          </cell>
          <cell r="F182">
            <v>11584</v>
          </cell>
          <cell r="G182">
            <v>309.85118102884883</v>
          </cell>
          <cell r="K182">
            <v>412.41630000000004</v>
          </cell>
          <cell r="O182">
            <v>39287</v>
          </cell>
          <cell r="P182">
            <v>310.59312916050521</v>
          </cell>
          <cell r="R182">
            <v>345.86724999548642</v>
          </cell>
        </row>
        <row r="183">
          <cell r="A183">
            <v>39288</v>
          </cell>
          <cell r="B183">
            <v>2.4575</v>
          </cell>
          <cell r="C183">
            <v>245.75</v>
          </cell>
          <cell r="F183">
            <v>11415.900000000001</v>
          </cell>
          <cell r="G183">
            <v>305.35480814116335</v>
          </cell>
          <cell r="K183">
            <v>412.41630000000004</v>
          </cell>
          <cell r="O183">
            <v>39288</v>
          </cell>
          <cell r="P183">
            <v>308.49748066609698</v>
          </cell>
          <cell r="R183">
            <v>344.52992824356238</v>
          </cell>
        </row>
        <row r="184">
          <cell r="A184">
            <v>39289</v>
          </cell>
          <cell r="B184">
            <v>2.3650000000000002</v>
          </cell>
          <cell r="C184">
            <v>236.50000000000003</v>
          </cell>
          <cell r="F184">
            <v>11033.400000000001</v>
          </cell>
          <cell r="G184">
            <v>295.12362057697698</v>
          </cell>
          <cell r="K184">
            <v>412.41630000000004</v>
          </cell>
          <cell r="O184">
            <v>39289</v>
          </cell>
          <cell r="P184">
            <v>299.12171162109593</v>
          </cell>
          <cell r="R184">
            <v>331.0227003402839</v>
          </cell>
        </row>
        <row r="185">
          <cell r="A185">
            <v>39290</v>
          </cell>
          <cell r="B185">
            <v>2.4025000000000003</v>
          </cell>
          <cell r="C185">
            <v>240.25000000000003</v>
          </cell>
          <cell r="F185">
            <v>10984.5</v>
          </cell>
          <cell r="G185">
            <v>293.81563346092798</v>
          </cell>
          <cell r="K185">
            <v>412.41630000000004</v>
          </cell>
          <cell r="O185">
            <v>39290</v>
          </cell>
          <cell r="P185">
            <v>297.36396459893621</v>
          </cell>
          <cell r="R185">
            <v>336.20963104066584</v>
          </cell>
        </row>
        <row r="186">
          <cell r="A186">
            <v>39293</v>
          </cell>
          <cell r="B186">
            <v>2.41</v>
          </cell>
          <cell r="C186">
            <v>241</v>
          </cell>
          <cell r="F186">
            <v>11071.7</v>
          </cell>
          <cell r="G186">
            <v>296.14807674353466</v>
          </cell>
          <cell r="K186">
            <v>412.41630000000004</v>
          </cell>
          <cell r="O186">
            <v>39293</v>
          </cell>
          <cell r="P186">
            <v>297.78033922432905</v>
          </cell>
          <cell r="R186">
            <v>336.67800436085855</v>
          </cell>
        </row>
        <row r="187">
          <cell r="A187">
            <v>39294</v>
          </cell>
          <cell r="B187">
            <v>2.4649999999999999</v>
          </cell>
          <cell r="C187">
            <v>246.5</v>
          </cell>
          <cell r="F187">
            <v>11337.5</v>
          </cell>
          <cell r="G187">
            <v>303.25774904303984</v>
          </cell>
          <cell r="K187">
            <v>412.41630000000004</v>
          </cell>
          <cell r="O187">
            <v>39294</v>
          </cell>
          <cell r="P187">
            <v>307.46595204378997</v>
          </cell>
          <cell r="R187">
            <v>339.26158980641537</v>
          </cell>
        </row>
        <row r="188">
          <cell r="A188">
            <v>39295</v>
          </cell>
          <cell r="B188">
            <v>2.4075000000000002</v>
          </cell>
          <cell r="C188">
            <v>240.75000000000003</v>
          </cell>
          <cell r="F188">
            <v>11188.900000000001</v>
          </cell>
          <cell r="G188">
            <v>299.282966109607</v>
          </cell>
          <cell r="K188">
            <v>412.41630000000004</v>
          </cell>
          <cell r="O188">
            <v>39295</v>
          </cell>
          <cell r="P188">
            <v>302.97477046907136</v>
          </cell>
          <cell r="R188">
            <v>338.07360993862761</v>
          </cell>
        </row>
        <row r="189">
          <cell r="A189">
            <v>39296</v>
          </cell>
          <cell r="B189">
            <v>2.4250000000000003</v>
          </cell>
          <cell r="C189">
            <v>242.50000000000003</v>
          </cell>
          <cell r="F189">
            <v>11233</v>
          </cell>
          <cell r="G189">
            <v>300.46256185230135</v>
          </cell>
          <cell r="K189">
            <v>412.41630000000004</v>
          </cell>
          <cell r="O189">
            <v>39296</v>
          </cell>
          <cell r="P189">
            <v>307.37596065789069</v>
          </cell>
          <cell r="R189">
            <v>341.57588859708665</v>
          </cell>
        </row>
        <row r="190">
          <cell r="A190">
            <v>39297</v>
          </cell>
          <cell r="B190">
            <v>2.415</v>
          </cell>
          <cell r="C190">
            <v>241.5</v>
          </cell>
          <cell r="F190">
            <v>11185.800000000001</v>
          </cell>
          <cell r="G190">
            <v>299.20004668098215</v>
          </cell>
          <cell r="K190">
            <v>412.41630000000004</v>
          </cell>
          <cell r="O190">
            <v>39297</v>
          </cell>
          <cell r="P190">
            <v>304.70184950609428</v>
          </cell>
          <cell r="R190">
            <v>339.58125580635567</v>
          </cell>
        </row>
        <row r="191">
          <cell r="A191">
            <v>39300</v>
          </cell>
          <cell r="B191">
            <v>2.395</v>
          </cell>
          <cell r="C191">
            <v>239.5</v>
          </cell>
          <cell r="F191">
            <v>10998.800000000001</v>
          </cell>
          <cell r="G191">
            <v>294.19813276071329</v>
          </cell>
          <cell r="K191">
            <v>412.41630000000004</v>
          </cell>
          <cell r="O191">
            <v>39300</v>
          </cell>
          <cell r="P191">
            <v>300.28649279370512</v>
          </cell>
          <cell r="R191">
            <v>335.81327845229322</v>
          </cell>
        </row>
        <row r="192">
          <cell r="A192">
            <v>39301</v>
          </cell>
          <cell r="B192">
            <v>2.4300000000000002</v>
          </cell>
          <cell r="C192">
            <v>243.00000000000003</v>
          </cell>
          <cell r="F192">
            <v>11235.2</v>
          </cell>
          <cell r="G192">
            <v>300.52140789842218</v>
          </cell>
          <cell r="K192">
            <v>412.41630000000004</v>
          </cell>
          <cell r="O192">
            <v>39301</v>
          </cell>
          <cell r="P192">
            <v>302.68497711585496</v>
          </cell>
          <cell r="R192">
            <v>339.63800263506647</v>
          </cell>
        </row>
        <row r="193">
          <cell r="A193">
            <v>39302</v>
          </cell>
          <cell r="B193">
            <v>2.4425000000000003</v>
          </cell>
          <cell r="C193">
            <v>244.25000000000003</v>
          </cell>
          <cell r="F193">
            <v>11455</v>
          </cell>
          <cell r="G193">
            <v>306.40066286994676</v>
          </cell>
          <cell r="K193">
            <v>412.41630000000004</v>
          </cell>
          <cell r="O193">
            <v>39302</v>
          </cell>
          <cell r="P193">
            <v>307.3563666993187</v>
          </cell>
          <cell r="R193">
            <v>339.15699085790118</v>
          </cell>
        </row>
        <row r="194">
          <cell r="A194">
            <v>39303</v>
          </cell>
          <cell r="B194">
            <v>2.3850000000000002</v>
          </cell>
          <cell r="C194">
            <v>238.50000000000003</v>
          </cell>
          <cell r="F194">
            <v>11212.1</v>
          </cell>
          <cell r="G194">
            <v>299.90352441415365</v>
          </cell>
          <cell r="K194">
            <v>412.41630000000004</v>
          </cell>
          <cell r="O194">
            <v>39303</v>
          </cell>
          <cell r="P194">
            <v>299.62004358791586</v>
          </cell>
          <cell r="R194">
            <v>333.08458052116799</v>
          </cell>
        </row>
        <row r="195">
          <cell r="A195">
            <v>39304</v>
          </cell>
          <cell r="B195">
            <v>2.3199999999999998</v>
          </cell>
          <cell r="C195">
            <v>231.99999999999997</v>
          </cell>
          <cell r="F195">
            <v>10889.5</v>
          </cell>
          <cell r="G195">
            <v>291.27455419662027</v>
          </cell>
          <cell r="K195">
            <v>412.41630000000004</v>
          </cell>
          <cell r="O195">
            <v>39304</v>
          </cell>
          <cell r="P195">
            <v>292.89506236063505</v>
          </cell>
          <cell r="R195">
            <v>326.23269882925149</v>
          </cell>
        </row>
        <row r="196">
          <cell r="A196">
            <v>39307</v>
          </cell>
          <cell r="B196">
            <v>2.3650000000000002</v>
          </cell>
          <cell r="C196">
            <v>236.50000000000003</v>
          </cell>
          <cell r="F196">
            <v>11167.900000000001</v>
          </cell>
          <cell r="G196">
            <v>298.72125385118102</v>
          </cell>
          <cell r="K196">
            <v>412.41630000000004</v>
          </cell>
          <cell r="O196">
            <v>39307</v>
          </cell>
          <cell r="P196">
            <v>299.67769499376226</v>
          </cell>
          <cell r="R196">
            <v>334.19928225873412</v>
          </cell>
        </row>
        <row r="197">
          <cell r="A197">
            <v>39308</v>
          </cell>
          <cell r="B197">
            <v>2.3525</v>
          </cell>
          <cell r="C197">
            <v>235.25</v>
          </cell>
          <cell r="F197">
            <v>10998.6</v>
          </cell>
          <cell r="G197">
            <v>294.19278312015683</v>
          </cell>
          <cell r="K197">
            <v>412.41630000000004</v>
          </cell>
          <cell r="O197">
            <v>39308</v>
          </cell>
          <cell r="P197">
            <v>298.85049357955705</v>
          </cell>
          <cell r="R197">
            <v>331.71818454638878</v>
          </cell>
        </row>
        <row r="198">
          <cell r="A198">
            <v>39309</v>
          </cell>
          <cell r="B198">
            <v>2.3425000000000002</v>
          </cell>
          <cell r="C198">
            <v>234.25000000000003</v>
          </cell>
          <cell r="F198">
            <v>10889.400000000001</v>
          </cell>
          <cell r="G198">
            <v>291.2718793763421</v>
          </cell>
          <cell r="K198">
            <v>412.41630000000004</v>
          </cell>
          <cell r="O198">
            <v>39309</v>
          </cell>
          <cell r="P198">
            <v>294.67513553480012</v>
          </cell>
          <cell r="R198">
            <v>326.6517670723747</v>
          </cell>
        </row>
        <row r="199">
          <cell r="A199">
            <v>39310</v>
          </cell>
          <cell r="B199">
            <v>2.2200000000000002</v>
          </cell>
          <cell r="C199">
            <v>222.00000000000003</v>
          </cell>
          <cell r="F199">
            <v>10462.6</v>
          </cell>
          <cell r="G199">
            <v>279.85574642890487</v>
          </cell>
          <cell r="K199">
            <v>412.41630000000004</v>
          </cell>
          <cell r="O199">
            <v>39310</v>
          </cell>
          <cell r="P199">
            <v>280.91661998097271</v>
          </cell>
          <cell r="R199">
            <v>312.55762330667176</v>
          </cell>
        </row>
        <row r="200">
          <cell r="A200">
            <v>39311</v>
          </cell>
          <cell r="B200">
            <v>2.2650000000000001</v>
          </cell>
          <cell r="C200">
            <v>226.5</v>
          </cell>
          <cell r="F200">
            <v>10686.2</v>
          </cell>
          <cell r="G200">
            <v>285.83664457100178</v>
          </cell>
          <cell r="K200">
            <v>412.41630000000004</v>
          </cell>
          <cell r="O200">
            <v>39311</v>
          </cell>
          <cell r="P200">
            <v>284.06892991399337</v>
          </cell>
          <cell r="R200">
            <v>314.73510373569252</v>
          </cell>
        </row>
        <row r="201">
          <cell r="A201">
            <v>39314</v>
          </cell>
          <cell r="B201">
            <v>2.2749999999999999</v>
          </cell>
          <cell r="C201">
            <v>227.5</v>
          </cell>
          <cell r="F201">
            <v>10703.800000000001</v>
          </cell>
          <cell r="G201">
            <v>286.30741293996829</v>
          </cell>
          <cell r="K201">
            <v>412.41630000000004</v>
          </cell>
          <cell r="O201">
            <v>39314</v>
          </cell>
          <cell r="P201">
            <v>287.56665242758254</v>
          </cell>
          <cell r="R201">
            <v>319.73247707000024</v>
          </cell>
        </row>
        <row r="202">
          <cell r="A202">
            <v>39315</v>
          </cell>
          <cell r="B202">
            <v>2.25</v>
          </cell>
          <cell r="C202">
            <v>225</v>
          </cell>
          <cell r="F202">
            <v>10639.300000000001</v>
          </cell>
          <cell r="G202">
            <v>284.58215386051722</v>
          </cell>
          <cell r="K202">
            <v>412.41630000000004</v>
          </cell>
          <cell r="O202">
            <v>39315</v>
          </cell>
          <cell r="P202">
            <v>288.96489313166001</v>
          </cell>
          <cell r="R202">
            <v>320.27700197188472</v>
          </cell>
        </row>
        <row r="203">
          <cell r="A203">
            <v>39316</v>
          </cell>
          <cell r="B203">
            <v>2.3199999999999998</v>
          </cell>
          <cell r="C203">
            <v>231.99999999999997</v>
          </cell>
          <cell r="F203">
            <v>10910.7</v>
          </cell>
          <cell r="G203">
            <v>291.84161609560266</v>
          </cell>
          <cell r="K203">
            <v>412.41630000000004</v>
          </cell>
          <cell r="O203">
            <v>39316</v>
          </cell>
          <cell r="P203">
            <v>300.37179318624283</v>
          </cell>
          <cell r="R203">
            <v>329.81152572846685</v>
          </cell>
        </row>
        <row r="204">
          <cell r="A204">
            <v>39317</v>
          </cell>
          <cell r="B204">
            <v>2.3075000000000001</v>
          </cell>
          <cell r="C204">
            <v>230.75</v>
          </cell>
          <cell r="F204">
            <v>10945.7</v>
          </cell>
          <cell r="G204">
            <v>292.77780319297921</v>
          </cell>
          <cell r="K204">
            <v>412.41630000000004</v>
          </cell>
          <cell r="O204">
            <v>39317</v>
          </cell>
          <cell r="P204">
            <v>299.88691860831921</v>
          </cell>
          <cell r="R204">
            <v>329.10094785401509</v>
          </cell>
        </row>
        <row r="205">
          <cell r="A205">
            <v>39318</v>
          </cell>
          <cell r="B205">
            <v>2.34</v>
          </cell>
          <cell r="C205">
            <v>234</v>
          </cell>
          <cell r="F205">
            <v>10969.5</v>
          </cell>
          <cell r="G205">
            <v>293.41441041919524</v>
          </cell>
          <cell r="K205">
            <v>412.41630000000004</v>
          </cell>
          <cell r="O205">
            <v>39318</v>
          </cell>
          <cell r="P205">
            <v>299.46611081606608</v>
          </cell>
          <cell r="R205">
            <v>330.74487751544621</v>
          </cell>
        </row>
        <row r="206">
          <cell r="A206">
            <v>39321</v>
          </cell>
          <cell r="B206">
            <v>2.34</v>
          </cell>
          <cell r="C206">
            <v>234</v>
          </cell>
          <cell r="F206">
            <v>10969.5</v>
          </cell>
          <cell r="G206">
            <v>293.41441041919524</v>
          </cell>
          <cell r="K206">
            <v>412.41630000000004</v>
          </cell>
          <cell r="O206">
            <v>39321</v>
          </cell>
          <cell r="P206">
            <v>301.07387332823276</v>
          </cell>
          <cell r="R206">
            <v>331.59567027657073</v>
          </cell>
        </row>
        <row r="207">
          <cell r="A207">
            <v>39322</v>
          </cell>
          <cell r="B207">
            <v>2.29</v>
          </cell>
          <cell r="C207">
            <v>229</v>
          </cell>
          <cell r="F207">
            <v>10793.800000000001</v>
          </cell>
          <cell r="G207">
            <v>288.71475119036506</v>
          </cell>
          <cell r="K207">
            <v>412.41630000000004</v>
          </cell>
          <cell r="O207">
            <v>39322</v>
          </cell>
          <cell r="P207">
            <v>296.97446796153253</v>
          </cell>
          <cell r="R207">
            <v>327.56796019587813</v>
          </cell>
        </row>
        <row r="208">
          <cell r="A208">
            <v>39323</v>
          </cell>
          <cell r="B208">
            <v>2.3075000000000001</v>
          </cell>
          <cell r="C208">
            <v>230.75</v>
          </cell>
          <cell r="F208">
            <v>10891.900000000001</v>
          </cell>
          <cell r="G208">
            <v>291.33874988329762</v>
          </cell>
          <cell r="K208">
            <v>412.41630000000004</v>
          </cell>
          <cell r="O208">
            <v>39323</v>
          </cell>
          <cell r="P208">
            <v>299.33426248887895</v>
          </cell>
          <cell r="R208">
            <v>327.47709448315101</v>
          </cell>
        </row>
        <row r="209">
          <cell r="A209">
            <v>39324</v>
          </cell>
          <cell r="B209">
            <v>2.3675000000000002</v>
          </cell>
          <cell r="C209">
            <v>236.75000000000003</v>
          </cell>
          <cell r="F209">
            <v>11099.5</v>
          </cell>
          <cell r="G209">
            <v>296.89167678087949</v>
          </cell>
          <cell r="K209">
            <v>412.41630000000004</v>
          </cell>
          <cell r="O209">
            <v>39324</v>
          </cell>
          <cell r="P209">
            <v>304.47989195703775</v>
          </cell>
          <cell r="R209">
            <v>332.18091374615068</v>
          </cell>
        </row>
        <row r="210">
          <cell r="A210">
            <v>39325</v>
          </cell>
          <cell r="B210">
            <v>2.41</v>
          </cell>
          <cell r="C210">
            <v>241</v>
          </cell>
          <cell r="F210">
            <v>11309.2</v>
          </cell>
          <cell r="G210">
            <v>302.50077490430402</v>
          </cell>
          <cell r="K210">
            <v>412.41830000000004</v>
          </cell>
          <cell r="O210">
            <v>39325</v>
          </cell>
          <cell r="P210">
            <v>308.18588169529153</v>
          </cell>
          <cell r="R210">
            <v>335.80525097372913</v>
          </cell>
        </row>
        <row r="211">
          <cell r="A211">
            <v>39329</v>
          </cell>
          <cell r="B211">
            <v>2.5500000000000003</v>
          </cell>
          <cell r="C211">
            <v>255.00000000000003</v>
          </cell>
          <cell r="F211">
            <v>11510.800000000001</v>
          </cell>
          <cell r="G211">
            <v>307.89321258519277</v>
          </cell>
          <cell r="K211">
            <v>412.41830000000004</v>
          </cell>
          <cell r="O211">
            <v>39329</v>
          </cell>
          <cell r="P211">
            <v>312.28813127397785</v>
          </cell>
          <cell r="R211">
            <v>335.61571963218165</v>
          </cell>
        </row>
        <row r="212">
          <cell r="A212">
            <v>39330</v>
          </cell>
          <cell r="B212">
            <v>2.5</v>
          </cell>
          <cell r="C212">
            <v>250</v>
          </cell>
          <cell r="F212">
            <v>11300.7</v>
          </cell>
          <cell r="G212">
            <v>302.27341518065538</v>
          </cell>
          <cell r="K212">
            <v>412.41830000000004</v>
          </cell>
          <cell r="O212">
            <v>39330</v>
          </cell>
          <cell r="P212">
            <v>307.42388641332542</v>
          </cell>
          <cell r="R212">
            <v>327.9611344119765</v>
          </cell>
        </row>
        <row r="213">
          <cell r="A213">
            <v>39331</v>
          </cell>
          <cell r="B213">
            <v>2.5175000000000001</v>
          </cell>
          <cell r="C213">
            <v>251.75</v>
          </cell>
          <cell r="F213">
            <v>11330.800000000001</v>
          </cell>
          <cell r="G213">
            <v>303.07853608439927</v>
          </cell>
          <cell r="K213">
            <v>412.41830000000004</v>
          </cell>
          <cell r="O213">
            <v>39331</v>
          </cell>
          <cell r="P213">
            <v>310.59400081544476</v>
          </cell>
          <cell r="R213">
            <v>331.28643541929671</v>
          </cell>
        </row>
        <row r="214">
          <cell r="A214">
            <v>39332</v>
          </cell>
          <cell r="B214">
            <v>2.4550000000000001</v>
          </cell>
          <cell r="C214">
            <v>245.5</v>
          </cell>
          <cell r="F214">
            <v>11107.7</v>
          </cell>
          <cell r="G214">
            <v>297.11101204369339</v>
          </cell>
          <cell r="K214">
            <v>412.41830000000004</v>
          </cell>
          <cell r="O214">
            <v>39332</v>
          </cell>
          <cell r="P214">
            <v>302.86123466832316</v>
          </cell>
          <cell r="R214">
            <v>324.45710203647809</v>
          </cell>
        </row>
        <row r="215">
          <cell r="A215">
            <v>39335</v>
          </cell>
          <cell r="B215">
            <v>2.4649999999999999</v>
          </cell>
          <cell r="C215">
            <v>246.5</v>
          </cell>
          <cell r="F215">
            <v>10974.800000000001</v>
          </cell>
          <cell r="G215">
            <v>293.55617589394086</v>
          </cell>
          <cell r="K215">
            <v>412.41830000000004</v>
          </cell>
          <cell r="O215">
            <v>39335</v>
          </cell>
          <cell r="P215">
            <v>299.03350572249889</v>
          </cell>
          <cell r="R215">
            <v>321.58363149949713</v>
          </cell>
        </row>
        <row r="216">
          <cell r="A216">
            <v>39336</v>
          </cell>
          <cell r="B216">
            <v>2.48</v>
          </cell>
          <cell r="C216">
            <v>248</v>
          </cell>
          <cell r="F216">
            <v>11212.300000000001</v>
          </cell>
          <cell r="G216">
            <v>299.90887405471011</v>
          </cell>
          <cell r="K216">
            <v>412.41830000000004</v>
          </cell>
          <cell r="O216">
            <v>39336</v>
          </cell>
          <cell r="P216">
            <v>305.44078900039017</v>
          </cell>
          <cell r="R216">
            <v>325.49325916136564</v>
          </cell>
        </row>
        <row r="217">
          <cell r="A217">
            <v>39337</v>
          </cell>
          <cell r="B217">
            <v>2.4300000000000002</v>
          </cell>
          <cell r="C217">
            <v>243.00000000000003</v>
          </cell>
          <cell r="F217">
            <v>11219.7</v>
          </cell>
          <cell r="G217">
            <v>300.10681075529834</v>
          </cell>
          <cell r="K217">
            <v>412.41830000000004</v>
          </cell>
          <cell r="O217">
            <v>39337</v>
          </cell>
          <cell r="P217">
            <v>305.09476491938972</v>
          </cell>
          <cell r="R217">
            <v>327.23776122978109</v>
          </cell>
        </row>
        <row r="218">
          <cell r="A218">
            <v>39338</v>
          </cell>
          <cell r="B218">
            <v>2.4025000000000003</v>
          </cell>
          <cell r="C218">
            <v>240.25000000000003</v>
          </cell>
          <cell r="F218">
            <v>11172.400000000001</v>
          </cell>
          <cell r="G218">
            <v>298.84162076370092</v>
          </cell>
          <cell r="K218">
            <v>412.41830000000004</v>
          </cell>
          <cell r="O218">
            <v>39338</v>
          </cell>
          <cell r="P218">
            <v>304.52358228202667</v>
          </cell>
          <cell r="R218">
            <v>328.90941704707865</v>
          </cell>
        </row>
        <row r="219">
          <cell r="A219">
            <v>39339</v>
          </cell>
          <cell r="B219">
            <v>2.4000000000000004</v>
          </cell>
          <cell r="C219">
            <v>240.00000000000003</v>
          </cell>
          <cell r="F219">
            <v>10954</v>
          </cell>
          <cell r="G219">
            <v>292.99981327607134</v>
          </cell>
          <cell r="K219">
            <v>412.41830000000004</v>
          </cell>
          <cell r="O219">
            <v>39339</v>
          </cell>
          <cell r="P219">
            <v>301.08263162719987</v>
          </cell>
          <cell r="R219">
            <v>327.71323625037803</v>
          </cell>
        </row>
        <row r="220">
          <cell r="A220">
            <v>39342</v>
          </cell>
          <cell r="B220">
            <v>2.3675000000000002</v>
          </cell>
          <cell r="C220">
            <v>236.75000000000003</v>
          </cell>
          <cell r="F220">
            <v>10745.300000000001</v>
          </cell>
          <cell r="G220">
            <v>287.41746335542899</v>
          </cell>
          <cell r="K220">
            <v>412.41830000000004</v>
          </cell>
          <cell r="O220">
            <v>39342</v>
          </cell>
          <cell r="P220">
            <v>298.39130211727564</v>
          </cell>
          <cell r="R220">
            <v>326.13223543948203</v>
          </cell>
        </row>
        <row r="221">
          <cell r="A221">
            <v>39343</v>
          </cell>
          <cell r="B221">
            <v>2.375</v>
          </cell>
          <cell r="C221">
            <v>237.5</v>
          </cell>
          <cell r="F221">
            <v>10802.800000000001</v>
          </cell>
          <cell r="G221">
            <v>288.95548501540475</v>
          </cell>
          <cell r="K221">
            <v>412.41830000000004</v>
          </cell>
          <cell r="O221">
            <v>39343</v>
          </cell>
          <cell r="P221">
            <v>301.89529720981045</v>
          </cell>
          <cell r="R221">
            <v>333.32616528780585</v>
          </cell>
        </row>
        <row r="222">
          <cell r="A222">
            <v>39344</v>
          </cell>
          <cell r="B222">
            <v>2.4000000000000004</v>
          </cell>
          <cell r="C222">
            <v>240.00000000000003</v>
          </cell>
          <cell r="F222">
            <v>11136.300000000001</v>
          </cell>
          <cell r="G222">
            <v>297.87601064326395</v>
          </cell>
          <cell r="K222">
            <v>412.41830000000004</v>
          </cell>
          <cell r="O222">
            <v>39344</v>
          </cell>
          <cell r="P222">
            <v>306.70689126687296</v>
          </cell>
          <cell r="R222">
            <v>336.48283638311267</v>
          </cell>
        </row>
        <row r="223">
          <cell r="A223">
            <v>39345</v>
          </cell>
          <cell r="B223">
            <v>2.34</v>
          </cell>
          <cell r="C223">
            <v>234</v>
          </cell>
          <cell r="F223">
            <v>11013.800000000001</v>
          </cell>
          <cell r="G223">
            <v>294.59935580244615</v>
          </cell>
          <cell r="K223">
            <v>412.41830000000004</v>
          </cell>
          <cell r="O223">
            <v>39345</v>
          </cell>
          <cell r="P223">
            <v>300.66765998463814</v>
          </cell>
          <cell r="R223">
            <v>333.00809204462684</v>
          </cell>
        </row>
        <row r="224">
          <cell r="A224">
            <v>39346</v>
          </cell>
          <cell r="B224">
            <v>2.3225000000000002</v>
          </cell>
          <cell r="C224">
            <v>232.25000000000003</v>
          </cell>
          <cell r="F224">
            <v>11094.7</v>
          </cell>
          <cell r="G224">
            <v>296.76328540752502</v>
          </cell>
          <cell r="K224">
            <v>412.41830000000004</v>
          </cell>
          <cell r="O224">
            <v>39346</v>
          </cell>
          <cell r="P224">
            <v>299.34470064301047</v>
          </cell>
          <cell r="R224">
            <v>335.0067839095027</v>
          </cell>
        </row>
        <row r="225">
          <cell r="A225">
            <v>39349</v>
          </cell>
          <cell r="B225">
            <v>2.3225000000000002</v>
          </cell>
          <cell r="C225">
            <v>232.25000000000003</v>
          </cell>
          <cell r="F225">
            <v>11040.800000000001</v>
          </cell>
          <cell r="G225">
            <v>295.32155727756515</v>
          </cell>
          <cell r="K225">
            <v>412.41830000000004</v>
          </cell>
          <cell r="O225">
            <v>39349</v>
          </cell>
          <cell r="P225">
            <v>298.67826507679939</v>
          </cell>
          <cell r="R225">
            <v>333.91462467223232</v>
          </cell>
        </row>
        <row r="226">
          <cell r="A226">
            <v>39350</v>
          </cell>
          <cell r="B226">
            <v>2.2775000000000003</v>
          </cell>
          <cell r="C226">
            <v>227.75000000000003</v>
          </cell>
          <cell r="F226">
            <v>10853.2</v>
          </cell>
          <cell r="G226">
            <v>290.30359443562696</v>
          </cell>
          <cell r="K226">
            <v>412.41830000000004</v>
          </cell>
          <cell r="O226">
            <v>39350</v>
          </cell>
          <cell r="P226">
            <v>296.05196577801411</v>
          </cell>
          <cell r="R226">
            <v>333.60900563110368</v>
          </cell>
        </row>
        <row r="227">
          <cell r="A227">
            <v>39351</v>
          </cell>
          <cell r="B227">
            <v>2.2949999999999999</v>
          </cell>
          <cell r="C227">
            <v>229.5</v>
          </cell>
          <cell r="F227">
            <v>10889.300000000001</v>
          </cell>
          <cell r="G227">
            <v>291.26920455606387</v>
          </cell>
          <cell r="K227">
            <v>412.41830000000004</v>
          </cell>
          <cell r="O227">
            <v>39351</v>
          </cell>
          <cell r="P227">
            <v>300.73397360097272</v>
          </cell>
          <cell r="R227">
            <v>336.80352983730785</v>
          </cell>
        </row>
        <row r="228">
          <cell r="A228">
            <v>39352</v>
          </cell>
          <cell r="B228">
            <v>2.2825000000000002</v>
          </cell>
          <cell r="C228">
            <v>228.25000000000003</v>
          </cell>
          <cell r="F228">
            <v>11039.5</v>
          </cell>
          <cell r="G228">
            <v>295.28678461394827</v>
          </cell>
          <cell r="K228">
            <v>412.41830000000004</v>
          </cell>
          <cell r="O228">
            <v>39352</v>
          </cell>
          <cell r="P228">
            <v>304.15901799321796</v>
          </cell>
          <cell r="R228">
            <v>338.99190447444028</v>
          </cell>
        </row>
        <row r="229">
          <cell r="A229">
            <v>39353</v>
          </cell>
          <cell r="B229">
            <v>2.2850000000000001</v>
          </cell>
          <cell r="C229">
            <v>228.5</v>
          </cell>
          <cell r="F229">
            <v>11037.400000000001</v>
          </cell>
          <cell r="G229">
            <v>295.23061338810572</v>
          </cell>
          <cell r="K229">
            <v>412.42</v>
          </cell>
          <cell r="O229">
            <v>39353</v>
          </cell>
          <cell r="P229">
            <v>303.99331107363616</v>
          </cell>
          <cell r="R229">
            <v>336.61330949803045</v>
          </cell>
        </row>
        <row r="230">
          <cell r="A230">
            <v>39356</v>
          </cell>
          <cell r="B230">
            <v>2.2875000000000001</v>
          </cell>
          <cell r="C230">
            <v>228.75</v>
          </cell>
          <cell r="F230">
            <v>11081.5</v>
          </cell>
          <cell r="G230">
            <v>296.41020913080013</v>
          </cell>
          <cell r="K230">
            <v>412.42</v>
          </cell>
          <cell r="O230">
            <v>39356</v>
          </cell>
          <cell r="P230">
            <v>307.78978359158157</v>
          </cell>
          <cell r="R230">
            <v>338.01902461673217</v>
          </cell>
        </row>
        <row r="231">
          <cell r="A231">
            <v>39357</v>
          </cell>
          <cell r="B231">
            <v>2.3199999999999998</v>
          </cell>
          <cell r="C231">
            <v>231.99999999999997</v>
          </cell>
          <cell r="F231">
            <v>11231.400000000001</v>
          </cell>
          <cell r="G231">
            <v>300.41976472784989</v>
          </cell>
          <cell r="K231">
            <v>412.42</v>
          </cell>
          <cell r="O231">
            <v>39357</v>
          </cell>
          <cell r="P231">
            <v>308.33073608459256</v>
          </cell>
          <cell r="R231">
            <v>341.50175851797479</v>
          </cell>
        </row>
        <row r="232">
          <cell r="A232">
            <v>39358</v>
          </cell>
          <cell r="B232">
            <v>2.31</v>
          </cell>
          <cell r="C232">
            <v>231</v>
          </cell>
          <cell r="F232">
            <v>11360.2</v>
          </cell>
          <cell r="G232">
            <v>303.86493324619551</v>
          </cell>
          <cell r="K232">
            <v>412.42</v>
          </cell>
          <cell r="O232">
            <v>39358</v>
          </cell>
          <cell r="P232">
            <v>310.64231671199911</v>
          </cell>
          <cell r="R232">
            <v>345.36814090769388</v>
          </cell>
        </row>
        <row r="233">
          <cell r="A233">
            <v>39359</v>
          </cell>
          <cell r="B233">
            <v>2.3250000000000002</v>
          </cell>
          <cell r="C233">
            <v>232.50000000000003</v>
          </cell>
          <cell r="F233">
            <v>11370.5</v>
          </cell>
          <cell r="G233">
            <v>304.14043973485201</v>
          </cell>
          <cell r="K233">
            <v>412.42</v>
          </cell>
          <cell r="O233">
            <v>39359</v>
          </cell>
          <cell r="P233">
            <v>311.15086529958114</v>
          </cell>
          <cell r="R233">
            <v>345.9281104592983</v>
          </cell>
        </row>
        <row r="234">
          <cell r="A234">
            <v>39360</v>
          </cell>
          <cell r="B234">
            <v>2.3025000000000002</v>
          </cell>
          <cell r="C234">
            <v>230.25000000000003</v>
          </cell>
          <cell r="F234">
            <v>11390.400000000001</v>
          </cell>
          <cell r="G234">
            <v>304.67272897021758</v>
          </cell>
          <cell r="K234">
            <v>412.42</v>
          </cell>
          <cell r="O234">
            <v>39360</v>
          </cell>
          <cell r="P234">
            <v>309.74294915424133</v>
          </cell>
          <cell r="R234">
            <v>348.08043836304802</v>
          </cell>
        </row>
        <row r="235">
          <cell r="A235">
            <v>39363</v>
          </cell>
          <cell r="B235">
            <v>2.2949999999999999</v>
          </cell>
          <cell r="C235">
            <v>229.5</v>
          </cell>
          <cell r="F235">
            <v>11328.7</v>
          </cell>
          <cell r="G235">
            <v>303.02236485855667</v>
          </cell>
          <cell r="K235">
            <v>412.42</v>
          </cell>
          <cell r="O235">
            <v>39363</v>
          </cell>
          <cell r="P235">
            <v>308.41068878079329</v>
          </cell>
          <cell r="R235">
            <v>345.08828194915299</v>
          </cell>
        </row>
        <row r="236">
          <cell r="A236">
            <v>39364</v>
          </cell>
          <cell r="B236">
            <v>2.3149999999999999</v>
          </cell>
          <cell r="C236">
            <v>231.5</v>
          </cell>
          <cell r="F236">
            <v>11427.800000000001</v>
          </cell>
          <cell r="G236">
            <v>305.67311175427136</v>
          </cell>
          <cell r="K236">
            <v>412.42</v>
          </cell>
          <cell r="O236">
            <v>39364</v>
          </cell>
          <cell r="P236">
            <v>312.04745510509275</v>
          </cell>
          <cell r="R236">
            <v>350.36542473794822</v>
          </cell>
        </row>
        <row r="237">
          <cell r="A237">
            <v>39365</v>
          </cell>
          <cell r="B237">
            <v>2.3174999999999999</v>
          </cell>
          <cell r="C237">
            <v>231.75</v>
          </cell>
          <cell r="F237">
            <v>11512.1</v>
          </cell>
          <cell r="G237">
            <v>307.92798524880965</v>
          </cell>
          <cell r="K237">
            <v>412.42</v>
          </cell>
          <cell r="O237">
            <v>39365</v>
          </cell>
          <cell r="P237">
            <v>316.38087959851555</v>
          </cell>
          <cell r="R237">
            <v>351.08063251023549</v>
          </cell>
        </row>
        <row r="238">
          <cell r="A238">
            <v>39366</v>
          </cell>
          <cell r="B238">
            <v>2.3475000000000001</v>
          </cell>
          <cell r="C238">
            <v>234.75</v>
          </cell>
          <cell r="F238">
            <v>11622.900000000001</v>
          </cell>
          <cell r="G238">
            <v>310.89168611707589</v>
          </cell>
          <cell r="K238">
            <v>412.42</v>
          </cell>
          <cell r="O238">
            <v>39366</v>
          </cell>
          <cell r="P238">
            <v>320.68150541521499</v>
          </cell>
          <cell r="R238">
            <v>357.22262799684074</v>
          </cell>
        </row>
        <row r="239">
          <cell r="A239">
            <v>39367</v>
          </cell>
          <cell r="B239">
            <v>2.3250000000000002</v>
          </cell>
          <cell r="C239">
            <v>232.50000000000003</v>
          </cell>
          <cell r="F239">
            <v>11576.300000000001</v>
          </cell>
          <cell r="G239">
            <v>309.64521986742602</v>
          </cell>
          <cell r="K239">
            <v>412.42</v>
          </cell>
          <cell r="O239">
            <v>39367</v>
          </cell>
          <cell r="P239">
            <v>316.62455848075274</v>
          </cell>
          <cell r="R239">
            <v>356.14128139087762</v>
          </cell>
        </row>
        <row r="240">
          <cell r="A240">
            <v>39370</v>
          </cell>
          <cell r="B240">
            <v>2.2949999999999999</v>
          </cell>
          <cell r="C240">
            <v>229.5</v>
          </cell>
          <cell r="F240">
            <v>11439.900000000001</v>
          </cell>
          <cell r="G240">
            <v>305.99676500793578</v>
          </cell>
          <cell r="K240">
            <v>412.42</v>
          </cell>
          <cell r="O240">
            <v>39370</v>
          </cell>
          <cell r="P240">
            <v>315.33055505956168</v>
          </cell>
          <cell r="R240">
            <v>351.28390007196208</v>
          </cell>
        </row>
        <row r="241">
          <cell r="A241">
            <v>39371</v>
          </cell>
          <cell r="B241">
            <v>2.2925</v>
          </cell>
          <cell r="C241">
            <v>229.25</v>
          </cell>
          <cell r="F241">
            <v>11366.2</v>
          </cell>
          <cell r="G241">
            <v>304.02542246288863</v>
          </cell>
          <cell r="K241">
            <v>412.42</v>
          </cell>
          <cell r="O241">
            <v>39371</v>
          </cell>
          <cell r="P241">
            <v>313.29879211787636</v>
          </cell>
          <cell r="R241">
            <v>350.59675704411313</v>
          </cell>
        </row>
        <row r="242">
          <cell r="A242">
            <v>39372</v>
          </cell>
          <cell r="B242">
            <v>2.4000000000000004</v>
          </cell>
          <cell r="C242">
            <v>240.00000000000003</v>
          </cell>
          <cell r="F242">
            <v>11538</v>
          </cell>
          <cell r="G242">
            <v>308.62076370086828</v>
          </cell>
          <cell r="K242">
            <v>412.42</v>
          </cell>
          <cell r="O242">
            <v>39372</v>
          </cell>
          <cell r="P242">
            <v>317.31597786643619</v>
          </cell>
          <cell r="R242">
            <v>358.88926401219487</v>
          </cell>
        </row>
        <row r="243">
          <cell r="A243">
            <v>39373</v>
          </cell>
          <cell r="B243">
            <v>2.3650000000000002</v>
          </cell>
          <cell r="C243">
            <v>236.50000000000003</v>
          </cell>
          <cell r="F243">
            <v>11411.6</v>
          </cell>
          <cell r="G243">
            <v>305.23979086919991</v>
          </cell>
          <cell r="K243">
            <v>412.42</v>
          </cell>
          <cell r="O243">
            <v>39373</v>
          </cell>
          <cell r="P243">
            <v>313.58529680539931</v>
          </cell>
          <cell r="R243">
            <v>351.67065195431866</v>
          </cell>
        </row>
        <row r="244">
          <cell r="A244">
            <v>39374</v>
          </cell>
          <cell r="B244">
            <v>2.3425000000000002</v>
          </cell>
          <cell r="C244">
            <v>234.25000000000003</v>
          </cell>
          <cell r="F244">
            <v>11299.300000000001</v>
          </cell>
          <cell r="G244">
            <v>302.23596769676033</v>
          </cell>
          <cell r="K244">
            <v>412.42</v>
          </cell>
          <cell r="O244">
            <v>39374</v>
          </cell>
          <cell r="P244">
            <v>309.50340828317263</v>
          </cell>
          <cell r="R244">
            <v>347.71181679491156</v>
          </cell>
        </row>
        <row r="245">
          <cell r="A245">
            <v>39377</v>
          </cell>
          <cell r="B245">
            <v>2.2975000000000003</v>
          </cell>
          <cell r="C245">
            <v>229.75000000000003</v>
          </cell>
          <cell r="F245">
            <v>11177.900000000001</v>
          </cell>
          <cell r="G245">
            <v>298.98873587900295</v>
          </cell>
          <cell r="K245">
            <v>412.42</v>
          </cell>
          <cell r="O245">
            <v>39377</v>
          </cell>
          <cell r="P245">
            <v>304.49062206523155</v>
          </cell>
          <cell r="R245">
            <v>342.22107807119028</v>
          </cell>
        </row>
        <row r="246">
          <cell r="A246">
            <v>39378</v>
          </cell>
          <cell r="B246">
            <v>2.3525</v>
          </cell>
          <cell r="C246">
            <v>235.25</v>
          </cell>
          <cell r="F246">
            <v>11359.1</v>
          </cell>
          <cell r="G246">
            <v>303.83551022313515</v>
          </cell>
          <cell r="K246">
            <v>412.42</v>
          </cell>
          <cell r="O246">
            <v>39378</v>
          </cell>
          <cell r="P246">
            <v>309.61489804015258</v>
          </cell>
          <cell r="R246">
            <v>348.22871790665982</v>
          </cell>
        </row>
        <row r="247">
          <cell r="A247">
            <v>39379</v>
          </cell>
          <cell r="B247">
            <v>2.3374999999999999</v>
          </cell>
          <cell r="C247">
            <v>233.75</v>
          </cell>
          <cell r="F247">
            <v>11278.5</v>
          </cell>
          <cell r="G247">
            <v>301.67960507889086</v>
          </cell>
          <cell r="K247">
            <v>412.42</v>
          </cell>
          <cell r="O247">
            <v>39379</v>
          </cell>
          <cell r="P247">
            <v>306.50179369097555</v>
          </cell>
          <cell r="R247">
            <v>349.79247826626658</v>
          </cell>
        </row>
        <row r="248">
          <cell r="A248">
            <v>39380</v>
          </cell>
          <cell r="B248">
            <v>2.39</v>
          </cell>
          <cell r="C248">
            <v>239</v>
          </cell>
          <cell r="F248">
            <v>11480.5</v>
          </cell>
          <cell r="G248">
            <v>307.08274204089253</v>
          </cell>
          <cell r="K248">
            <v>412.42</v>
          </cell>
          <cell r="O248">
            <v>39380</v>
          </cell>
          <cell r="P248">
            <v>311.25427667076804</v>
          </cell>
          <cell r="R248">
            <v>354.87517969309698</v>
          </cell>
        </row>
        <row r="249">
          <cell r="A249">
            <v>39381</v>
          </cell>
          <cell r="B249">
            <v>2.3875000000000002</v>
          </cell>
          <cell r="C249">
            <v>238.75000000000003</v>
          </cell>
          <cell r="F249">
            <v>11509.6</v>
          </cell>
          <cell r="G249">
            <v>307.86111474185418</v>
          </cell>
          <cell r="K249">
            <v>412.42</v>
          </cell>
          <cell r="O249">
            <v>39381</v>
          </cell>
          <cell r="P249">
            <v>314.42553077511786</v>
          </cell>
          <cell r="R249">
            <v>352.9031151725643</v>
          </cell>
        </row>
        <row r="250">
          <cell r="A250">
            <v>39384</v>
          </cell>
          <cell r="B250">
            <v>2.4050000000000002</v>
          </cell>
          <cell r="C250">
            <v>240.50000000000003</v>
          </cell>
          <cell r="F250">
            <v>11552.800000000001</v>
          </cell>
          <cell r="G250">
            <v>309.01663710204463</v>
          </cell>
          <cell r="K250">
            <v>412.42</v>
          </cell>
          <cell r="O250">
            <v>39384</v>
          </cell>
          <cell r="P250">
            <v>313.97222190463452</v>
          </cell>
          <cell r="R250">
            <v>354.30180777010224</v>
          </cell>
        </row>
        <row r="251">
          <cell r="A251">
            <v>39385</v>
          </cell>
          <cell r="B251">
            <v>2.3625000000000003</v>
          </cell>
          <cell r="C251">
            <v>236.25000000000003</v>
          </cell>
          <cell r="F251">
            <v>11479.1</v>
          </cell>
          <cell r="G251">
            <v>307.04529455699748</v>
          </cell>
          <cell r="K251">
            <v>412.42</v>
          </cell>
          <cell r="O251">
            <v>39385</v>
          </cell>
          <cell r="P251">
            <v>313.478689988746</v>
          </cell>
          <cell r="R251">
            <v>350.67448553812204</v>
          </cell>
        </row>
        <row r="252">
          <cell r="A252">
            <v>39386</v>
          </cell>
          <cell r="B252">
            <v>2.4125000000000001</v>
          </cell>
          <cell r="C252">
            <v>241.25</v>
          </cell>
          <cell r="F252">
            <v>11666</v>
          </cell>
          <cell r="G252">
            <v>312.04453365698816</v>
          </cell>
          <cell r="K252">
            <v>412.42</v>
          </cell>
          <cell r="O252">
            <v>39386</v>
          </cell>
          <cell r="P252">
            <v>318.56989991725084</v>
          </cell>
          <cell r="R252">
            <v>351.88975112617999</v>
          </cell>
        </row>
        <row r="253">
          <cell r="A253">
            <v>39387</v>
          </cell>
          <cell r="B253">
            <v>2.415</v>
          </cell>
          <cell r="C253">
            <v>241.5</v>
          </cell>
          <cell r="F253">
            <v>11526.300000000001</v>
          </cell>
          <cell r="G253">
            <v>308.30780972831667</v>
          </cell>
          <cell r="K253">
            <v>412.42</v>
          </cell>
          <cell r="O253">
            <v>39387</v>
          </cell>
          <cell r="P253">
            <v>313.2680903575374</v>
          </cell>
          <cell r="R253">
            <v>346.19655055311972</v>
          </cell>
        </row>
        <row r="254">
          <cell r="A254">
            <v>39388</v>
          </cell>
          <cell r="B254">
            <v>2.3475000000000001</v>
          </cell>
          <cell r="C254">
            <v>234.75</v>
          </cell>
          <cell r="F254">
            <v>11442.7</v>
          </cell>
          <cell r="G254">
            <v>306.07165997572588</v>
          </cell>
          <cell r="K254">
            <v>412.42</v>
          </cell>
          <cell r="O254">
            <v>39388</v>
          </cell>
          <cell r="P254">
            <v>312.85335420337151</v>
          </cell>
          <cell r="R254">
            <v>346.4660532744179</v>
          </cell>
        </row>
        <row r="255">
          <cell r="A255">
            <v>39391</v>
          </cell>
          <cell r="B255">
            <v>2.37</v>
          </cell>
          <cell r="C255">
            <v>237</v>
          </cell>
          <cell r="F255">
            <v>11314.400000000001</v>
          </cell>
          <cell r="G255">
            <v>302.63986555877136</v>
          </cell>
          <cell r="K255">
            <v>412.42</v>
          </cell>
          <cell r="O255">
            <v>39391</v>
          </cell>
          <cell r="P255">
            <v>308.76808002011609</v>
          </cell>
          <cell r="R255">
            <v>340.47880494735057</v>
          </cell>
        </row>
        <row r="256">
          <cell r="A256">
            <v>39392</v>
          </cell>
          <cell r="B256">
            <v>2.3374999999999999</v>
          </cell>
          <cell r="C256">
            <v>233.75</v>
          </cell>
          <cell r="F256">
            <v>11334.900000000001</v>
          </cell>
          <cell r="G256">
            <v>303.1882037158062</v>
          </cell>
          <cell r="K256">
            <v>412.42</v>
          </cell>
          <cell r="O256">
            <v>39392</v>
          </cell>
          <cell r="P256">
            <v>308.9843772419502</v>
          </cell>
          <cell r="R256">
            <v>339.1131559040378</v>
          </cell>
        </row>
        <row r="257">
          <cell r="A257">
            <v>39393</v>
          </cell>
          <cell r="B257">
            <v>2.2625000000000002</v>
          </cell>
          <cell r="C257">
            <v>226.25000000000003</v>
          </cell>
          <cell r="F257">
            <v>11134.5</v>
          </cell>
          <cell r="G257">
            <v>297.82786387825604</v>
          </cell>
          <cell r="K257">
            <v>412.42</v>
          </cell>
          <cell r="O257">
            <v>39393</v>
          </cell>
          <cell r="P257">
            <v>300.90354479090496</v>
          </cell>
          <cell r="R257">
            <v>337.52695025269639</v>
          </cell>
        </row>
        <row r="258">
          <cell r="A258">
            <v>39394</v>
          </cell>
          <cell r="B258">
            <v>2.2575000000000003</v>
          </cell>
          <cell r="C258">
            <v>225.75000000000003</v>
          </cell>
          <cell r="F258">
            <v>11032</v>
          </cell>
          <cell r="G258">
            <v>295.08617309308187</v>
          </cell>
          <cell r="K258">
            <v>412.42</v>
          </cell>
          <cell r="O258">
            <v>39394</v>
          </cell>
          <cell r="P258">
            <v>297.99103925470416</v>
          </cell>
          <cell r="R258">
            <v>336.86110650861639</v>
          </cell>
        </row>
        <row r="259">
          <cell r="A259">
            <v>39395</v>
          </cell>
          <cell r="B259">
            <v>2.1750000000000003</v>
          </cell>
          <cell r="C259">
            <v>217.50000000000003</v>
          </cell>
          <cell r="F259">
            <v>10859.1</v>
          </cell>
          <cell r="G259">
            <v>290.46140883204185</v>
          </cell>
          <cell r="K259">
            <v>412.42</v>
          </cell>
          <cell r="O259">
            <v>39395</v>
          </cell>
          <cell r="P259">
            <v>298.33748497884875</v>
          </cell>
          <cell r="R259">
            <v>335.66463164390012</v>
          </cell>
        </row>
        <row r="260">
          <cell r="A260">
            <v>39398</v>
          </cell>
          <cell r="B260">
            <v>2.2050000000000001</v>
          </cell>
          <cell r="C260">
            <v>220.5</v>
          </cell>
          <cell r="F260">
            <v>10894.300000000001</v>
          </cell>
          <cell r="G260">
            <v>291.40294556997486</v>
          </cell>
          <cell r="K260">
            <v>412.42</v>
          </cell>
          <cell r="O260">
            <v>39398</v>
          </cell>
          <cell r="P260">
            <v>298.48811551906289</v>
          </cell>
          <cell r="R260">
            <v>340.01063596927236</v>
          </cell>
        </row>
        <row r="261">
          <cell r="A261">
            <v>39399</v>
          </cell>
          <cell r="B261">
            <v>2.2575000000000003</v>
          </cell>
          <cell r="C261">
            <v>225.75000000000003</v>
          </cell>
          <cell r="F261">
            <v>10920.2</v>
          </cell>
          <cell r="G261">
            <v>292.09572402203349</v>
          </cell>
          <cell r="K261">
            <v>412.42</v>
          </cell>
          <cell r="O261">
            <v>39399</v>
          </cell>
          <cell r="P261">
            <v>299.27665712591886</v>
          </cell>
          <cell r="R261">
            <v>342.58241130877821</v>
          </cell>
        </row>
        <row r="262">
          <cell r="A262">
            <v>39400</v>
          </cell>
          <cell r="B262">
            <v>2.23</v>
          </cell>
          <cell r="C262">
            <v>223</v>
          </cell>
          <cell r="F262">
            <v>11070.900000000001</v>
          </cell>
          <cell r="G262">
            <v>296.12667818130893</v>
          </cell>
          <cell r="K262">
            <v>412.42</v>
          </cell>
          <cell r="O262">
            <v>39400</v>
          </cell>
          <cell r="P262">
            <v>302.57656872425849</v>
          </cell>
          <cell r="R262">
            <v>345.56932029565309</v>
          </cell>
        </row>
        <row r="263">
          <cell r="A263">
            <v>39401</v>
          </cell>
          <cell r="B263">
            <v>2.1750000000000003</v>
          </cell>
          <cell r="C263">
            <v>217.50000000000003</v>
          </cell>
          <cell r="F263">
            <v>10901.6</v>
          </cell>
          <cell r="G263">
            <v>291.59820745028475</v>
          </cell>
          <cell r="K263">
            <v>412.42</v>
          </cell>
          <cell r="O263">
            <v>39401</v>
          </cell>
          <cell r="P263">
            <v>300.1225203914978</v>
          </cell>
          <cell r="R263">
            <v>341.44564122053521</v>
          </cell>
        </row>
        <row r="264">
          <cell r="A264">
            <v>39402</v>
          </cell>
          <cell r="B264">
            <v>2.1175000000000002</v>
          </cell>
          <cell r="C264">
            <v>211.75000000000003</v>
          </cell>
          <cell r="F264">
            <v>10766.2</v>
          </cell>
          <cell r="G264">
            <v>287.97650079357669</v>
          </cell>
          <cell r="K264">
            <v>412.42</v>
          </cell>
          <cell r="O264">
            <v>39402</v>
          </cell>
          <cell r="P264">
            <v>293.66728833699062</v>
          </cell>
          <cell r="R264">
            <v>335.68543065656957</v>
          </cell>
        </row>
        <row r="265">
          <cell r="A265">
            <v>39405</v>
          </cell>
          <cell r="B265">
            <v>2.0699999999999998</v>
          </cell>
          <cell r="C265">
            <v>206.99999999999997</v>
          </cell>
          <cell r="F265">
            <v>10404.5</v>
          </cell>
          <cell r="G265">
            <v>278.30167584725984</v>
          </cell>
          <cell r="K265">
            <v>412.42</v>
          </cell>
          <cell r="O265">
            <v>39405</v>
          </cell>
          <cell r="P265">
            <v>283.14037191820415</v>
          </cell>
          <cell r="R265">
            <v>323.96401049769867</v>
          </cell>
        </row>
        <row r="266">
          <cell r="A266">
            <v>39406</v>
          </cell>
          <cell r="B266">
            <v>2.145</v>
          </cell>
          <cell r="C266">
            <v>214.5</v>
          </cell>
          <cell r="F266">
            <v>10499.900000000001</v>
          </cell>
          <cell r="G266">
            <v>280.85345439268048</v>
          </cell>
          <cell r="K266">
            <v>412.42</v>
          </cell>
          <cell r="O266">
            <v>39406</v>
          </cell>
          <cell r="P266">
            <v>281.6278936632865</v>
          </cell>
          <cell r="R266">
            <v>329.15705914229198</v>
          </cell>
        </row>
        <row r="267">
          <cell r="A267">
            <v>39407</v>
          </cell>
          <cell r="B267">
            <v>2.0100000000000002</v>
          </cell>
          <cell r="C267">
            <v>201.00000000000003</v>
          </cell>
          <cell r="F267">
            <v>10212.900000000001</v>
          </cell>
          <cell r="G267">
            <v>273.17672019419291</v>
          </cell>
          <cell r="K267">
            <v>412.42</v>
          </cell>
          <cell r="O267">
            <v>39407</v>
          </cell>
          <cell r="P267">
            <v>271.64139260414544</v>
          </cell>
          <cell r="R267">
            <v>317.87121977841338</v>
          </cell>
        </row>
        <row r="268">
          <cell r="A268">
            <v>39409</v>
          </cell>
          <cell r="B268">
            <v>2.06</v>
          </cell>
          <cell r="C268">
            <v>206</v>
          </cell>
          <cell r="F268">
            <v>10531.2</v>
          </cell>
          <cell r="G268">
            <v>281.69067313976291</v>
          </cell>
          <cell r="K268">
            <v>412.42</v>
          </cell>
          <cell r="O268">
            <v>39409</v>
          </cell>
          <cell r="P268">
            <v>284.09742192275348</v>
          </cell>
          <cell r="R268">
            <v>327.07636275911227</v>
          </cell>
        </row>
        <row r="269">
          <cell r="A269">
            <v>39412</v>
          </cell>
          <cell r="B269">
            <v>2.0649999999999999</v>
          </cell>
          <cell r="C269">
            <v>206.5</v>
          </cell>
          <cell r="F269">
            <v>10452.900000000001</v>
          </cell>
          <cell r="G269">
            <v>279.59628886191769</v>
          </cell>
          <cell r="K269">
            <v>412.42</v>
          </cell>
          <cell r="O269">
            <v>39412</v>
          </cell>
          <cell r="P269">
            <v>278.66540103017377</v>
          </cell>
          <cell r="R269">
            <v>325.24493503470774</v>
          </cell>
        </row>
        <row r="270">
          <cell r="A270">
            <v>39413</v>
          </cell>
          <cell r="B270">
            <v>2.0150000000000001</v>
          </cell>
          <cell r="C270">
            <v>201.5</v>
          </cell>
          <cell r="F270">
            <v>10291.5</v>
          </cell>
          <cell r="G270">
            <v>275.27912893287277</v>
          </cell>
          <cell r="K270">
            <v>412.42</v>
          </cell>
          <cell r="O270">
            <v>39413</v>
          </cell>
          <cell r="P270">
            <v>273.39927998236698</v>
          </cell>
          <cell r="R270">
            <v>322.29073901534042</v>
          </cell>
        </row>
        <row r="271">
          <cell r="A271">
            <v>39414</v>
          </cell>
          <cell r="B271">
            <v>2.1175000000000002</v>
          </cell>
          <cell r="C271">
            <v>211.75000000000003</v>
          </cell>
          <cell r="F271">
            <v>10591.5</v>
          </cell>
          <cell r="G271">
            <v>283.30358976752871</v>
          </cell>
          <cell r="K271">
            <v>412.42</v>
          </cell>
          <cell r="O271">
            <v>39414</v>
          </cell>
          <cell r="P271">
            <v>280.22979778066406</v>
          </cell>
          <cell r="R271">
            <v>326.52653189438684</v>
          </cell>
        </row>
        <row r="272">
          <cell r="A272">
            <v>39415</v>
          </cell>
          <cell r="B272">
            <v>2.1425000000000001</v>
          </cell>
          <cell r="C272">
            <v>214.25</v>
          </cell>
          <cell r="F272">
            <v>10664.7</v>
          </cell>
          <cell r="G272">
            <v>285.26155821118482</v>
          </cell>
          <cell r="K272">
            <v>412.42</v>
          </cell>
          <cell r="O272">
            <v>39415</v>
          </cell>
          <cell r="P272">
            <v>280.92741734115214</v>
          </cell>
          <cell r="R272">
            <v>329.24903216420341</v>
          </cell>
        </row>
        <row r="273">
          <cell r="A273">
            <v>39416</v>
          </cell>
          <cell r="B273">
            <v>2.1850000000000001</v>
          </cell>
          <cell r="C273">
            <v>218.5</v>
          </cell>
          <cell r="F273">
            <v>10748.800000000001</v>
          </cell>
          <cell r="G273">
            <v>287.5110820651667</v>
          </cell>
          <cell r="K273">
            <v>412.42</v>
          </cell>
          <cell r="O273">
            <v>39416</v>
          </cell>
          <cell r="P273">
            <v>284.01877281988931</v>
          </cell>
          <cell r="R273">
            <v>330.04486322078975</v>
          </cell>
        </row>
        <row r="274">
          <cell r="A274">
            <v>39419</v>
          </cell>
          <cell r="B274">
            <v>2.125</v>
          </cell>
          <cell r="C274">
            <v>212.5</v>
          </cell>
          <cell r="F274">
            <v>10560</v>
          </cell>
          <cell r="G274">
            <v>282.46102137988981</v>
          </cell>
          <cell r="K274">
            <v>412.42</v>
          </cell>
          <cell r="O274">
            <v>39419</v>
          </cell>
          <cell r="P274">
            <v>280.21942215802517</v>
          </cell>
          <cell r="R274">
            <v>325.03787408648799</v>
          </cell>
        </row>
        <row r="275">
          <cell r="A275">
            <v>39420</v>
          </cell>
          <cell r="B275">
            <v>2.02</v>
          </cell>
          <cell r="C275">
            <v>202</v>
          </cell>
          <cell r="F275">
            <v>10268.900000000001</v>
          </cell>
          <cell r="G275">
            <v>274.67461954999538</v>
          </cell>
          <cell r="K275">
            <v>412.42</v>
          </cell>
          <cell r="O275">
            <v>39420</v>
          </cell>
          <cell r="P275">
            <v>271.5843227144336</v>
          </cell>
          <cell r="R275">
            <v>320.07898742587093</v>
          </cell>
        </row>
        <row r="276">
          <cell r="A276">
            <v>39421</v>
          </cell>
          <cell r="B276">
            <v>2.0625</v>
          </cell>
          <cell r="C276">
            <v>206.25</v>
          </cell>
          <cell r="F276">
            <v>10511.5</v>
          </cell>
          <cell r="G276">
            <v>281.1637335449538</v>
          </cell>
          <cell r="K276">
            <v>412.42</v>
          </cell>
          <cell r="O276">
            <v>39421</v>
          </cell>
          <cell r="P276">
            <v>277.41385979056219</v>
          </cell>
          <cell r="R276">
            <v>324.50140245974194</v>
          </cell>
        </row>
        <row r="277">
          <cell r="A277">
            <v>39422</v>
          </cell>
          <cell r="B277">
            <v>2.0674999999999999</v>
          </cell>
          <cell r="C277">
            <v>206.75</v>
          </cell>
          <cell r="F277">
            <v>10495.800000000001</v>
          </cell>
          <cell r="G277">
            <v>280.7437867612735</v>
          </cell>
          <cell r="K277">
            <v>412.42</v>
          </cell>
          <cell r="O277">
            <v>39422</v>
          </cell>
          <cell r="P277">
            <v>277.18739007426103</v>
          </cell>
          <cell r="R277">
            <v>325.08163372966936</v>
          </cell>
        </row>
        <row r="278">
          <cell r="A278">
            <v>39423</v>
          </cell>
          <cell r="B278">
            <v>2.0625</v>
          </cell>
          <cell r="C278">
            <v>206.25</v>
          </cell>
          <cell r="F278">
            <v>10632.900000000001</v>
          </cell>
          <cell r="G278">
            <v>284.41096536271124</v>
          </cell>
          <cell r="K278">
            <v>412.42</v>
          </cell>
          <cell r="O278">
            <v>39423</v>
          </cell>
          <cell r="P278">
            <v>279.68875586920217</v>
          </cell>
          <cell r="R278">
            <v>329.79312025953539</v>
          </cell>
        </row>
        <row r="279">
          <cell r="A279">
            <v>39426</v>
          </cell>
          <cell r="B279">
            <v>2.0550000000000002</v>
          </cell>
          <cell r="C279">
            <v>205.50000000000003</v>
          </cell>
          <cell r="F279">
            <v>10630.300000000001</v>
          </cell>
          <cell r="G279">
            <v>284.3414200354776</v>
          </cell>
          <cell r="K279">
            <v>412.42</v>
          </cell>
          <cell r="O279">
            <v>39426</v>
          </cell>
          <cell r="P279">
            <v>276.70111563055417</v>
          </cell>
          <cell r="R279">
            <v>330.87351301746082</v>
          </cell>
        </row>
        <row r="280">
          <cell r="A280">
            <v>39427</v>
          </cell>
          <cell r="B280">
            <v>2.0375000000000001</v>
          </cell>
          <cell r="C280">
            <v>203.75</v>
          </cell>
          <cell r="F280">
            <v>10647.900000000001</v>
          </cell>
          <cell r="G280">
            <v>284.81218840444404</v>
          </cell>
          <cell r="K280">
            <v>412.42</v>
          </cell>
          <cell r="O280">
            <v>39427</v>
          </cell>
          <cell r="P280">
            <v>278.71453875170158</v>
          </cell>
          <cell r="R280">
            <v>331.96978646515873</v>
          </cell>
        </row>
        <row r="281">
          <cell r="A281">
            <v>39428</v>
          </cell>
          <cell r="B281">
            <v>2.0225</v>
          </cell>
          <cell r="C281">
            <v>202.25</v>
          </cell>
          <cell r="F281">
            <v>10643</v>
          </cell>
          <cell r="G281">
            <v>284.68112221081134</v>
          </cell>
          <cell r="K281">
            <v>412.42</v>
          </cell>
          <cell r="O281">
            <v>39428</v>
          </cell>
          <cell r="P281">
            <v>279.90368039768526</v>
          </cell>
          <cell r="R281">
            <v>331.6780465249912</v>
          </cell>
        </row>
        <row r="282">
          <cell r="A282">
            <v>39429</v>
          </cell>
          <cell r="B282">
            <v>1.9475</v>
          </cell>
          <cell r="C282">
            <v>194.75</v>
          </cell>
          <cell r="F282">
            <v>10334.700000000001</v>
          </cell>
          <cell r="G282">
            <v>276.43465129306321</v>
          </cell>
          <cell r="K282">
            <v>412.42</v>
          </cell>
          <cell r="O282">
            <v>39429</v>
          </cell>
          <cell r="P282">
            <v>273.95697057069839</v>
          </cell>
          <cell r="R282">
            <v>324.98606868237238</v>
          </cell>
        </row>
        <row r="283">
          <cell r="A283">
            <v>39430</v>
          </cell>
          <cell r="B283">
            <v>1.97</v>
          </cell>
          <cell r="C283">
            <v>197</v>
          </cell>
          <cell r="F283">
            <v>10413.6</v>
          </cell>
          <cell r="G283">
            <v>278.54508449257776</v>
          </cell>
          <cell r="K283">
            <v>412.42</v>
          </cell>
          <cell r="O283">
            <v>39430</v>
          </cell>
          <cell r="P283">
            <v>273.88648244214437</v>
          </cell>
          <cell r="R283">
            <v>326.40489209801621</v>
          </cell>
        </row>
        <row r="284">
          <cell r="A284">
            <v>39433</v>
          </cell>
          <cell r="B284">
            <v>1.95</v>
          </cell>
          <cell r="C284">
            <v>195</v>
          </cell>
          <cell r="F284">
            <v>10140.400000000001</v>
          </cell>
          <cell r="G284">
            <v>271.23747549248441</v>
          </cell>
          <cell r="K284">
            <v>412.42</v>
          </cell>
          <cell r="O284">
            <v>39433</v>
          </cell>
          <cell r="P284">
            <v>266.1391049927206</v>
          </cell>
          <cell r="R284">
            <v>321.04536019573453</v>
          </cell>
        </row>
        <row r="285">
          <cell r="A285">
            <v>39434</v>
          </cell>
          <cell r="B285">
            <v>1.95</v>
          </cell>
          <cell r="C285">
            <v>195</v>
          </cell>
          <cell r="F285">
            <v>10187.200000000001</v>
          </cell>
          <cell r="G285">
            <v>272.48929138269074</v>
          </cell>
          <cell r="K285">
            <v>412.42</v>
          </cell>
          <cell r="O285">
            <v>39434</v>
          </cell>
          <cell r="P285">
            <v>266.42661009445567</v>
          </cell>
          <cell r="R285">
            <v>323.95138775518001</v>
          </cell>
        </row>
        <row r="286">
          <cell r="A286">
            <v>39435</v>
          </cell>
          <cell r="B286">
            <v>1.95</v>
          </cell>
          <cell r="C286">
            <v>195</v>
          </cell>
          <cell r="F286">
            <v>10231.900000000001</v>
          </cell>
          <cell r="G286">
            <v>273.68493604705446</v>
          </cell>
          <cell r="K286">
            <v>412.42</v>
          </cell>
          <cell r="O286">
            <v>39435</v>
          </cell>
          <cell r="P286">
            <v>265.88334729949185</v>
          </cell>
          <cell r="R286">
            <v>323.89084646484525</v>
          </cell>
        </row>
        <row r="287">
          <cell r="A287">
            <v>39436</v>
          </cell>
          <cell r="B287">
            <v>1.9975000000000001</v>
          </cell>
          <cell r="C287">
            <v>199.75</v>
          </cell>
          <cell r="F287">
            <v>10397.200000000001</v>
          </cell>
          <cell r="G287">
            <v>278.1064139669499</v>
          </cell>
          <cell r="K287">
            <v>412.42</v>
          </cell>
          <cell r="O287">
            <v>39436</v>
          </cell>
          <cell r="P287">
            <v>271.87959588558078</v>
          </cell>
          <cell r="R287">
            <v>329.01196867816117</v>
          </cell>
        </row>
        <row r="288">
          <cell r="A288">
            <v>39437</v>
          </cell>
          <cell r="B288">
            <v>1.99</v>
          </cell>
          <cell r="C288">
            <v>199</v>
          </cell>
          <cell r="F288">
            <v>10531.6</v>
          </cell>
          <cell r="G288">
            <v>281.70137242087577</v>
          </cell>
          <cell r="K288">
            <v>412.42</v>
          </cell>
          <cell r="O288">
            <v>39437</v>
          </cell>
          <cell r="P288">
            <v>277.74539873174086</v>
          </cell>
          <cell r="R288">
            <v>337.44107551007119</v>
          </cell>
        </row>
        <row r="289">
          <cell r="A289">
            <v>39440</v>
          </cell>
          <cell r="B289">
            <v>2.0100000000000002</v>
          </cell>
          <cell r="C289">
            <v>201.00000000000003</v>
          </cell>
          <cell r="F289">
            <v>10586.7</v>
          </cell>
          <cell r="G289">
            <v>283.17519839417423</v>
          </cell>
          <cell r="K289">
            <v>412.42</v>
          </cell>
          <cell r="O289">
            <v>39440</v>
          </cell>
          <cell r="P289">
            <v>279.9924132695333</v>
          </cell>
          <cell r="R289">
            <v>338.82419488536249</v>
          </cell>
        </row>
        <row r="290">
          <cell r="A290">
            <v>39442</v>
          </cell>
          <cell r="B290">
            <v>2.0100000000000002</v>
          </cell>
          <cell r="C290">
            <v>201.00000000000003</v>
          </cell>
          <cell r="F290">
            <v>10586.7</v>
          </cell>
          <cell r="G290">
            <v>283.17519839417423</v>
          </cell>
          <cell r="K290">
            <v>412.42</v>
          </cell>
          <cell r="O290">
            <v>39442</v>
          </cell>
          <cell r="P290">
            <v>280.60999213954972</v>
          </cell>
          <cell r="R290">
            <v>339.31352517611754</v>
          </cell>
        </row>
        <row r="291">
          <cell r="A291">
            <v>39443</v>
          </cell>
          <cell r="B291">
            <v>2.0325000000000002</v>
          </cell>
          <cell r="C291">
            <v>203.25000000000003</v>
          </cell>
          <cell r="F291">
            <v>10608.300000000001</v>
          </cell>
          <cell r="G291">
            <v>283.75295957426948</v>
          </cell>
          <cell r="K291">
            <v>412.42</v>
          </cell>
          <cell r="O291">
            <v>39443</v>
          </cell>
          <cell r="P291">
            <v>277.69657782357865</v>
          </cell>
          <cell r="R291">
            <v>341.07657534037514</v>
          </cell>
        </row>
        <row r="292">
          <cell r="A292">
            <v>39444</v>
          </cell>
          <cell r="B292">
            <v>2.0699999999999998</v>
          </cell>
          <cell r="C292">
            <v>206.99999999999997</v>
          </cell>
          <cell r="F292">
            <v>10650.300000000001</v>
          </cell>
          <cell r="G292">
            <v>284.87638409112128</v>
          </cell>
          <cell r="K292">
            <v>412.42</v>
          </cell>
          <cell r="O292">
            <v>39444</v>
          </cell>
          <cell r="P292">
            <v>280.81453650251018</v>
          </cell>
          <cell r="R292">
            <v>343.15637239315595</v>
          </cell>
        </row>
        <row r="293">
          <cell r="A293">
            <v>39447</v>
          </cell>
          <cell r="B293">
            <v>2.0525000000000002</v>
          </cell>
          <cell r="C293">
            <v>205.25000000000003</v>
          </cell>
          <cell r="F293">
            <v>10657.800000000001</v>
          </cell>
          <cell r="G293">
            <v>285.07699561198768</v>
          </cell>
          <cell r="K293">
            <v>412.42</v>
          </cell>
          <cell r="O293">
            <v>39447</v>
          </cell>
          <cell r="P293">
            <v>279.91734824061734</v>
          </cell>
          <cell r="R293">
            <v>345.7107809540725</v>
          </cell>
        </row>
        <row r="294">
          <cell r="A294">
            <v>39449</v>
          </cell>
          <cell r="B294">
            <v>2.0550000000000002</v>
          </cell>
          <cell r="C294">
            <v>205.50000000000003</v>
          </cell>
          <cell r="F294">
            <v>10650.7</v>
          </cell>
          <cell r="G294">
            <v>284.88708337223414</v>
          </cell>
          <cell r="K294">
            <v>412.42</v>
          </cell>
          <cell r="O294">
            <v>39449</v>
          </cell>
          <cell r="P294">
            <v>280.32666151900276</v>
          </cell>
          <cell r="R294">
            <v>344.63086247310218</v>
          </cell>
        </row>
        <row r="295">
          <cell r="A295">
            <v>39450</v>
          </cell>
          <cell r="B295">
            <v>2.0350000000000001</v>
          </cell>
          <cell r="C295">
            <v>203.5</v>
          </cell>
          <cell r="F295">
            <v>10540.900000000001</v>
          </cell>
          <cell r="G295">
            <v>281.95013070675009</v>
          </cell>
          <cell r="K295">
            <v>412.42</v>
          </cell>
          <cell r="O295">
            <v>39450</v>
          </cell>
          <cell r="P295">
            <v>274.81166323610955</v>
          </cell>
          <cell r="R295">
            <v>342.41452156544335</v>
          </cell>
        </row>
        <row r="296">
          <cell r="A296">
            <v>39451</v>
          </cell>
          <cell r="B296">
            <v>1.9925000000000002</v>
          </cell>
          <cell r="C296">
            <v>199.25000000000003</v>
          </cell>
          <cell r="F296">
            <v>10265.300000000001</v>
          </cell>
          <cell r="G296">
            <v>274.5783260199795</v>
          </cell>
          <cell r="K296">
            <v>412.42</v>
          </cell>
          <cell r="O296">
            <v>39451</v>
          </cell>
          <cell r="P296">
            <v>267.60644931217729</v>
          </cell>
          <cell r="R296">
            <v>337.17819049221521</v>
          </cell>
        </row>
        <row r="297">
          <cell r="A297">
            <v>39454</v>
          </cell>
          <cell r="B297">
            <v>1.9100000000000001</v>
          </cell>
          <cell r="C297">
            <v>191</v>
          </cell>
          <cell r="F297">
            <v>10093.1</v>
          </cell>
          <cell r="G297">
            <v>269.97228550088698</v>
          </cell>
          <cell r="K297">
            <v>412.42</v>
          </cell>
          <cell r="O297">
            <v>39454</v>
          </cell>
          <cell r="P297">
            <v>259.74767409351801</v>
          </cell>
          <cell r="R297">
            <v>327.27783877586359</v>
          </cell>
        </row>
        <row r="298">
          <cell r="A298">
            <v>39455</v>
          </cell>
          <cell r="B298">
            <v>1.905</v>
          </cell>
          <cell r="C298">
            <v>190.5</v>
          </cell>
          <cell r="F298">
            <v>10161.6</v>
          </cell>
          <cell r="G298">
            <v>271.80453739146674</v>
          </cell>
          <cell r="K298">
            <v>412.42</v>
          </cell>
          <cell r="O298">
            <v>39455</v>
          </cell>
          <cell r="P298">
            <v>255.29402958500734</v>
          </cell>
          <cell r="R298">
            <v>328.01016728331626</v>
          </cell>
        </row>
        <row r="299">
          <cell r="A299">
            <v>39456</v>
          </cell>
          <cell r="B299">
            <v>1.8900000000000001</v>
          </cell>
          <cell r="C299">
            <v>189</v>
          </cell>
          <cell r="F299">
            <v>9964</v>
          </cell>
          <cell r="G299">
            <v>266.51909252170668</v>
          </cell>
          <cell r="K299">
            <v>412.42</v>
          </cell>
          <cell r="O299">
            <v>39456</v>
          </cell>
          <cell r="P299">
            <v>248.55126319808002</v>
          </cell>
          <cell r="R299">
            <v>325.88291843052434</v>
          </cell>
        </row>
        <row r="300">
          <cell r="A300">
            <v>39457</v>
          </cell>
          <cell r="B300">
            <v>1.8775000000000002</v>
          </cell>
          <cell r="C300">
            <v>187.75000000000003</v>
          </cell>
          <cell r="F300">
            <v>9800.6</v>
          </cell>
          <cell r="G300">
            <v>262.14843618709739</v>
          </cell>
          <cell r="K300">
            <v>412.42</v>
          </cell>
          <cell r="O300">
            <v>39457</v>
          </cell>
          <cell r="P300">
            <v>247.9233114719361</v>
          </cell>
          <cell r="R300">
            <v>323.42849087219139</v>
          </cell>
        </row>
        <row r="301">
          <cell r="A301">
            <v>39458</v>
          </cell>
          <cell r="B301">
            <v>1.915</v>
          </cell>
          <cell r="C301">
            <v>191.5</v>
          </cell>
          <cell r="F301">
            <v>9829.8000000000011</v>
          </cell>
          <cell r="G301">
            <v>262.92948370833727</v>
          </cell>
          <cell r="K301">
            <v>412.42</v>
          </cell>
          <cell r="O301">
            <v>39458</v>
          </cell>
          <cell r="P301">
            <v>249.90576258619032</v>
          </cell>
          <cell r="R301">
            <v>320.95457412311595</v>
          </cell>
        </row>
        <row r="302">
          <cell r="A302">
            <v>39461</v>
          </cell>
          <cell r="B302">
            <v>1.9225000000000001</v>
          </cell>
          <cell r="C302">
            <v>192.25</v>
          </cell>
          <cell r="F302">
            <v>10031.6</v>
          </cell>
          <cell r="G302">
            <v>268.32727102978248</v>
          </cell>
          <cell r="K302">
            <v>412.42</v>
          </cell>
          <cell r="O302">
            <v>39461</v>
          </cell>
          <cell r="P302">
            <v>253.82455386833774</v>
          </cell>
          <cell r="R302">
            <v>324.28332938604234</v>
          </cell>
        </row>
        <row r="303">
          <cell r="A303">
            <v>39462</v>
          </cell>
          <cell r="B303">
            <v>1.8525</v>
          </cell>
          <cell r="C303">
            <v>185.25</v>
          </cell>
          <cell r="F303">
            <v>9765.8000000000011</v>
          </cell>
          <cell r="G303">
            <v>261.2175987302773</v>
          </cell>
          <cell r="K303">
            <v>412.42</v>
          </cell>
          <cell r="O303">
            <v>39462</v>
          </cell>
          <cell r="P303">
            <v>244.89536675642859</v>
          </cell>
          <cell r="R303">
            <v>316.86999005426702</v>
          </cell>
        </row>
        <row r="304">
          <cell r="A304">
            <v>39463</v>
          </cell>
          <cell r="B304">
            <v>1.82</v>
          </cell>
          <cell r="C304">
            <v>182</v>
          </cell>
          <cell r="F304">
            <v>9626.9</v>
          </cell>
          <cell r="G304">
            <v>257.50227336383153</v>
          </cell>
          <cell r="K304">
            <v>412.42</v>
          </cell>
          <cell r="O304">
            <v>39463</v>
          </cell>
          <cell r="P304">
            <v>240.8372740336157</v>
          </cell>
          <cell r="R304">
            <v>308.73319514257167</v>
          </cell>
        </row>
        <row r="305">
          <cell r="A305">
            <v>39464</v>
          </cell>
          <cell r="B305">
            <v>1.7450000000000001</v>
          </cell>
          <cell r="C305">
            <v>174.5</v>
          </cell>
          <cell r="F305">
            <v>9662.6</v>
          </cell>
          <cell r="G305">
            <v>258.45718420315563</v>
          </cell>
          <cell r="K305">
            <v>412.42</v>
          </cell>
          <cell r="O305">
            <v>39464</v>
          </cell>
          <cell r="P305">
            <v>242.14118560762878</v>
          </cell>
          <cell r="R305">
            <v>305.41121877294376</v>
          </cell>
        </row>
        <row r="306">
          <cell r="A306">
            <v>39465</v>
          </cell>
          <cell r="B306">
            <v>1.7575000000000001</v>
          </cell>
          <cell r="C306">
            <v>175.75</v>
          </cell>
          <cell r="F306">
            <v>9680.1</v>
          </cell>
          <cell r="G306">
            <v>258.92527775184391</v>
          </cell>
          <cell r="K306">
            <v>412.42</v>
          </cell>
          <cell r="O306">
            <v>39465</v>
          </cell>
          <cell r="P306">
            <v>243.62805181381182</v>
          </cell>
          <cell r="R306">
            <v>301.2641664431244</v>
          </cell>
        </row>
        <row r="307">
          <cell r="A307">
            <v>39469</v>
          </cell>
          <cell r="B307">
            <v>1.7525000000000002</v>
          </cell>
          <cell r="C307">
            <v>175.25000000000003</v>
          </cell>
          <cell r="F307">
            <v>9612.8000000000011</v>
          </cell>
          <cell r="G307">
            <v>257.1251237046028</v>
          </cell>
          <cell r="K307">
            <v>412.42</v>
          </cell>
          <cell r="O307">
            <v>39469</v>
          </cell>
          <cell r="P307">
            <v>246.23512468806229</v>
          </cell>
          <cell r="R307">
            <v>295.76498546660542</v>
          </cell>
        </row>
        <row r="308">
          <cell r="A308">
            <v>39470</v>
          </cell>
          <cell r="B308">
            <v>1.7375</v>
          </cell>
          <cell r="C308">
            <v>173.75</v>
          </cell>
          <cell r="F308">
            <v>9493.7000000000007</v>
          </cell>
          <cell r="G308">
            <v>253.93941275324434</v>
          </cell>
          <cell r="K308">
            <v>412.42</v>
          </cell>
          <cell r="O308">
            <v>39470</v>
          </cell>
          <cell r="P308">
            <v>244.37692165374881</v>
          </cell>
          <cell r="R308">
            <v>289.81773500860879</v>
          </cell>
        </row>
        <row r="309">
          <cell r="A309">
            <v>39471</v>
          </cell>
          <cell r="B309">
            <v>1.7625000000000002</v>
          </cell>
          <cell r="C309">
            <v>176.25000000000003</v>
          </cell>
          <cell r="F309">
            <v>9856.3000000000011</v>
          </cell>
          <cell r="G309">
            <v>263.63831108206517</v>
          </cell>
          <cell r="K309">
            <v>412.42</v>
          </cell>
          <cell r="O309">
            <v>39471</v>
          </cell>
          <cell r="P309">
            <v>250.82556782923621</v>
          </cell>
          <cell r="R309">
            <v>295.1648342742659</v>
          </cell>
        </row>
        <row r="310">
          <cell r="A310">
            <v>39472</v>
          </cell>
          <cell r="B310">
            <v>1.7475000000000001</v>
          </cell>
          <cell r="C310">
            <v>174.75</v>
          </cell>
          <cell r="F310">
            <v>9738.5</v>
          </cell>
          <cell r="G310">
            <v>260.48737279432356</v>
          </cell>
          <cell r="K310">
            <v>412.42</v>
          </cell>
          <cell r="O310">
            <v>39472</v>
          </cell>
          <cell r="P310">
            <v>248.78332359616391</v>
          </cell>
          <cell r="R310">
            <v>299.32937996656398</v>
          </cell>
        </row>
        <row r="311">
          <cell r="A311">
            <v>39475</v>
          </cell>
          <cell r="B311">
            <v>1.75</v>
          </cell>
          <cell r="C311">
            <v>175</v>
          </cell>
          <cell r="F311">
            <v>9640.5</v>
          </cell>
          <cell r="G311">
            <v>257.86604892166929</v>
          </cell>
          <cell r="K311">
            <v>412.42</v>
          </cell>
          <cell r="O311">
            <v>39475</v>
          </cell>
          <cell r="P311">
            <v>245.53375345428361</v>
          </cell>
          <cell r="R311">
            <v>297.30911980564633</v>
          </cell>
        </row>
        <row r="312">
          <cell r="A312">
            <v>39476</v>
          </cell>
          <cell r="B312">
            <v>1.835</v>
          </cell>
          <cell r="C312">
            <v>183.5</v>
          </cell>
          <cell r="F312">
            <v>9905.4000000000015</v>
          </cell>
          <cell r="G312">
            <v>264.95164783867057</v>
          </cell>
          <cell r="K312">
            <v>412.42</v>
          </cell>
          <cell r="O312">
            <v>39476</v>
          </cell>
          <cell r="P312">
            <v>254.29127006506039</v>
          </cell>
          <cell r="R312">
            <v>309.2238757440175</v>
          </cell>
        </row>
        <row r="313">
          <cell r="A313">
            <v>39477</v>
          </cell>
          <cell r="B313">
            <v>1.865</v>
          </cell>
          <cell r="C313">
            <v>186.5</v>
          </cell>
          <cell r="F313">
            <v>9908.5</v>
          </cell>
          <cell r="G313">
            <v>265.0345672672953</v>
          </cell>
          <cell r="K313">
            <v>412.42</v>
          </cell>
          <cell r="O313">
            <v>39477</v>
          </cell>
          <cell r="P313">
            <v>253.96345164604827</v>
          </cell>
          <cell r="R313">
            <v>307.99474196023579</v>
          </cell>
        </row>
        <row r="314">
          <cell r="A314">
            <v>39478</v>
          </cell>
          <cell r="B314">
            <v>1.855</v>
          </cell>
          <cell r="C314">
            <v>185.5</v>
          </cell>
          <cell r="F314">
            <v>9881.8000000000011</v>
          </cell>
          <cell r="G314">
            <v>264.32039025301094</v>
          </cell>
          <cell r="K314">
            <v>412.42</v>
          </cell>
          <cell r="O314">
            <v>39478</v>
          </cell>
          <cell r="P314">
            <v>252.08955881335029</v>
          </cell>
          <cell r="R314">
            <v>304.91475578141058</v>
          </cell>
        </row>
        <row r="315">
          <cell r="A315">
            <v>39479</v>
          </cell>
          <cell r="B315">
            <v>1.8800000000000001</v>
          </cell>
          <cell r="C315">
            <v>188</v>
          </cell>
          <cell r="F315">
            <v>10186.6</v>
          </cell>
          <cell r="G315">
            <v>272.47324246102141</v>
          </cell>
          <cell r="K315">
            <v>412.42</v>
          </cell>
          <cell r="O315">
            <v>39479</v>
          </cell>
          <cell r="P315">
            <v>257.61601510167554</v>
          </cell>
          <cell r="R315">
            <v>317.00523003808001</v>
          </cell>
        </row>
        <row r="316">
          <cell r="A316">
            <v>39482</v>
          </cell>
          <cell r="B316">
            <v>1.8725000000000001</v>
          </cell>
          <cell r="C316">
            <v>187.25</v>
          </cell>
          <cell r="F316">
            <v>10262.1</v>
          </cell>
          <cell r="G316">
            <v>274.49273177107648</v>
          </cell>
          <cell r="K316">
            <v>412.42</v>
          </cell>
          <cell r="O316">
            <v>39482</v>
          </cell>
          <cell r="P316">
            <v>259.81655565833233</v>
          </cell>
          <cell r="R316">
            <v>316.9229378372666</v>
          </cell>
        </row>
        <row r="317">
          <cell r="A317">
            <v>39483</v>
          </cell>
          <cell r="B317">
            <v>1.835</v>
          </cell>
          <cell r="C317">
            <v>183.5</v>
          </cell>
          <cell r="F317">
            <v>9955.3000000000011</v>
          </cell>
          <cell r="G317">
            <v>266.28638315750169</v>
          </cell>
          <cell r="K317">
            <v>412.42</v>
          </cell>
          <cell r="O317">
            <v>39483</v>
          </cell>
          <cell r="P317">
            <v>249.13958635861991</v>
          </cell>
          <cell r="R317">
            <v>303.73815200450628</v>
          </cell>
        </row>
        <row r="318">
          <cell r="A318">
            <v>39484</v>
          </cell>
          <cell r="B318">
            <v>1.8149999999999999</v>
          </cell>
          <cell r="C318">
            <v>181.5</v>
          </cell>
          <cell r="F318">
            <v>9904.5</v>
          </cell>
          <cell r="G318">
            <v>264.92757445616655</v>
          </cell>
          <cell r="K318">
            <v>412.42</v>
          </cell>
          <cell r="O318">
            <v>39484</v>
          </cell>
          <cell r="P318">
            <v>251.93029640497608</v>
          </cell>
          <cell r="R318">
            <v>306.90999919614109</v>
          </cell>
        </row>
        <row r="319">
          <cell r="A319">
            <v>39485</v>
          </cell>
          <cell r="B319">
            <v>1.8025</v>
          </cell>
          <cell r="C319">
            <v>180.25</v>
          </cell>
          <cell r="F319">
            <v>9764.2000000000007</v>
          </cell>
          <cell r="G319">
            <v>261.17480160582579</v>
          </cell>
          <cell r="K319">
            <v>412.42</v>
          </cell>
          <cell r="O319">
            <v>39485</v>
          </cell>
          <cell r="P319">
            <v>246.60634015825158</v>
          </cell>
          <cell r="R319">
            <v>291.64912324274906</v>
          </cell>
        </row>
        <row r="320">
          <cell r="A320">
            <v>39486</v>
          </cell>
          <cell r="B320">
            <v>1.82</v>
          </cell>
          <cell r="C320">
            <v>182</v>
          </cell>
          <cell r="F320">
            <v>9807.5</v>
          </cell>
          <cell r="G320">
            <v>262.33299878629447</v>
          </cell>
          <cell r="K320">
            <v>412.42</v>
          </cell>
          <cell r="O320">
            <v>39486</v>
          </cell>
          <cell r="P320">
            <v>247.40566357478144</v>
          </cell>
          <cell r="R320">
            <v>287.14549409209997</v>
          </cell>
        </row>
        <row r="321">
          <cell r="A321">
            <v>39489</v>
          </cell>
          <cell r="B321">
            <v>1.8225</v>
          </cell>
          <cell r="C321">
            <v>182.25</v>
          </cell>
          <cell r="F321">
            <v>9735.4</v>
          </cell>
          <cell r="G321">
            <v>260.40445336569883</v>
          </cell>
          <cell r="K321">
            <v>412.42</v>
          </cell>
          <cell r="O321">
            <v>39489</v>
          </cell>
          <cell r="P321">
            <v>248.16769557363594</v>
          </cell>
          <cell r="R321">
            <v>286.3415832370477</v>
          </cell>
        </row>
        <row r="322">
          <cell r="A322">
            <v>39490</v>
          </cell>
          <cell r="B322">
            <v>1.875</v>
          </cell>
          <cell r="C322">
            <v>187.5</v>
          </cell>
          <cell r="F322">
            <v>10040.200000000001</v>
          </cell>
          <cell r="G322">
            <v>268.5573055737093</v>
          </cell>
          <cell r="K322">
            <v>412.42</v>
          </cell>
          <cell r="O322">
            <v>39490</v>
          </cell>
          <cell r="P322">
            <v>257.12657480777114</v>
          </cell>
          <cell r="R322">
            <v>296.93981258211659</v>
          </cell>
        </row>
        <row r="323">
          <cell r="A323">
            <v>39491</v>
          </cell>
          <cell r="B323">
            <v>1.8625</v>
          </cell>
          <cell r="C323">
            <v>186.25</v>
          </cell>
          <cell r="F323">
            <v>9996.1</v>
          </cell>
          <cell r="G323">
            <v>267.37770983101484</v>
          </cell>
          <cell r="K323">
            <v>412.42</v>
          </cell>
          <cell r="O323">
            <v>39491</v>
          </cell>
          <cell r="P323">
            <v>257.38375650580798</v>
          </cell>
          <cell r="R323">
            <v>294.88972408599346</v>
          </cell>
        </row>
        <row r="324">
          <cell r="A324">
            <v>39492</v>
          </cell>
          <cell r="B324">
            <v>1.8525</v>
          </cell>
          <cell r="C324">
            <v>185.25</v>
          </cell>
          <cell r="F324">
            <v>10089.200000000001</v>
          </cell>
          <cell r="G324">
            <v>269.86796751003646</v>
          </cell>
          <cell r="K324">
            <v>412.42</v>
          </cell>
          <cell r="O324">
            <v>39492</v>
          </cell>
          <cell r="P324">
            <v>257.71924132185262</v>
          </cell>
          <cell r="R324">
            <v>303.3531089640079</v>
          </cell>
        </row>
        <row r="325">
          <cell r="A325">
            <v>39493</v>
          </cell>
          <cell r="B325">
            <v>1.8</v>
          </cell>
          <cell r="C325">
            <v>180</v>
          </cell>
          <cell r="F325">
            <v>9897.9000000000015</v>
          </cell>
          <cell r="G325">
            <v>264.75103631780416</v>
          </cell>
          <cell r="K325">
            <v>412.42</v>
          </cell>
          <cell r="O325">
            <v>39493</v>
          </cell>
          <cell r="P325">
            <v>249.83139581959571</v>
          </cell>
          <cell r="R325">
            <v>301.87709382402068</v>
          </cell>
        </row>
        <row r="326">
          <cell r="A326">
            <v>39497</v>
          </cell>
          <cell r="B326">
            <v>1.875</v>
          </cell>
          <cell r="C326">
            <v>187.5</v>
          </cell>
          <cell r="F326">
            <v>10208.6</v>
          </cell>
          <cell r="G326">
            <v>273.06170292222953</v>
          </cell>
          <cell r="K326">
            <v>412.42</v>
          </cell>
          <cell r="O326">
            <v>39497</v>
          </cell>
          <cell r="P326">
            <v>258.72160715993465</v>
          </cell>
          <cell r="R326">
            <v>308.81525424012932</v>
          </cell>
        </row>
        <row r="327">
          <cell r="A327">
            <v>39498</v>
          </cell>
          <cell r="B327">
            <v>1.8475000000000001</v>
          </cell>
          <cell r="C327">
            <v>184.75</v>
          </cell>
          <cell r="F327">
            <v>10124.400000000001</v>
          </cell>
          <cell r="G327">
            <v>270.80950424796941</v>
          </cell>
          <cell r="K327">
            <v>412.42</v>
          </cell>
          <cell r="O327">
            <v>39498</v>
          </cell>
          <cell r="P327">
            <v>252.66929176219017</v>
          </cell>
          <cell r="R327">
            <v>310.11598949259655</v>
          </cell>
        </row>
        <row r="328">
          <cell r="A328">
            <v>39499</v>
          </cell>
          <cell r="B328">
            <v>1.855</v>
          </cell>
          <cell r="C328">
            <v>185.5</v>
          </cell>
          <cell r="F328">
            <v>10181.700000000001</v>
          </cell>
          <cell r="G328">
            <v>272.34217626738871</v>
          </cell>
          <cell r="K328">
            <v>412.42</v>
          </cell>
          <cell r="O328">
            <v>39499</v>
          </cell>
          <cell r="P328">
            <v>252.45052069931015</v>
          </cell>
          <cell r="R328">
            <v>310.27372889612667</v>
          </cell>
        </row>
        <row r="329">
          <cell r="A329">
            <v>39500</v>
          </cell>
          <cell r="B329">
            <v>1.8525</v>
          </cell>
          <cell r="C329">
            <v>185.25</v>
          </cell>
          <cell r="F329">
            <v>10051</v>
          </cell>
          <cell r="G329">
            <v>268.8461861637569</v>
          </cell>
          <cell r="K329">
            <v>412.42</v>
          </cell>
          <cell r="O329">
            <v>39500</v>
          </cell>
          <cell r="P329">
            <v>248.46793825843602</v>
          </cell>
          <cell r="R329">
            <v>311.32921228432247</v>
          </cell>
        </row>
        <row r="330">
          <cell r="A330">
            <v>39503</v>
          </cell>
          <cell r="B330">
            <v>1.9550000000000001</v>
          </cell>
          <cell r="C330">
            <v>195.5</v>
          </cell>
          <cell r="F330">
            <v>10275.300000000001</v>
          </cell>
          <cell r="G330">
            <v>274.84580804780137</v>
          </cell>
          <cell r="K330">
            <v>412.42</v>
          </cell>
          <cell r="O330">
            <v>39503</v>
          </cell>
          <cell r="P330">
            <v>257.17541601925495</v>
          </cell>
          <cell r="R330">
            <v>317.54027269075289</v>
          </cell>
        </row>
        <row r="331">
          <cell r="A331">
            <v>39504</v>
          </cell>
          <cell r="B331">
            <v>1.9850000000000001</v>
          </cell>
          <cell r="C331">
            <v>198.5</v>
          </cell>
          <cell r="F331">
            <v>10383.900000000001</v>
          </cell>
          <cell r="G331">
            <v>277.75066286994684</v>
          </cell>
          <cell r="K331">
            <v>412.42</v>
          </cell>
          <cell r="O331">
            <v>39504</v>
          </cell>
          <cell r="P331">
            <v>259.32312455946072</v>
          </cell>
          <cell r="R331">
            <v>323.09772063517028</v>
          </cell>
        </row>
        <row r="332">
          <cell r="A332">
            <v>39505</v>
          </cell>
          <cell r="B332">
            <v>1.97</v>
          </cell>
          <cell r="C332">
            <v>197</v>
          </cell>
          <cell r="F332">
            <v>10421.1</v>
          </cell>
          <cell r="G332">
            <v>278.74569601344416</v>
          </cell>
          <cell r="K332">
            <v>412.42</v>
          </cell>
          <cell r="O332">
            <v>39505</v>
          </cell>
          <cell r="P332">
            <v>258.59329700057759</v>
          </cell>
          <cell r="R332">
            <v>320.35298701229021</v>
          </cell>
        </row>
        <row r="333">
          <cell r="A333">
            <v>39506</v>
          </cell>
          <cell r="B333">
            <v>1.8800000000000001</v>
          </cell>
          <cell r="C333">
            <v>188</v>
          </cell>
          <cell r="F333">
            <v>10230.800000000001</v>
          </cell>
          <cell r="G333">
            <v>273.65551302399405</v>
          </cell>
          <cell r="K333">
            <v>412.42</v>
          </cell>
          <cell r="O333">
            <v>39506</v>
          </cell>
          <cell r="P333">
            <v>255.96636257097174</v>
          </cell>
          <cell r="R333">
            <v>315.64843186990441</v>
          </cell>
        </row>
        <row r="334">
          <cell r="A334">
            <v>39507</v>
          </cell>
          <cell r="B334">
            <v>1.845</v>
          </cell>
          <cell r="C334">
            <v>184.5</v>
          </cell>
          <cell r="F334">
            <v>10067.900000000001</v>
          </cell>
          <cell r="G334">
            <v>269.2982307907759</v>
          </cell>
          <cell r="K334">
            <v>412.42</v>
          </cell>
          <cell r="O334">
            <v>39507</v>
          </cell>
          <cell r="P334">
            <v>248.56312604355949</v>
          </cell>
          <cell r="R334">
            <v>312.88005109003956</v>
          </cell>
        </row>
        <row r="335">
          <cell r="A335">
            <v>39510</v>
          </cell>
          <cell r="B335">
            <v>1.8025</v>
          </cell>
          <cell r="C335">
            <v>180.25</v>
          </cell>
          <cell r="F335">
            <v>10013.900000000001</v>
          </cell>
          <cell r="G335">
            <v>267.8538278405378</v>
          </cell>
          <cell r="K335">
            <v>412.42</v>
          </cell>
          <cell r="O335">
            <v>39510</v>
          </cell>
          <cell r="P335">
            <v>246.14866914659348</v>
          </cell>
          <cell r="R335">
            <v>315.83417552825875</v>
          </cell>
        </row>
        <row r="336">
          <cell r="A336">
            <v>39511</v>
          </cell>
          <cell r="B336">
            <v>1.7825000000000002</v>
          </cell>
          <cell r="C336">
            <v>178.25000000000003</v>
          </cell>
          <cell r="F336">
            <v>9944.5</v>
          </cell>
          <cell r="G336">
            <v>265.99750256745403</v>
          </cell>
          <cell r="K336">
            <v>412.42</v>
          </cell>
          <cell r="O336">
            <v>39511</v>
          </cell>
          <cell r="P336">
            <v>244.58436528461587</v>
          </cell>
          <cell r="R336">
            <v>311.76127084946</v>
          </cell>
        </row>
        <row r="337">
          <cell r="A337">
            <v>39512</v>
          </cell>
          <cell r="B337">
            <v>1.77</v>
          </cell>
          <cell r="C337">
            <v>177</v>
          </cell>
          <cell r="F337">
            <v>10144.1</v>
          </cell>
          <cell r="G337">
            <v>271.33644384277846</v>
          </cell>
          <cell r="K337">
            <v>412.42</v>
          </cell>
          <cell r="O337">
            <v>39512</v>
          </cell>
          <cell r="P337">
            <v>251.75564096035191</v>
          </cell>
          <cell r="R337">
            <v>317.8738871601978</v>
          </cell>
        </row>
        <row r="338">
          <cell r="A338">
            <v>39513</v>
          </cell>
          <cell r="B338">
            <v>1.7375</v>
          </cell>
          <cell r="C338">
            <v>173.75</v>
          </cell>
          <cell r="F338">
            <v>9990.8000000000011</v>
          </cell>
          <cell r="G338">
            <v>267.23594435626927</v>
          </cell>
          <cell r="K338">
            <v>412.42</v>
          </cell>
          <cell r="O338">
            <v>39513</v>
          </cell>
          <cell r="P338">
            <v>243.7433886909694</v>
          </cell>
          <cell r="R338">
            <v>311.56486521779891</v>
          </cell>
        </row>
        <row r="339">
          <cell r="A339">
            <v>39514</v>
          </cell>
          <cell r="B339">
            <v>1.7350000000000001</v>
          </cell>
          <cell r="C339">
            <v>173.5</v>
          </cell>
          <cell r="F339">
            <v>9853.7000000000007</v>
          </cell>
          <cell r="G339">
            <v>263.56876575483147</v>
          </cell>
          <cell r="K339">
            <v>412.42</v>
          </cell>
          <cell r="O339">
            <v>39514</v>
          </cell>
          <cell r="P339">
            <v>242.07748039724436</v>
          </cell>
          <cell r="R339">
            <v>308.63882539390391</v>
          </cell>
        </row>
        <row r="340">
          <cell r="A340">
            <v>39517</v>
          </cell>
          <cell r="B340">
            <v>1.675</v>
          </cell>
          <cell r="C340">
            <v>167.5</v>
          </cell>
          <cell r="F340">
            <v>9670.7000000000007</v>
          </cell>
          <cell r="G340">
            <v>258.67384464569136</v>
          </cell>
          <cell r="K340">
            <v>412.42</v>
          </cell>
          <cell r="O340">
            <v>39517</v>
          </cell>
          <cell r="P340">
            <v>238.52155547661516</v>
          </cell>
          <cell r="R340">
            <v>301.13735487452323</v>
          </cell>
        </row>
        <row r="341">
          <cell r="A341">
            <v>39518</v>
          </cell>
          <cell r="B341">
            <v>1.6825000000000001</v>
          </cell>
          <cell r="C341">
            <v>168.25</v>
          </cell>
          <cell r="F341">
            <v>9772.8000000000011</v>
          </cell>
          <cell r="G341">
            <v>261.40483614975261</v>
          </cell>
          <cell r="K341">
            <v>412.42</v>
          </cell>
          <cell r="O341">
            <v>39518</v>
          </cell>
          <cell r="P341">
            <v>238.46713505738563</v>
          </cell>
          <cell r="R341">
            <v>307.56042454682597</v>
          </cell>
        </row>
        <row r="342">
          <cell r="A342">
            <v>39519</v>
          </cell>
          <cell r="B342">
            <v>1.7125000000000001</v>
          </cell>
          <cell r="C342">
            <v>171.25</v>
          </cell>
          <cell r="F342">
            <v>9989.4000000000015</v>
          </cell>
          <cell r="G342">
            <v>267.19849687237422</v>
          </cell>
          <cell r="K342">
            <v>412.42</v>
          </cell>
          <cell r="O342">
            <v>39519</v>
          </cell>
          <cell r="P342">
            <v>241.62398626196162</v>
          </cell>
          <cell r="R342">
            <v>309.50476189210525</v>
          </cell>
        </row>
        <row r="343">
          <cell r="A343">
            <v>39520</v>
          </cell>
          <cell r="B343">
            <v>1.6600000000000001</v>
          </cell>
          <cell r="C343">
            <v>166</v>
          </cell>
          <cell r="F343">
            <v>9801.5</v>
          </cell>
          <cell r="G343">
            <v>262.17250956960135</v>
          </cell>
          <cell r="K343">
            <v>412.42</v>
          </cell>
          <cell r="O343">
            <v>39520</v>
          </cell>
          <cell r="P343">
            <v>237.14256520600009</v>
          </cell>
          <cell r="R343">
            <v>303.05202050715059</v>
          </cell>
        </row>
        <row r="344">
          <cell r="A344">
            <v>39521</v>
          </cell>
          <cell r="B344">
            <v>1.6475000000000002</v>
          </cell>
          <cell r="C344">
            <v>164.75000000000003</v>
          </cell>
          <cell r="F344">
            <v>9706.1</v>
          </cell>
          <cell r="G344">
            <v>259.62073102418077</v>
          </cell>
          <cell r="K344">
            <v>412.42</v>
          </cell>
          <cell r="O344">
            <v>39521</v>
          </cell>
          <cell r="P344">
            <v>234.11764900461796</v>
          </cell>
          <cell r="R344">
            <v>302.61817672467663</v>
          </cell>
        </row>
        <row r="345">
          <cell r="A345">
            <v>39524</v>
          </cell>
          <cell r="B345">
            <v>1.5875000000000001</v>
          </cell>
          <cell r="C345">
            <v>158.75</v>
          </cell>
          <cell r="F345">
            <v>9380.7000000000007</v>
          </cell>
          <cell r="G345">
            <v>250.91686583885726</v>
          </cell>
          <cell r="K345">
            <v>412.42</v>
          </cell>
          <cell r="O345">
            <v>39524</v>
          </cell>
          <cell r="P345">
            <v>226.41842613069579</v>
          </cell>
          <cell r="R345">
            <v>298.17626646485257</v>
          </cell>
        </row>
        <row r="346">
          <cell r="A346">
            <v>39525</v>
          </cell>
          <cell r="B346">
            <v>1.62</v>
          </cell>
          <cell r="C346">
            <v>162</v>
          </cell>
          <cell r="F346">
            <v>9601.5</v>
          </cell>
          <cell r="G346">
            <v>256.82286901316405</v>
          </cell>
          <cell r="K346">
            <v>412.42</v>
          </cell>
          <cell r="O346">
            <v>39525</v>
          </cell>
          <cell r="P346">
            <v>231.93062255984483</v>
          </cell>
          <cell r="R346">
            <v>303.54171079946912</v>
          </cell>
        </row>
        <row r="347">
          <cell r="A347">
            <v>39526</v>
          </cell>
          <cell r="B347">
            <v>1.585</v>
          </cell>
          <cell r="C347">
            <v>158.5</v>
          </cell>
          <cell r="F347">
            <v>9551.2000000000007</v>
          </cell>
          <cell r="G347">
            <v>255.4774344132201</v>
          </cell>
          <cell r="K347">
            <v>412.42</v>
          </cell>
          <cell r="O347">
            <v>39526</v>
          </cell>
          <cell r="P347">
            <v>226.79774544692935</v>
          </cell>
          <cell r="R347">
            <v>304.63202743012454</v>
          </cell>
        </row>
        <row r="348">
          <cell r="A348">
            <v>39527</v>
          </cell>
          <cell r="B348">
            <v>1.56</v>
          </cell>
          <cell r="C348">
            <v>156</v>
          </cell>
          <cell r="F348">
            <v>9448.4</v>
          </cell>
          <cell r="G348">
            <v>252.72771916721126</v>
          </cell>
          <cell r="K348">
            <v>412.42</v>
          </cell>
          <cell r="O348">
            <v>39527</v>
          </cell>
          <cell r="P348">
            <v>226.5545619440355</v>
          </cell>
          <cell r="R348">
            <v>297.52215310500128</v>
          </cell>
        </row>
        <row r="349">
          <cell r="A349">
            <v>39531</v>
          </cell>
          <cell r="B349">
            <v>1.56</v>
          </cell>
          <cell r="C349">
            <v>156</v>
          </cell>
          <cell r="F349">
            <v>9448.4</v>
          </cell>
          <cell r="G349">
            <v>252.72771916721126</v>
          </cell>
          <cell r="K349">
            <v>412.42</v>
          </cell>
          <cell r="O349">
            <v>39531</v>
          </cell>
          <cell r="P349">
            <v>226.1344282041598</v>
          </cell>
          <cell r="R349">
            <v>297.13115142732812</v>
          </cell>
        </row>
        <row r="350">
          <cell r="A350">
            <v>39532</v>
          </cell>
          <cell r="B350">
            <v>1.595</v>
          </cell>
          <cell r="C350">
            <v>159.5</v>
          </cell>
          <cell r="F350">
            <v>9794.6</v>
          </cell>
          <cell r="G350">
            <v>261.98794697040427</v>
          </cell>
          <cell r="K350">
            <v>412.42</v>
          </cell>
          <cell r="O350">
            <v>39532</v>
          </cell>
          <cell r="P350">
            <v>235.93526275039164</v>
          </cell>
          <cell r="R350">
            <v>306.55713657974559</v>
          </cell>
        </row>
        <row r="351">
          <cell r="A351">
            <v>39533</v>
          </cell>
          <cell r="B351">
            <v>1.5875000000000001</v>
          </cell>
          <cell r="C351">
            <v>158.75</v>
          </cell>
          <cell r="F351">
            <v>9756.1</v>
          </cell>
          <cell r="G351">
            <v>260.95814116329007</v>
          </cell>
          <cell r="K351">
            <v>412.42</v>
          </cell>
          <cell r="O351">
            <v>39533</v>
          </cell>
          <cell r="P351">
            <v>239.08820533033068</v>
          </cell>
          <cell r="R351">
            <v>305.59304113448997</v>
          </cell>
        </row>
        <row r="352">
          <cell r="A352">
            <v>39534</v>
          </cell>
          <cell r="B352">
            <v>1.5775000000000001</v>
          </cell>
          <cell r="C352">
            <v>157.75</v>
          </cell>
          <cell r="F352">
            <v>9982</v>
          </cell>
          <cell r="G352">
            <v>267.00056017178605</v>
          </cell>
          <cell r="K352">
            <v>412.42</v>
          </cell>
          <cell r="O352">
            <v>39534</v>
          </cell>
          <cell r="P352">
            <v>243.49173933125925</v>
          </cell>
          <cell r="R352">
            <v>308.28620368456723</v>
          </cell>
        </row>
        <row r="353">
          <cell r="A353">
            <v>39535</v>
          </cell>
          <cell r="B353">
            <v>1.5449999999999999</v>
          </cell>
          <cell r="C353">
            <v>154.5</v>
          </cell>
          <cell r="F353">
            <v>9961.3000000000011</v>
          </cell>
          <cell r="G353">
            <v>266.44687237419475</v>
          </cell>
          <cell r="K353">
            <v>412.42</v>
          </cell>
          <cell r="O353">
            <v>39535</v>
          </cell>
          <cell r="P353">
            <v>244.49271731213312</v>
          </cell>
          <cell r="R353">
            <v>307.11751273362262</v>
          </cell>
        </row>
        <row r="354">
          <cell r="A354">
            <v>39538</v>
          </cell>
          <cell r="B354">
            <v>1.5050000000000001</v>
          </cell>
          <cell r="C354">
            <v>150.5</v>
          </cell>
          <cell r="F354">
            <v>10013.200000000001</v>
          </cell>
          <cell r="G354">
            <v>267.83510409859025</v>
          </cell>
          <cell r="K354">
            <v>412.42</v>
          </cell>
          <cell r="O354">
            <v>39538</v>
          </cell>
          <cell r="P354">
            <v>244.46559095446577</v>
          </cell>
          <cell r="R354">
            <v>310.13897814986012</v>
          </cell>
        </row>
        <row r="355">
          <cell r="A355">
            <v>39539</v>
          </cell>
          <cell r="B355">
            <v>1.56</v>
          </cell>
          <cell r="C355">
            <v>156</v>
          </cell>
          <cell r="F355">
            <v>10336.200000000001</v>
          </cell>
          <cell r="G355">
            <v>276.47477359723649</v>
          </cell>
          <cell r="K355">
            <v>412.42</v>
          </cell>
          <cell r="O355">
            <v>39539</v>
          </cell>
          <cell r="P355">
            <v>251.87152532250104</v>
          </cell>
          <cell r="R355">
            <v>319.06390956263368</v>
          </cell>
        </row>
        <row r="356">
          <cell r="A356">
            <v>39540</v>
          </cell>
          <cell r="B356">
            <v>1.6</v>
          </cell>
          <cell r="C356">
            <v>160</v>
          </cell>
          <cell r="F356">
            <v>10372</v>
          </cell>
          <cell r="G356">
            <v>277.43235925683877</v>
          </cell>
          <cell r="K356">
            <v>412.42</v>
          </cell>
          <cell r="O356">
            <v>39540</v>
          </cell>
          <cell r="P356">
            <v>251.74302236574081</v>
          </cell>
          <cell r="R356">
            <v>323.22470508849591</v>
          </cell>
        </row>
        <row r="357">
          <cell r="A357">
            <v>39541</v>
          </cell>
          <cell r="B357">
            <v>1.5</v>
          </cell>
          <cell r="C357">
            <v>150</v>
          </cell>
          <cell r="F357">
            <v>10177.200000000001</v>
          </cell>
          <cell r="G357">
            <v>272.22180935486881</v>
          </cell>
          <cell r="K357">
            <v>412.42</v>
          </cell>
          <cell r="O357">
            <v>39541</v>
          </cell>
          <cell r="P357">
            <v>244.71439734832441</v>
          </cell>
          <cell r="R357">
            <v>319.92674219913016</v>
          </cell>
        </row>
        <row r="358">
          <cell r="A358">
            <v>39542</v>
          </cell>
          <cell r="B358">
            <v>1.4925000000000002</v>
          </cell>
          <cell r="C358">
            <v>149.25000000000003</v>
          </cell>
          <cell r="F358">
            <v>10165.1</v>
          </cell>
          <cell r="G358">
            <v>271.89815610120439</v>
          </cell>
          <cell r="K358">
            <v>412.42</v>
          </cell>
          <cell r="O358">
            <v>39542</v>
          </cell>
          <cell r="P358">
            <v>249.80225795891133</v>
          </cell>
          <cell r="R358">
            <v>323.90833873934042</v>
          </cell>
        </row>
        <row r="359">
          <cell r="A359">
            <v>39545</v>
          </cell>
          <cell r="B359">
            <v>1.5675000000000001</v>
          </cell>
          <cell r="C359">
            <v>156.75</v>
          </cell>
          <cell r="F359">
            <v>10244.5</v>
          </cell>
          <cell r="G359">
            <v>274.02196340210998</v>
          </cell>
          <cell r="K359">
            <v>412.42</v>
          </cell>
          <cell r="O359">
            <v>39545</v>
          </cell>
          <cell r="P359">
            <v>252.39250521106862</v>
          </cell>
          <cell r="R359">
            <v>326.77763357390802</v>
          </cell>
        </row>
        <row r="360">
          <cell r="A360">
            <v>39546</v>
          </cell>
          <cell r="B360">
            <v>1.5475000000000001</v>
          </cell>
          <cell r="C360">
            <v>154.75</v>
          </cell>
          <cell r="F360">
            <v>10108.700000000001</v>
          </cell>
          <cell r="G360">
            <v>270.38955746428906</v>
          </cell>
          <cell r="K360">
            <v>412.42</v>
          </cell>
          <cell r="O360">
            <v>39546</v>
          </cell>
          <cell r="P360">
            <v>250.46959945113969</v>
          </cell>
          <cell r="R360">
            <v>320.74543405007591</v>
          </cell>
        </row>
        <row r="361">
          <cell r="A361">
            <v>39547</v>
          </cell>
          <cell r="B361">
            <v>1.5050000000000001</v>
          </cell>
          <cell r="C361">
            <v>150.5</v>
          </cell>
          <cell r="F361">
            <v>10071.800000000001</v>
          </cell>
          <cell r="G361">
            <v>269.40254878162642</v>
          </cell>
          <cell r="K361">
            <v>412.42</v>
          </cell>
          <cell r="O361">
            <v>39547</v>
          </cell>
          <cell r="P361">
            <v>245.4100720651972</v>
          </cell>
          <cell r="R361">
            <v>317.50646266846911</v>
          </cell>
        </row>
        <row r="362">
          <cell r="A362">
            <v>39548</v>
          </cell>
          <cell r="B362">
            <v>1.5</v>
          </cell>
          <cell r="C362">
            <v>150</v>
          </cell>
          <cell r="F362">
            <v>10013</v>
          </cell>
          <cell r="G362">
            <v>267.82975445803379</v>
          </cell>
          <cell r="K362">
            <v>412.42</v>
          </cell>
          <cell r="O362">
            <v>39548</v>
          </cell>
          <cell r="P362">
            <v>245.83169283194189</v>
          </cell>
          <cell r="R362">
            <v>318.59977918265997</v>
          </cell>
        </row>
        <row r="363">
          <cell r="A363">
            <v>39549</v>
          </cell>
          <cell r="B363">
            <v>1.4950000000000001</v>
          </cell>
          <cell r="C363">
            <v>149.5</v>
          </cell>
          <cell r="F363">
            <v>9931.4000000000015</v>
          </cell>
          <cell r="G363">
            <v>265.64710111100743</v>
          </cell>
          <cell r="K363">
            <v>412.42</v>
          </cell>
          <cell r="O363">
            <v>39549</v>
          </cell>
          <cell r="P363">
            <v>241.00715185342608</v>
          </cell>
          <cell r="R363">
            <v>312.32150080968762</v>
          </cell>
        </row>
        <row r="364">
          <cell r="A364">
            <v>39552</v>
          </cell>
          <cell r="B364">
            <v>1.4750000000000001</v>
          </cell>
          <cell r="C364">
            <v>147.5</v>
          </cell>
          <cell r="F364">
            <v>9845.5</v>
          </cell>
          <cell r="G364">
            <v>263.34943049201758</v>
          </cell>
          <cell r="K364">
            <v>412.42</v>
          </cell>
          <cell r="O364">
            <v>39552</v>
          </cell>
          <cell r="P364">
            <v>238.2500458309417</v>
          </cell>
          <cell r="R364">
            <v>309.87585658813197</v>
          </cell>
        </row>
        <row r="365">
          <cell r="A365">
            <v>39553</v>
          </cell>
          <cell r="B365">
            <v>1.45</v>
          </cell>
          <cell r="C365">
            <v>145</v>
          </cell>
          <cell r="F365">
            <v>9904.2000000000007</v>
          </cell>
          <cell r="G365">
            <v>264.91954999533192</v>
          </cell>
          <cell r="K365">
            <v>412.42</v>
          </cell>
          <cell r="O365">
            <v>39553</v>
          </cell>
          <cell r="P365">
            <v>236.42238998085799</v>
          </cell>
          <cell r="R365">
            <v>311.93044044725815</v>
          </cell>
        </row>
        <row r="366">
          <cell r="A366">
            <v>39554</v>
          </cell>
          <cell r="B366">
            <v>1.5025000000000002</v>
          </cell>
          <cell r="C366">
            <v>150.25000000000003</v>
          </cell>
          <cell r="F366">
            <v>10091.200000000001</v>
          </cell>
          <cell r="G366">
            <v>269.92146391560084</v>
          </cell>
          <cell r="K366">
            <v>412.42</v>
          </cell>
          <cell r="O366">
            <v>39554</v>
          </cell>
          <cell r="P366">
            <v>243.79632383779025</v>
          </cell>
          <cell r="R366">
            <v>315.83224444729228</v>
          </cell>
        </row>
        <row r="367">
          <cell r="A367">
            <v>39555</v>
          </cell>
          <cell r="B367">
            <v>1.45</v>
          </cell>
          <cell r="C367">
            <v>145</v>
          </cell>
          <cell r="F367">
            <v>10089.400000000001</v>
          </cell>
          <cell r="G367">
            <v>269.87331715059292</v>
          </cell>
          <cell r="K367">
            <v>412.42</v>
          </cell>
          <cell r="O367">
            <v>39555</v>
          </cell>
          <cell r="P367">
            <v>241.53161363570064</v>
          </cell>
          <cell r="R367">
            <v>315.98052619966057</v>
          </cell>
        </row>
        <row r="368">
          <cell r="A368">
            <v>39556</v>
          </cell>
          <cell r="B368">
            <v>1.4575</v>
          </cell>
          <cell r="C368">
            <v>145.75</v>
          </cell>
          <cell r="F368">
            <v>10241.1</v>
          </cell>
          <cell r="G368">
            <v>273.93101951265055</v>
          </cell>
          <cell r="K368">
            <v>412.42</v>
          </cell>
          <cell r="O368">
            <v>39556</v>
          </cell>
          <cell r="P368">
            <v>243.47225125986611</v>
          </cell>
          <cell r="R368">
            <v>319.79119555521311</v>
          </cell>
        </row>
        <row r="369">
          <cell r="A369">
            <v>39559</v>
          </cell>
          <cell r="B369">
            <v>1.53</v>
          </cell>
          <cell r="C369">
            <v>153</v>
          </cell>
          <cell r="F369">
            <v>10137.800000000001</v>
          </cell>
          <cell r="G369">
            <v>271.16793016525071</v>
          </cell>
          <cell r="K369">
            <v>412.42</v>
          </cell>
          <cell r="O369">
            <v>39559</v>
          </cell>
          <cell r="P369">
            <v>241.26545948764118</v>
          </cell>
          <cell r="R369">
            <v>319.02656220827282</v>
          </cell>
        </row>
        <row r="370">
          <cell r="A370">
            <v>39560</v>
          </cell>
          <cell r="B370">
            <v>1.49</v>
          </cell>
          <cell r="C370">
            <v>149</v>
          </cell>
          <cell r="F370">
            <v>10069.6</v>
          </cell>
          <cell r="G370">
            <v>269.34370273550559</v>
          </cell>
          <cell r="K370">
            <v>412.42</v>
          </cell>
          <cell r="O370">
            <v>39560</v>
          </cell>
          <cell r="P370">
            <v>237.23984020147427</v>
          </cell>
          <cell r="R370">
            <v>319.79751305700529</v>
          </cell>
        </row>
        <row r="371">
          <cell r="A371">
            <v>39561</v>
          </cell>
          <cell r="B371">
            <v>1.4175</v>
          </cell>
          <cell r="C371">
            <v>141.75</v>
          </cell>
          <cell r="F371">
            <v>10087.700000000001</v>
          </cell>
          <cell r="G371">
            <v>269.82784520586313</v>
          </cell>
          <cell r="K371">
            <v>412.42</v>
          </cell>
          <cell r="O371">
            <v>39561</v>
          </cell>
          <cell r="P371">
            <v>237.50656125373317</v>
          </cell>
          <cell r="R371">
            <v>318.05935422248916</v>
          </cell>
        </row>
        <row r="372">
          <cell r="A372">
            <v>39562</v>
          </cell>
          <cell r="B372">
            <v>1.3775000000000002</v>
          </cell>
          <cell r="C372">
            <v>137.75000000000003</v>
          </cell>
          <cell r="F372">
            <v>9974.4000000000015</v>
          </cell>
          <cell r="G372">
            <v>266.79727383064147</v>
          </cell>
          <cell r="K372">
            <v>412.42</v>
          </cell>
          <cell r="O372">
            <v>39562</v>
          </cell>
          <cell r="P372">
            <v>237.88731286157196</v>
          </cell>
          <cell r="R372">
            <v>316.15042818044549</v>
          </cell>
        </row>
        <row r="373">
          <cell r="A373">
            <v>39563</v>
          </cell>
          <cell r="B373">
            <v>1.4375</v>
          </cell>
          <cell r="C373">
            <v>143.75</v>
          </cell>
          <cell r="F373">
            <v>10019</v>
          </cell>
          <cell r="G373">
            <v>267.99024367472691</v>
          </cell>
          <cell r="K373">
            <v>412.42</v>
          </cell>
          <cell r="O373">
            <v>39563</v>
          </cell>
          <cell r="P373">
            <v>244.09376995859003</v>
          </cell>
          <cell r="R373">
            <v>321.17908098657449</v>
          </cell>
        </row>
        <row r="374">
          <cell r="A374">
            <v>39566</v>
          </cell>
          <cell r="B374">
            <v>1.4775</v>
          </cell>
          <cell r="C374">
            <v>147.75</v>
          </cell>
          <cell r="F374">
            <v>10117.5</v>
          </cell>
          <cell r="G374">
            <v>270.62494164877228</v>
          </cell>
          <cell r="K374">
            <v>412.42</v>
          </cell>
          <cell r="O374">
            <v>39566</v>
          </cell>
          <cell r="P374">
            <v>243.92212521330853</v>
          </cell>
          <cell r="R374">
            <v>322.53163712555835</v>
          </cell>
        </row>
        <row r="375">
          <cell r="A375">
            <v>39567</v>
          </cell>
          <cell r="B375">
            <v>1.4675</v>
          </cell>
          <cell r="C375">
            <v>146.75</v>
          </cell>
          <cell r="F375">
            <v>10007.400000000001</v>
          </cell>
          <cell r="G375">
            <v>267.67996452245359</v>
          </cell>
          <cell r="K375">
            <v>412.42</v>
          </cell>
          <cell r="O375">
            <v>39567</v>
          </cell>
          <cell r="P375">
            <v>242.82154368267527</v>
          </cell>
          <cell r="R375">
            <v>320.48756723866092</v>
          </cell>
        </row>
        <row r="376">
          <cell r="A376">
            <v>39568</v>
          </cell>
          <cell r="B376">
            <v>1.5725</v>
          </cell>
          <cell r="C376">
            <v>157.25</v>
          </cell>
          <cell r="F376">
            <v>10122.300000000001</v>
          </cell>
          <cell r="G376">
            <v>270.75333302212681</v>
          </cell>
          <cell r="K376">
            <v>412.42</v>
          </cell>
          <cell r="O376">
            <v>39568</v>
          </cell>
          <cell r="P376">
            <v>243.55825884679473</v>
          </cell>
          <cell r="R376">
            <v>326.10351318213065</v>
          </cell>
        </row>
        <row r="377">
          <cell r="A377">
            <v>39569</v>
          </cell>
          <cell r="B377">
            <v>1.5549999999999999</v>
          </cell>
          <cell r="C377">
            <v>155.5</v>
          </cell>
          <cell r="F377">
            <v>10073</v>
          </cell>
          <cell r="G377">
            <v>269.43464662496501</v>
          </cell>
          <cell r="K377">
            <v>412.42</v>
          </cell>
          <cell r="O377">
            <v>39569</v>
          </cell>
          <cell r="P377">
            <v>244.04891338299925</v>
          </cell>
          <cell r="R377">
            <v>325.88366171031726</v>
          </cell>
        </row>
        <row r="378">
          <cell r="A378">
            <v>39570</v>
          </cell>
          <cell r="B378">
            <v>1.61</v>
          </cell>
          <cell r="C378">
            <v>161</v>
          </cell>
          <cell r="F378">
            <v>10290.800000000001</v>
          </cell>
          <cell r="G378">
            <v>275.26040519092521</v>
          </cell>
          <cell r="K378">
            <v>412.42</v>
          </cell>
          <cell r="O378">
            <v>39570</v>
          </cell>
          <cell r="P378">
            <v>249.19699702153727</v>
          </cell>
          <cell r="R378">
            <v>333.95704033094665</v>
          </cell>
        </row>
        <row r="379">
          <cell r="A379">
            <v>39573</v>
          </cell>
          <cell r="B379">
            <v>1.61</v>
          </cell>
          <cell r="C379">
            <v>161</v>
          </cell>
          <cell r="F379">
            <v>10290.800000000001</v>
          </cell>
          <cell r="G379">
            <v>275.26040519092521</v>
          </cell>
          <cell r="K379">
            <v>412.42</v>
          </cell>
          <cell r="O379">
            <v>39573</v>
          </cell>
          <cell r="P379">
            <v>249.85953230177077</v>
          </cell>
          <cell r="R379">
            <v>333.25529051789704</v>
          </cell>
        </row>
        <row r="380">
          <cell r="A380">
            <v>39574</v>
          </cell>
          <cell r="B380">
            <v>1.54</v>
          </cell>
          <cell r="C380">
            <v>154</v>
          </cell>
          <cell r="F380">
            <v>10329</v>
          </cell>
          <cell r="G380">
            <v>276.28218653720472</v>
          </cell>
          <cell r="K380">
            <v>412.42</v>
          </cell>
          <cell r="O380">
            <v>39574</v>
          </cell>
          <cell r="P380">
            <v>245.98926000874292</v>
          </cell>
          <cell r="R380">
            <v>331.1355006149181</v>
          </cell>
        </row>
        <row r="381">
          <cell r="A381">
            <v>39575</v>
          </cell>
          <cell r="B381">
            <v>1.5825</v>
          </cell>
          <cell r="C381">
            <v>158.25</v>
          </cell>
          <cell r="F381">
            <v>10448.6</v>
          </cell>
          <cell r="G381">
            <v>279.48127158995425</v>
          </cell>
          <cell r="K381">
            <v>412.42</v>
          </cell>
          <cell r="O381">
            <v>39575</v>
          </cell>
          <cell r="P381">
            <v>248.89745128316903</v>
          </cell>
          <cell r="R381">
            <v>333.05709824114439</v>
          </cell>
        </row>
        <row r="382">
          <cell r="A382">
            <v>39576</v>
          </cell>
          <cell r="B382">
            <v>1.5775000000000001</v>
          </cell>
          <cell r="C382">
            <v>157.75</v>
          </cell>
          <cell r="F382">
            <v>10549.800000000001</v>
          </cell>
          <cell r="G382">
            <v>282.1881897115116</v>
          </cell>
          <cell r="K382">
            <v>412.42</v>
          </cell>
          <cell r="O382">
            <v>39576</v>
          </cell>
          <cell r="P382">
            <v>249.07903851584615</v>
          </cell>
          <cell r="R382">
            <v>334.0060761390194</v>
          </cell>
        </row>
        <row r="383">
          <cell r="A383">
            <v>39577</v>
          </cell>
          <cell r="B383">
            <v>1.6</v>
          </cell>
          <cell r="C383">
            <v>160</v>
          </cell>
          <cell r="F383">
            <v>10437.300000000001</v>
          </cell>
          <cell r="G383">
            <v>279.17901689851556</v>
          </cell>
          <cell r="K383">
            <v>412.42</v>
          </cell>
          <cell r="O383">
            <v>39577</v>
          </cell>
          <cell r="P383">
            <v>246.90264639632784</v>
          </cell>
          <cell r="R383">
            <v>332.45789105408659</v>
          </cell>
        </row>
        <row r="384">
          <cell r="A384">
            <v>39580</v>
          </cell>
          <cell r="B384">
            <v>1.6125</v>
          </cell>
          <cell r="C384">
            <v>161.25</v>
          </cell>
          <cell r="F384">
            <v>10531.1</v>
          </cell>
          <cell r="G384">
            <v>281.68799831948468</v>
          </cell>
          <cell r="K384">
            <v>412.42</v>
          </cell>
          <cell r="O384">
            <v>39580</v>
          </cell>
          <cell r="P384">
            <v>248.03335335574167</v>
          </cell>
          <cell r="R384">
            <v>332.77829090964912</v>
          </cell>
        </row>
        <row r="385">
          <cell r="A385">
            <v>39581</v>
          </cell>
          <cell r="B385">
            <v>1.6</v>
          </cell>
          <cell r="C385">
            <v>160</v>
          </cell>
          <cell r="F385">
            <v>10372.1</v>
          </cell>
          <cell r="G385">
            <v>277.435034077117</v>
          </cell>
          <cell r="K385">
            <v>412.42</v>
          </cell>
          <cell r="O385">
            <v>39581</v>
          </cell>
          <cell r="P385">
            <v>251.30009468906852</v>
          </cell>
          <cell r="R385">
            <v>331.19549383673183</v>
          </cell>
        </row>
        <row r="386">
          <cell r="A386">
            <v>39582</v>
          </cell>
          <cell r="B386">
            <v>1.575</v>
          </cell>
          <cell r="C386">
            <v>157.5</v>
          </cell>
          <cell r="F386">
            <v>10275.300000000001</v>
          </cell>
          <cell r="G386">
            <v>274.84580804780137</v>
          </cell>
          <cell r="K386">
            <v>412.42</v>
          </cell>
          <cell r="O386">
            <v>39582</v>
          </cell>
          <cell r="P386">
            <v>250.38649954485382</v>
          </cell>
          <cell r="R386">
            <v>330.86576531665753</v>
          </cell>
        </row>
        <row r="387">
          <cell r="A387">
            <v>39583</v>
          </cell>
          <cell r="B387">
            <v>1.5925</v>
          </cell>
          <cell r="C387">
            <v>159.25</v>
          </cell>
          <cell r="F387">
            <v>10338.900000000001</v>
          </cell>
          <cell r="G387">
            <v>276.54699374474842</v>
          </cell>
          <cell r="K387">
            <v>412.42</v>
          </cell>
          <cell r="O387">
            <v>39583</v>
          </cell>
          <cell r="P387">
            <v>257.89208782080368</v>
          </cell>
          <cell r="R387">
            <v>332.11267521838374</v>
          </cell>
        </row>
        <row r="388">
          <cell r="A388">
            <v>39584</v>
          </cell>
          <cell r="B388">
            <v>1.62</v>
          </cell>
          <cell r="C388">
            <v>162</v>
          </cell>
          <cell r="F388">
            <v>10454.300000000001</v>
          </cell>
          <cell r="G388">
            <v>279.63373634581274</v>
          </cell>
          <cell r="K388">
            <v>412.42</v>
          </cell>
          <cell r="O388">
            <v>39584</v>
          </cell>
          <cell r="P388">
            <v>260.42886387007155</v>
          </cell>
          <cell r="R388">
            <v>329.0892399342668</v>
          </cell>
        </row>
        <row r="389">
          <cell r="A389">
            <v>39587</v>
          </cell>
          <cell r="B389">
            <v>1.6475000000000002</v>
          </cell>
          <cell r="C389">
            <v>164.75000000000003</v>
          </cell>
          <cell r="F389">
            <v>10557.300000000001</v>
          </cell>
          <cell r="G389">
            <v>282.38880123237794</v>
          </cell>
          <cell r="K389">
            <v>412.42</v>
          </cell>
          <cell r="O389">
            <v>39587</v>
          </cell>
          <cell r="P389">
            <v>266.55184953211125</v>
          </cell>
          <cell r="R389">
            <v>330.6932201285552</v>
          </cell>
        </row>
        <row r="390">
          <cell r="A390">
            <v>39588</v>
          </cell>
          <cell r="B390">
            <v>1.5675000000000001</v>
          </cell>
          <cell r="C390">
            <v>156.75</v>
          </cell>
          <cell r="F390">
            <v>10250.300000000001</v>
          </cell>
          <cell r="G390">
            <v>274.17710297824669</v>
          </cell>
          <cell r="K390">
            <v>412.42</v>
          </cell>
          <cell r="O390">
            <v>39588</v>
          </cell>
          <cell r="P390">
            <v>256.62776069792795</v>
          </cell>
          <cell r="R390">
            <v>319.44997899030136</v>
          </cell>
        </row>
        <row r="391">
          <cell r="A391">
            <v>39589</v>
          </cell>
          <cell r="B391">
            <v>1.5350000000000001</v>
          </cell>
          <cell r="C391">
            <v>153.5</v>
          </cell>
          <cell r="F391">
            <v>10165.800000000001</v>
          </cell>
          <cell r="G391">
            <v>271.91687984315195</v>
          </cell>
          <cell r="K391">
            <v>412.42</v>
          </cell>
          <cell r="O391">
            <v>39589</v>
          </cell>
          <cell r="P391">
            <v>254.29393380991624</v>
          </cell>
          <cell r="R391">
            <v>316.74173559743878</v>
          </cell>
        </row>
        <row r="392">
          <cell r="A392">
            <v>39590</v>
          </cell>
          <cell r="B392">
            <v>1.5225</v>
          </cell>
          <cell r="C392">
            <v>152.25</v>
          </cell>
          <cell r="F392">
            <v>10186.900000000001</v>
          </cell>
          <cell r="G392">
            <v>272.4812669218561</v>
          </cell>
          <cell r="K392">
            <v>412.42</v>
          </cell>
          <cell r="O392">
            <v>39590</v>
          </cell>
          <cell r="P392">
            <v>253.51292680180262</v>
          </cell>
          <cell r="R392">
            <v>312.33193780618535</v>
          </cell>
        </row>
        <row r="393">
          <cell r="A393">
            <v>39591</v>
          </cell>
          <cell r="B393">
            <v>1.52</v>
          </cell>
          <cell r="C393">
            <v>152</v>
          </cell>
          <cell r="F393">
            <v>10077.6</v>
          </cell>
          <cell r="G393">
            <v>269.55768835776308</v>
          </cell>
          <cell r="K393">
            <v>412.42</v>
          </cell>
          <cell r="O393">
            <v>39591</v>
          </cell>
          <cell r="P393">
            <v>250.48322129990251</v>
          </cell>
          <cell r="R393">
            <v>306.0030962299133</v>
          </cell>
        </row>
        <row r="394">
          <cell r="A394">
            <v>39595</v>
          </cell>
          <cell r="B394">
            <v>1.4675</v>
          </cell>
          <cell r="C394">
            <v>146.75</v>
          </cell>
          <cell r="F394">
            <v>10034.200000000001</v>
          </cell>
          <cell r="G394">
            <v>268.39681635701618</v>
          </cell>
          <cell r="K394">
            <v>412.42</v>
          </cell>
          <cell r="O394">
            <v>39595</v>
          </cell>
          <cell r="P394">
            <v>251.93615055839743</v>
          </cell>
          <cell r="R394">
            <v>304.90993315005352</v>
          </cell>
        </row>
        <row r="395">
          <cell r="A395">
            <v>39596</v>
          </cell>
          <cell r="B395">
            <v>1.4825000000000002</v>
          </cell>
          <cell r="C395">
            <v>148.25000000000003</v>
          </cell>
          <cell r="F395">
            <v>10057.300000000001</v>
          </cell>
          <cell r="G395">
            <v>269.01469984128471</v>
          </cell>
          <cell r="K395">
            <v>412.42</v>
          </cell>
          <cell r="O395">
            <v>39596</v>
          </cell>
          <cell r="P395">
            <v>253.92337082834658</v>
          </cell>
          <cell r="R395">
            <v>308.23167564085088</v>
          </cell>
        </row>
        <row r="396">
          <cell r="A396">
            <v>39597</v>
          </cell>
          <cell r="B396">
            <v>1.4575</v>
          </cell>
          <cell r="C396">
            <v>145.75</v>
          </cell>
          <cell r="F396">
            <v>10098.200000000001</v>
          </cell>
          <cell r="G396">
            <v>270.10870133507609</v>
          </cell>
          <cell r="K396">
            <v>412.42</v>
          </cell>
          <cell r="O396">
            <v>39597</v>
          </cell>
          <cell r="P396">
            <v>251.97308542925219</v>
          </cell>
          <cell r="R396">
            <v>306.84039250567349</v>
          </cell>
        </row>
        <row r="397">
          <cell r="A397">
            <v>39598</v>
          </cell>
          <cell r="B397">
            <v>1.4325000000000001</v>
          </cell>
          <cell r="C397">
            <v>143.25</v>
          </cell>
          <cell r="F397">
            <v>10049.300000000001</v>
          </cell>
          <cell r="G397">
            <v>268.80071421902721</v>
          </cell>
          <cell r="K397">
            <v>412.42</v>
          </cell>
          <cell r="O397">
            <v>39598</v>
          </cell>
          <cell r="P397">
            <v>256.78697897492253</v>
          </cell>
          <cell r="R397">
            <v>314.3574558531472</v>
          </cell>
        </row>
        <row r="398">
          <cell r="A398">
            <v>39601</v>
          </cell>
          <cell r="B398">
            <v>1.43</v>
          </cell>
          <cell r="C398">
            <v>143</v>
          </cell>
          <cell r="F398">
            <v>9928.3000000000011</v>
          </cell>
          <cell r="G398">
            <v>265.56418168238264</v>
          </cell>
          <cell r="K398">
            <v>412.42</v>
          </cell>
          <cell r="O398">
            <v>39601</v>
          </cell>
          <cell r="P398">
            <v>254.20747548338778</v>
          </cell>
          <cell r="R398">
            <v>311.16191902696471</v>
          </cell>
        </row>
        <row r="399">
          <cell r="A399">
            <v>39602</v>
          </cell>
          <cell r="B399">
            <v>1.4175</v>
          </cell>
          <cell r="C399">
            <v>141.75</v>
          </cell>
          <cell r="F399">
            <v>9986.9000000000015</v>
          </cell>
          <cell r="G399">
            <v>267.13162636541875</v>
          </cell>
          <cell r="K399">
            <v>412.42</v>
          </cell>
          <cell r="O399">
            <v>39602</v>
          </cell>
          <cell r="P399">
            <v>256.12368073581183</v>
          </cell>
          <cell r="R399">
            <v>310.54373597473852</v>
          </cell>
        </row>
        <row r="400">
          <cell r="A400">
            <v>39603</v>
          </cell>
          <cell r="B400">
            <v>1.4375</v>
          </cell>
          <cell r="C400">
            <v>143.75</v>
          </cell>
          <cell r="F400">
            <v>9976.9000000000015</v>
          </cell>
          <cell r="G400">
            <v>266.86414433759688</v>
          </cell>
          <cell r="K400">
            <v>412.42</v>
          </cell>
          <cell r="O400">
            <v>39603</v>
          </cell>
          <cell r="P400">
            <v>259.86766359867335</v>
          </cell>
          <cell r="R400">
            <v>312.36822096120085</v>
          </cell>
        </row>
        <row r="401">
          <cell r="A401">
            <v>39604</v>
          </cell>
          <cell r="B401">
            <v>1.4475</v>
          </cell>
          <cell r="C401">
            <v>144.75</v>
          </cell>
          <cell r="F401">
            <v>10010.200000000001</v>
          </cell>
          <cell r="G401">
            <v>267.75485949024369</v>
          </cell>
          <cell r="K401">
            <v>412.42</v>
          </cell>
          <cell r="O401">
            <v>39604</v>
          </cell>
          <cell r="P401">
            <v>264.23009704388846</v>
          </cell>
          <cell r="R401">
            <v>312.33486397792649</v>
          </cell>
        </row>
        <row r="402">
          <cell r="A402">
            <v>39605</v>
          </cell>
          <cell r="B402">
            <v>1.3900000000000001</v>
          </cell>
          <cell r="C402">
            <v>139</v>
          </cell>
          <cell r="F402">
            <v>9834.3000000000011</v>
          </cell>
          <cell r="G402">
            <v>263.04985062085706</v>
          </cell>
          <cell r="K402">
            <v>412.42</v>
          </cell>
          <cell r="O402">
            <v>39605</v>
          </cell>
          <cell r="P402">
            <v>258.21809895101092</v>
          </cell>
          <cell r="R402">
            <v>306.77932397609055</v>
          </cell>
        </row>
        <row r="403">
          <cell r="A403">
            <v>39608</v>
          </cell>
          <cell r="B403">
            <v>1.3225</v>
          </cell>
          <cell r="C403">
            <v>132.25</v>
          </cell>
          <cell r="F403">
            <v>9741.3000000000011</v>
          </cell>
          <cell r="G403">
            <v>260.56226776211372</v>
          </cell>
          <cell r="K403">
            <v>412.42</v>
          </cell>
          <cell r="O403">
            <v>39608</v>
          </cell>
          <cell r="P403">
            <v>252.7072670495287</v>
          </cell>
          <cell r="R403">
            <v>300.25545909674889</v>
          </cell>
        </row>
        <row r="404">
          <cell r="A404">
            <v>39609</v>
          </cell>
          <cell r="B404">
            <v>1.32</v>
          </cell>
          <cell r="C404">
            <v>132</v>
          </cell>
          <cell r="F404">
            <v>9626.5</v>
          </cell>
          <cell r="G404">
            <v>257.49157408271867</v>
          </cell>
          <cell r="K404">
            <v>412.42</v>
          </cell>
          <cell r="O404">
            <v>39609</v>
          </cell>
          <cell r="P404">
            <v>250.2207561936759</v>
          </cell>
          <cell r="R404">
            <v>299.43632328707048</v>
          </cell>
        </row>
        <row r="405">
          <cell r="A405">
            <v>39610</v>
          </cell>
          <cell r="B405">
            <v>1.35</v>
          </cell>
          <cell r="C405">
            <v>135</v>
          </cell>
          <cell r="F405">
            <v>9423.1</v>
          </cell>
          <cell r="G405">
            <v>252.05098963682198</v>
          </cell>
          <cell r="K405">
            <v>412.42</v>
          </cell>
          <cell r="O405">
            <v>39610</v>
          </cell>
          <cell r="P405">
            <v>250.09002469658247</v>
          </cell>
          <cell r="R405">
            <v>294.64442628008135</v>
          </cell>
        </row>
        <row r="406">
          <cell r="A406">
            <v>39611</v>
          </cell>
          <cell r="B406">
            <v>1.3800000000000001</v>
          </cell>
          <cell r="C406">
            <v>138</v>
          </cell>
          <cell r="F406">
            <v>9554.2000000000007</v>
          </cell>
          <cell r="G406">
            <v>255.55767902156663</v>
          </cell>
          <cell r="K406">
            <v>412.42</v>
          </cell>
          <cell r="O406">
            <v>39611</v>
          </cell>
          <cell r="P406">
            <v>251.67816382182309</v>
          </cell>
          <cell r="R406">
            <v>298.57196888710132</v>
          </cell>
        </row>
        <row r="407">
          <cell r="A407">
            <v>39612</v>
          </cell>
          <cell r="B407">
            <v>1.4425000000000001</v>
          </cell>
          <cell r="C407">
            <v>144.25</v>
          </cell>
          <cell r="F407">
            <v>9652.3000000000011</v>
          </cell>
          <cell r="G407">
            <v>258.18167771449913</v>
          </cell>
          <cell r="K407">
            <v>412.42</v>
          </cell>
          <cell r="O407">
            <v>39612</v>
          </cell>
          <cell r="P407">
            <v>255.20563777822997</v>
          </cell>
          <cell r="R407">
            <v>299.54347193123346</v>
          </cell>
        </row>
        <row r="408">
          <cell r="A408">
            <v>39615</v>
          </cell>
          <cell r="B408">
            <v>1.365</v>
          </cell>
          <cell r="C408">
            <v>136.5</v>
          </cell>
          <cell r="F408">
            <v>9635.5</v>
          </cell>
          <cell r="G408">
            <v>257.73230790775841</v>
          </cell>
          <cell r="K408">
            <v>412.42</v>
          </cell>
          <cell r="O408">
            <v>39615</v>
          </cell>
          <cell r="P408">
            <v>253.26388606871282</v>
          </cell>
          <cell r="R408">
            <v>298.60181359348923</v>
          </cell>
        </row>
        <row r="409">
          <cell r="A409">
            <v>39616</v>
          </cell>
          <cell r="B409">
            <v>1.365</v>
          </cell>
          <cell r="C409">
            <v>136.5</v>
          </cell>
          <cell r="F409">
            <v>9723.9</v>
          </cell>
          <cell r="G409">
            <v>260.09684903370362</v>
          </cell>
          <cell r="K409">
            <v>412.42</v>
          </cell>
          <cell r="O409">
            <v>39616</v>
          </cell>
          <cell r="P409">
            <v>259.6495439871029</v>
          </cell>
          <cell r="R409">
            <v>301.03276735410572</v>
          </cell>
        </row>
        <row r="410">
          <cell r="A410">
            <v>39617</v>
          </cell>
          <cell r="B410">
            <v>1.335</v>
          </cell>
          <cell r="C410">
            <v>133.5</v>
          </cell>
          <cell r="F410">
            <v>9534.8000000000011</v>
          </cell>
          <cell r="G410">
            <v>255.03876388759224</v>
          </cell>
          <cell r="K410">
            <v>412.42</v>
          </cell>
          <cell r="O410">
            <v>39617</v>
          </cell>
          <cell r="P410">
            <v>252.56108222001114</v>
          </cell>
          <cell r="R410">
            <v>291.10620523111527</v>
          </cell>
        </row>
        <row r="411">
          <cell r="A411">
            <v>39618</v>
          </cell>
          <cell r="B411">
            <v>1.3425</v>
          </cell>
          <cell r="C411">
            <v>134.25</v>
          </cell>
          <cell r="F411">
            <v>9446.6</v>
          </cell>
          <cell r="G411">
            <v>252.67957240220335</v>
          </cell>
          <cell r="K411">
            <v>412.42</v>
          </cell>
          <cell r="O411">
            <v>39618</v>
          </cell>
          <cell r="P411">
            <v>251.08053977094531</v>
          </cell>
          <cell r="R411">
            <v>284.67125759883402</v>
          </cell>
        </row>
        <row r="412">
          <cell r="A412">
            <v>39619</v>
          </cell>
          <cell r="B412">
            <v>1.3725000000000001</v>
          </cell>
          <cell r="C412">
            <v>137.25</v>
          </cell>
          <cell r="F412">
            <v>9361.1</v>
          </cell>
          <cell r="G412">
            <v>250.39260106432639</v>
          </cell>
          <cell r="K412">
            <v>412.42</v>
          </cell>
          <cell r="O412">
            <v>39619</v>
          </cell>
          <cell r="P412">
            <v>249.59554004653219</v>
          </cell>
          <cell r="R412">
            <v>278.97820320582554</v>
          </cell>
        </row>
        <row r="413">
          <cell r="A413">
            <v>39622</v>
          </cell>
          <cell r="B413">
            <v>1.36</v>
          </cell>
          <cell r="C413">
            <v>136</v>
          </cell>
          <cell r="F413">
            <v>9320.6</v>
          </cell>
          <cell r="G413">
            <v>249.30929885164787</v>
          </cell>
          <cell r="K413">
            <v>412.42</v>
          </cell>
          <cell r="O413">
            <v>39622</v>
          </cell>
          <cell r="P413">
            <v>249.20552781933279</v>
          </cell>
          <cell r="R413">
            <v>277.39915072664871</v>
          </cell>
        </row>
        <row r="414">
          <cell r="A414">
            <v>39623</v>
          </cell>
          <cell r="B414">
            <v>1.3075000000000001</v>
          </cell>
          <cell r="C414">
            <v>130.75</v>
          </cell>
          <cell r="F414">
            <v>9192.3000000000011</v>
          </cell>
          <cell r="G414">
            <v>245.87750443469332</v>
          </cell>
          <cell r="K414">
            <v>412.42</v>
          </cell>
          <cell r="O414">
            <v>39623</v>
          </cell>
          <cell r="P414">
            <v>245.1622731465182</v>
          </cell>
          <cell r="R414">
            <v>273.8094196891995</v>
          </cell>
        </row>
        <row r="415">
          <cell r="A415">
            <v>39624</v>
          </cell>
          <cell r="B415">
            <v>1.3575000000000002</v>
          </cell>
          <cell r="C415">
            <v>135.75000000000003</v>
          </cell>
          <cell r="F415">
            <v>9321.2000000000007</v>
          </cell>
          <cell r="G415">
            <v>249.32534777331719</v>
          </cell>
          <cell r="K415">
            <v>412.42</v>
          </cell>
          <cell r="O415">
            <v>39624</v>
          </cell>
          <cell r="P415">
            <v>249.95257248437935</v>
          </cell>
          <cell r="R415">
            <v>282.15791356941423</v>
          </cell>
        </row>
        <row r="416">
          <cell r="A416">
            <v>39625</v>
          </cell>
          <cell r="B416">
            <v>1.3049999999999999</v>
          </cell>
          <cell r="C416">
            <v>130.5</v>
          </cell>
          <cell r="F416">
            <v>9107.3000000000011</v>
          </cell>
          <cell r="G416">
            <v>243.60390719820748</v>
          </cell>
          <cell r="K416">
            <v>412.42</v>
          </cell>
          <cell r="O416">
            <v>39625</v>
          </cell>
          <cell r="P416">
            <v>242.28225873819611</v>
          </cell>
          <cell r="R416">
            <v>271.40132479083883</v>
          </cell>
        </row>
        <row r="417">
          <cell r="A417">
            <v>39626</v>
          </cell>
          <cell r="B417">
            <v>1.28</v>
          </cell>
          <cell r="C417">
            <v>128</v>
          </cell>
          <cell r="F417">
            <v>9104.8000000000011</v>
          </cell>
          <cell r="G417">
            <v>243.53703669125201</v>
          </cell>
          <cell r="K417">
            <v>412.42</v>
          </cell>
          <cell r="O417">
            <v>39626</v>
          </cell>
          <cell r="P417">
            <v>241.74577500906037</v>
          </cell>
          <cell r="R417">
            <v>270.13430541886095</v>
          </cell>
        </row>
        <row r="418">
          <cell r="A418">
            <v>39629</v>
          </cell>
          <cell r="B418">
            <v>1.2675000000000001</v>
          </cell>
          <cell r="C418">
            <v>126.75</v>
          </cell>
          <cell r="F418">
            <v>9145.8000000000011</v>
          </cell>
          <cell r="G418">
            <v>244.63371300532165</v>
          </cell>
          <cell r="K418">
            <v>412.42</v>
          </cell>
          <cell r="O418">
            <v>39629</v>
          </cell>
          <cell r="P418">
            <v>244.04929561088554</v>
          </cell>
          <cell r="R418">
            <v>275.37467399064758</v>
          </cell>
        </row>
        <row r="419">
          <cell r="A419">
            <v>39630</v>
          </cell>
          <cell r="B419">
            <v>1.165</v>
          </cell>
          <cell r="C419">
            <v>116.5</v>
          </cell>
          <cell r="F419">
            <v>8920.8000000000011</v>
          </cell>
          <cell r="G419">
            <v>238.61536737932968</v>
          </cell>
          <cell r="K419">
            <v>412.42</v>
          </cell>
          <cell r="O419">
            <v>39630</v>
          </cell>
          <cell r="P419">
            <v>236.50827926449662</v>
          </cell>
          <cell r="R419">
            <v>267.37077457876109</v>
          </cell>
        </row>
        <row r="420">
          <cell r="A420">
            <v>39631</v>
          </cell>
          <cell r="B420">
            <v>1.07</v>
          </cell>
          <cell r="C420">
            <v>107</v>
          </cell>
          <cell r="F420">
            <v>8658.2000000000007</v>
          </cell>
          <cell r="G420">
            <v>231.5912893287275</v>
          </cell>
          <cell r="K420">
            <v>412.42</v>
          </cell>
          <cell r="O420">
            <v>39631</v>
          </cell>
          <cell r="P420">
            <v>233.78389447292562</v>
          </cell>
          <cell r="R420">
            <v>261.70952953053256</v>
          </cell>
        </row>
        <row r="421">
          <cell r="A421">
            <v>39632</v>
          </cell>
          <cell r="B421">
            <v>1.0575000000000001</v>
          </cell>
          <cell r="C421">
            <v>105.75000000000001</v>
          </cell>
          <cell r="F421">
            <v>8656.4</v>
          </cell>
          <cell r="G421">
            <v>231.54314256371956</v>
          </cell>
          <cell r="K421">
            <v>412.42</v>
          </cell>
          <cell r="O421">
            <v>39632</v>
          </cell>
          <cell r="P421">
            <v>230.82531927851227</v>
          </cell>
          <cell r="R421">
            <v>265.06973617009783</v>
          </cell>
        </row>
        <row r="422">
          <cell r="A422">
            <v>39636</v>
          </cell>
          <cell r="B422">
            <v>1.08</v>
          </cell>
          <cell r="C422">
            <v>108</v>
          </cell>
          <cell r="F422">
            <v>8623</v>
          </cell>
          <cell r="G422">
            <v>230.64975259079449</v>
          </cell>
          <cell r="K422">
            <v>412.42</v>
          </cell>
          <cell r="O422">
            <v>39636</v>
          </cell>
          <cell r="P422">
            <v>232.13286962738292</v>
          </cell>
          <cell r="R422">
            <v>268.38504580905771</v>
          </cell>
        </row>
        <row r="423">
          <cell r="A423">
            <v>39637</v>
          </cell>
          <cell r="B423">
            <v>1.0325</v>
          </cell>
          <cell r="C423">
            <v>103.25</v>
          </cell>
          <cell r="F423">
            <v>8480.1</v>
          </cell>
          <cell r="G423">
            <v>226.82743441322006</v>
          </cell>
          <cell r="K423">
            <v>412.42</v>
          </cell>
          <cell r="O423">
            <v>39637</v>
          </cell>
          <cell r="P423">
            <v>230.91014185623985</v>
          </cell>
          <cell r="R423">
            <v>268.80656722180083</v>
          </cell>
        </row>
        <row r="424">
          <cell r="A424">
            <v>39638</v>
          </cell>
          <cell r="B424">
            <v>1.0249999999999999</v>
          </cell>
          <cell r="C424">
            <v>102.49999999999999</v>
          </cell>
          <cell r="F424">
            <v>8654.6</v>
          </cell>
          <cell r="G424">
            <v>231.49499579871161</v>
          </cell>
          <cell r="K424">
            <v>412.42</v>
          </cell>
          <cell r="O424">
            <v>39638</v>
          </cell>
          <cell r="P424">
            <v>237.48755441464255</v>
          </cell>
          <cell r="R424">
            <v>275.65368771205982</v>
          </cell>
        </row>
        <row r="425">
          <cell r="A425">
            <v>39639</v>
          </cell>
          <cell r="B425">
            <v>0.96750000000000003</v>
          </cell>
          <cell r="C425">
            <v>96.75</v>
          </cell>
          <cell r="F425">
            <v>8519.9</v>
          </cell>
          <cell r="G425">
            <v>227.89201288395108</v>
          </cell>
          <cell r="K425">
            <v>412.42</v>
          </cell>
          <cell r="O425">
            <v>39639</v>
          </cell>
          <cell r="P425">
            <v>233.60496141280314</v>
          </cell>
          <cell r="R425">
            <v>268.95963097150093</v>
          </cell>
        </row>
        <row r="426">
          <cell r="A426">
            <v>39640</v>
          </cell>
          <cell r="B426">
            <v>0.94000000000000006</v>
          </cell>
          <cell r="C426">
            <v>94</v>
          </cell>
          <cell r="F426">
            <v>8339.1</v>
          </cell>
          <cell r="G426">
            <v>223.05593782093177</v>
          </cell>
          <cell r="K426">
            <v>412.42</v>
          </cell>
          <cell r="O426">
            <v>39640</v>
          </cell>
          <cell r="P426">
            <v>222.87107748849081</v>
          </cell>
          <cell r="R426">
            <v>262.84155964764312</v>
          </cell>
        </row>
        <row r="427">
          <cell r="A427">
            <v>39643</v>
          </cell>
          <cell r="B427">
            <v>0.995</v>
          </cell>
          <cell r="C427">
            <v>99.5</v>
          </cell>
          <cell r="F427">
            <v>8445.7000000000007</v>
          </cell>
          <cell r="G427">
            <v>225.90729623751287</v>
          </cell>
          <cell r="K427">
            <v>412.42</v>
          </cell>
          <cell r="O427">
            <v>39643</v>
          </cell>
          <cell r="P427">
            <v>235.37581052087771</v>
          </cell>
          <cell r="R427">
            <v>269.11347748153662</v>
          </cell>
        </row>
        <row r="428">
          <cell r="A428">
            <v>39644</v>
          </cell>
          <cell r="B428">
            <v>0.99250000000000005</v>
          </cell>
          <cell r="C428">
            <v>99.25</v>
          </cell>
          <cell r="F428">
            <v>8279.3000000000011</v>
          </cell>
          <cell r="G428">
            <v>221.45639529455701</v>
          </cell>
          <cell r="K428">
            <v>412.42</v>
          </cell>
          <cell r="O428">
            <v>39644</v>
          </cell>
          <cell r="P428">
            <v>232.01016537906543</v>
          </cell>
          <cell r="R428">
            <v>262.78077794776527</v>
          </cell>
        </row>
        <row r="429">
          <cell r="A429">
            <v>39645</v>
          </cell>
          <cell r="B429">
            <v>1.0175000000000001</v>
          </cell>
          <cell r="C429">
            <v>101.75</v>
          </cell>
          <cell r="F429">
            <v>8414.5</v>
          </cell>
          <cell r="G429">
            <v>225.07275231070861</v>
          </cell>
          <cell r="K429">
            <v>412.42</v>
          </cell>
          <cell r="O429">
            <v>39645</v>
          </cell>
          <cell r="P429">
            <v>234.18966198800368</v>
          </cell>
          <cell r="R429">
            <v>269.21531083750961</v>
          </cell>
        </row>
        <row r="430">
          <cell r="A430">
            <v>39646</v>
          </cell>
          <cell r="B430">
            <v>1.0775000000000001</v>
          </cell>
          <cell r="C430">
            <v>107.75000000000001</v>
          </cell>
          <cell r="F430">
            <v>8719.7000000000007</v>
          </cell>
          <cell r="G430">
            <v>233.23630379983194</v>
          </cell>
          <cell r="K430">
            <v>412.42</v>
          </cell>
          <cell r="O430">
            <v>39646</v>
          </cell>
          <cell r="P430">
            <v>239.83295866346978</v>
          </cell>
          <cell r="R430">
            <v>280.58392392639195</v>
          </cell>
        </row>
        <row r="431">
          <cell r="A431">
            <v>39647</v>
          </cell>
          <cell r="B431">
            <v>1.1525000000000001</v>
          </cell>
          <cell r="C431">
            <v>115.25000000000001</v>
          </cell>
          <cell r="F431">
            <v>8964.7000000000007</v>
          </cell>
          <cell r="G431">
            <v>239.78961348146765</v>
          </cell>
          <cell r="K431">
            <v>412.42</v>
          </cell>
          <cell r="O431">
            <v>39647</v>
          </cell>
          <cell r="P431">
            <v>248.07667098069331</v>
          </cell>
          <cell r="R431">
            <v>287.35133468765224</v>
          </cell>
        </row>
        <row r="432">
          <cell r="A432">
            <v>39650</v>
          </cell>
          <cell r="B432">
            <v>1.1675</v>
          </cell>
          <cell r="C432">
            <v>116.75</v>
          </cell>
          <cell r="F432">
            <v>9045.5</v>
          </cell>
          <cell r="G432">
            <v>241.95086826626834</v>
          </cell>
          <cell r="K432">
            <v>412.42</v>
          </cell>
          <cell r="O432">
            <v>39650</v>
          </cell>
          <cell r="P432">
            <v>249.70550239125339</v>
          </cell>
          <cell r="R432">
            <v>285.2201289140981</v>
          </cell>
        </row>
        <row r="433">
          <cell r="A433">
            <v>39651</v>
          </cell>
          <cell r="B433">
            <v>1.1675</v>
          </cell>
          <cell r="C433">
            <v>116.75</v>
          </cell>
          <cell r="F433">
            <v>8982.6</v>
          </cell>
          <cell r="G433">
            <v>240.26840631126879</v>
          </cell>
          <cell r="K433">
            <v>412.42</v>
          </cell>
          <cell r="O433">
            <v>39651</v>
          </cell>
          <cell r="P433">
            <v>252.42795941581096</v>
          </cell>
          <cell r="R433">
            <v>285.6303449696934</v>
          </cell>
        </row>
        <row r="434">
          <cell r="A434">
            <v>39652</v>
          </cell>
          <cell r="B434">
            <v>1.24</v>
          </cell>
          <cell r="C434">
            <v>124</v>
          </cell>
          <cell r="F434">
            <v>9189.8000000000011</v>
          </cell>
          <cell r="G434">
            <v>245.81063392773788</v>
          </cell>
          <cell r="K434">
            <v>412.42</v>
          </cell>
          <cell r="O434">
            <v>39652</v>
          </cell>
          <cell r="P434">
            <v>260.022615809635</v>
          </cell>
          <cell r="R434">
            <v>293.25574330225243</v>
          </cell>
        </row>
        <row r="435">
          <cell r="A435">
            <v>39653</v>
          </cell>
          <cell r="B435">
            <v>1.2250000000000001</v>
          </cell>
          <cell r="C435">
            <v>122.50000000000001</v>
          </cell>
          <cell r="F435">
            <v>9007.2000000000007</v>
          </cell>
          <cell r="G435">
            <v>240.9264120997106</v>
          </cell>
          <cell r="K435">
            <v>412.42</v>
          </cell>
          <cell r="O435">
            <v>39653</v>
          </cell>
          <cell r="P435">
            <v>246.73608013526356</v>
          </cell>
          <cell r="R435">
            <v>288.45100566640718</v>
          </cell>
        </row>
        <row r="436">
          <cell r="A436">
            <v>39654</v>
          </cell>
          <cell r="B436">
            <v>1.22</v>
          </cell>
          <cell r="C436">
            <v>122</v>
          </cell>
          <cell r="F436">
            <v>8867.7000000000007</v>
          </cell>
          <cell r="G436">
            <v>237.19503781159557</v>
          </cell>
          <cell r="K436">
            <v>412.42</v>
          </cell>
          <cell r="O436">
            <v>39654</v>
          </cell>
          <cell r="P436">
            <v>248.62250248254273</v>
          </cell>
          <cell r="R436">
            <v>288.71059568465074</v>
          </cell>
        </row>
        <row r="437">
          <cell r="A437">
            <v>39657</v>
          </cell>
          <cell r="B437">
            <v>1.1825000000000001</v>
          </cell>
          <cell r="C437">
            <v>118.25000000000001</v>
          </cell>
          <cell r="F437">
            <v>8716.7000000000007</v>
          </cell>
          <cell r="G437">
            <v>233.15605919148541</v>
          </cell>
          <cell r="K437">
            <v>412.42</v>
          </cell>
          <cell r="O437">
            <v>39657</v>
          </cell>
          <cell r="P437">
            <v>236.89117206756032</v>
          </cell>
          <cell r="R437">
            <v>281.46704172599135</v>
          </cell>
        </row>
        <row r="438">
          <cell r="A438">
            <v>39658</v>
          </cell>
          <cell r="B438">
            <v>1.18</v>
          </cell>
          <cell r="C438">
            <v>118</v>
          </cell>
          <cell r="F438">
            <v>8731.4</v>
          </cell>
          <cell r="G438">
            <v>233.54925777238353</v>
          </cell>
          <cell r="K438">
            <v>412.42</v>
          </cell>
          <cell r="O438">
            <v>39658</v>
          </cell>
          <cell r="P438">
            <v>238.43754090654835</v>
          </cell>
          <cell r="R438">
            <v>282.36548011579919</v>
          </cell>
        </row>
        <row r="439">
          <cell r="A439">
            <v>39659</v>
          </cell>
          <cell r="B439">
            <v>1.21</v>
          </cell>
          <cell r="C439">
            <v>121</v>
          </cell>
          <cell r="F439">
            <v>8886.3000000000011</v>
          </cell>
          <cell r="G439">
            <v>237.69255438334426</v>
          </cell>
          <cell r="K439">
            <v>412.42</v>
          </cell>
          <cell r="O439">
            <v>39659</v>
          </cell>
          <cell r="P439">
            <v>241.93598703073584</v>
          </cell>
          <cell r="R439">
            <v>284.50406063145311</v>
          </cell>
        </row>
        <row r="440">
          <cell r="A440">
            <v>39660</v>
          </cell>
          <cell r="B440">
            <v>1.2325000000000002</v>
          </cell>
          <cell r="C440">
            <v>123.25000000000001</v>
          </cell>
          <cell r="F440">
            <v>8856.7000000000007</v>
          </cell>
          <cell r="G440">
            <v>236.90080758099151</v>
          </cell>
          <cell r="K440">
            <v>412.42</v>
          </cell>
          <cell r="O440">
            <v>39660</v>
          </cell>
          <cell r="P440">
            <v>244.02090267696809</v>
          </cell>
          <cell r="R440">
            <v>273.93133858994912</v>
          </cell>
        </row>
        <row r="441">
          <cell r="A441">
            <v>39661</v>
          </cell>
          <cell r="B441">
            <v>1.2250000000000001</v>
          </cell>
          <cell r="C441">
            <v>122.50000000000001</v>
          </cell>
          <cell r="F441">
            <v>8839.9</v>
          </cell>
          <cell r="G441">
            <v>236.45143777425076</v>
          </cell>
          <cell r="K441">
            <v>412.42</v>
          </cell>
          <cell r="O441">
            <v>39661</v>
          </cell>
          <cell r="P441">
            <v>239.2334945403403</v>
          </cell>
          <cell r="R441">
            <v>270.7232162890877</v>
          </cell>
        </row>
        <row r="442">
          <cell r="A442">
            <v>39664</v>
          </cell>
          <cell r="B442">
            <v>1.2375</v>
          </cell>
          <cell r="C442">
            <v>123.75</v>
          </cell>
          <cell r="F442">
            <v>8787.4</v>
          </cell>
          <cell r="G442">
            <v>235.04715712818597</v>
          </cell>
          <cell r="K442">
            <v>412.42</v>
          </cell>
          <cell r="O442">
            <v>39664</v>
          </cell>
          <cell r="P442">
            <v>235.80975633087343</v>
          </cell>
          <cell r="R442">
            <v>270.14089941358458</v>
          </cell>
        </row>
        <row r="443">
          <cell r="A443">
            <v>39665</v>
          </cell>
          <cell r="B443">
            <v>1.3</v>
          </cell>
          <cell r="C443">
            <v>130</v>
          </cell>
          <cell r="F443">
            <v>9075.7000000000007</v>
          </cell>
          <cell r="G443">
            <v>242.75866399029039</v>
          </cell>
          <cell r="K443">
            <v>412.42</v>
          </cell>
          <cell r="O443">
            <v>39665</v>
          </cell>
          <cell r="P443">
            <v>245.89699253763479</v>
          </cell>
          <cell r="R443">
            <v>283.83094615114464</v>
          </cell>
        </row>
        <row r="444">
          <cell r="A444">
            <v>39666</v>
          </cell>
          <cell r="B444">
            <v>1.3225</v>
          </cell>
          <cell r="C444">
            <v>132.25</v>
          </cell>
          <cell r="F444">
            <v>9131.5</v>
          </cell>
          <cell r="G444">
            <v>244.25121370553634</v>
          </cell>
          <cell r="K444">
            <v>412.42</v>
          </cell>
          <cell r="O444">
            <v>39666</v>
          </cell>
          <cell r="P444">
            <v>247.270302617428</v>
          </cell>
          <cell r="R444">
            <v>284.7991769829037</v>
          </cell>
        </row>
        <row r="445">
          <cell r="A445">
            <v>39667</v>
          </cell>
          <cell r="B445">
            <v>1.3149999999999999</v>
          </cell>
          <cell r="C445">
            <v>131.5</v>
          </cell>
          <cell r="F445">
            <v>9088.7000000000007</v>
          </cell>
          <cell r="G445">
            <v>243.10639062645882</v>
          </cell>
          <cell r="K445">
            <v>412.42</v>
          </cell>
          <cell r="O445">
            <v>39667</v>
          </cell>
          <cell r="P445">
            <v>244.36029047343314</v>
          </cell>
          <cell r="R445">
            <v>288.01253953187648</v>
          </cell>
        </row>
        <row r="446">
          <cell r="A446">
            <v>39668</v>
          </cell>
          <cell r="B446">
            <v>1.3875</v>
          </cell>
          <cell r="C446">
            <v>138.75</v>
          </cell>
          <cell r="F446">
            <v>9201.9</v>
          </cell>
          <cell r="G446">
            <v>246.13428718140227</v>
          </cell>
          <cell r="K446">
            <v>412.42</v>
          </cell>
          <cell r="O446">
            <v>39668</v>
          </cell>
          <cell r="P446">
            <v>250.74866996224551</v>
          </cell>
          <cell r="R446">
            <v>298.80216000900367</v>
          </cell>
        </row>
        <row r="447">
          <cell r="A447">
            <v>39671</v>
          </cell>
          <cell r="B447">
            <v>1.48</v>
          </cell>
          <cell r="C447">
            <v>148</v>
          </cell>
          <cell r="F447">
            <v>9384.1</v>
          </cell>
          <cell r="G447">
            <v>251.00780972831669</v>
          </cell>
          <cell r="K447">
            <v>412.42</v>
          </cell>
          <cell r="O447">
            <v>39671</v>
          </cell>
          <cell r="P447">
            <v>252.32065947308556</v>
          </cell>
          <cell r="R447">
            <v>304.3570263984065</v>
          </cell>
        </row>
        <row r="448">
          <cell r="A448">
            <v>39672</v>
          </cell>
          <cell r="B448">
            <v>1.4675</v>
          </cell>
          <cell r="C448">
            <v>146.75</v>
          </cell>
          <cell r="F448">
            <v>9291.2000000000007</v>
          </cell>
          <cell r="G448">
            <v>248.52290168985158</v>
          </cell>
          <cell r="K448">
            <v>412.42</v>
          </cell>
          <cell r="O448">
            <v>39672</v>
          </cell>
          <cell r="P448">
            <v>249.81117812990982</v>
          </cell>
          <cell r="R448">
            <v>305.20268711067274</v>
          </cell>
        </row>
        <row r="449">
          <cell r="A449">
            <v>39673</v>
          </cell>
          <cell r="B449">
            <v>1.4000000000000001</v>
          </cell>
          <cell r="C449">
            <v>140</v>
          </cell>
          <cell r="F449">
            <v>9109.5</v>
          </cell>
          <cell r="G449">
            <v>243.66275324432826</v>
          </cell>
          <cell r="K449">
            <v>412.42</v>
          </cell>
          <cell r="O449">
            <v>39673</v>
          </cell>
          <cell r="P449">
            <v>246.36120924649964</v>
          </cell>
          <cell r="R449">
            <v>301.39075474906508</v>
          </cell>
        </row>
        <row r="450">
          <cell r="A450">
            <v>39674</v>
          </cell>
          <cell r="B450">
            <v>1.34</v>
          </cell>
          <cell r="C450">
            <v>134</v>
          </cell>
          <cell r="F450">
            <v>9134.4</v>
          </cell>
          <cell r="G450">
            <v>244.32878349360467</v>
          </cell>
          <cell r="K450">
            <v>412.42</v>
          </cell>
          <cell r="O450">
            <v>39674</v>
          </cell>
          <cell r="P450">
            <v>245.21936148118809</v>
          </cell>
          <cell r="R450">
            <v>296.93315954040668</v>
          </cell>
        </row>
        <row r="451">
          <cell r="A451">
            <v>39675</v>
          </cell>
          <cell r="B451">
            <v>1.3725000000000001</v>
          </cell>
          <cell r="C451">
            <v>137.25</v>
          </cell>
          <cell r="F451">
            <v>9194.9</v>
          </cell>
          <cell r="G451">
            <v>245.94704976192699</v>
          </cell>
          <cell r="K451">
            <v>412.42</v>
          </cell>
          <cell r="O451">
            <v>39675</v>
          </cell>
          <cell r="P451">
            <v>250.60060768643169</v>
          </cell>
          <cell r="R451">
            <v>303.23681604875577</v>
          </cell>
        </row>
        <row r="452">
          <cell r="A452">
            <v>39678</v>
          </cell>
          <cell r="B452">
            <v>1.3525</v>
          </cell>
          <cell r="C452">
            <v>135.25</v>
          </cell>
          <cell r="F452">
            <v>9124</v>
          </cell>
          <cell r="G452">
            <v>244.05060218466997</v>
          </cell>
          <cell r="K452">
            <v>412.42</v>
          </cell>
          <cell r="O452">
            <v>39678</v>
          </cell>
          <cell r="P452">
            <v>247.31626463653822</v>
          </cell>
          <cell r="R452">
            <v>298.56838703820233</v>
          </cell>
        </row>
        <row r="453">
          <cell r="A453">
            <v>39679</v>
          </cell>
          <cell r="B453">
            <v>1.3825000000000001</v>
          </cell>
          <cell r="C453">
            <v>138.25</v>
          </cell>
          <cell r="F453">
            <v>8867.6</v>
          </cell>
          <cell r="G453">
            <v>237.19236299131734</v>
          </cell>
          <cell r="K453">
            <v>412.42</v>
          </cell>
          <cell r="O453">
            <v>39679</v>
          </cell>
          <cell r="P453">
            <v>244.22195575302379</v>
          </cell>
          <cell r="R453">
            <v>289.7548802204397</v>
          </cell>
        </row>
        <row r="454">
          <cell r="A454">
            <v>39680</v>
          </cell>
          <cell r="B454">
            <v>1.33</v>
          </cell>
          <cell r="C454">
            <v>133</v>
          </cell>
          <cell r="F454">
            <v>8897.3000000000011</v>
          </cell>
          <cell r="G454">
            <v>237.98678461394829</v>
          </cell>
          <cell r="K454">
            <v>412.42</v>
          </cell>
          <cell r="O454">
            <v>39680</v>
          </cell>
          <cell r="P454">
            <v>243.98571250285426</v>
          </cell>
          <cell r="R454">
            <v>289.31874783627114</v>
          </cell>
        </row>
        <row r="455">
          <cell r="A455">
            <v>39681</v>
          </cell>
          <cell r="B455">
            <v>1.3175000000000001</v>
          </cell>
          <cell r="C455">
            <v>131.75</v>
          </cell>
          <cell r="F455">
            <v>8939.1</v>
          </cell>
          <cell r="G455">
            <v>239.10485949024368</v>
          </cell>
          <cell r="K455">
            <v>412.42</v>
          </cell>
          <cell r="O455">
            <v>39681</v>
          </cell>
          <cell r="P455">
            <v>243.75951082861957</v>
          </cell>
          <cell r="R455">
            <v>285.59134581380823</v>
          </cell>
        </row>
        <row r="456">
          <cell r="A456">
            <v>39682</v>
          </cell>
          <cell r="B456">
            <v>1.3800000000000001</v>
          </cell>
          <cell r="C456">
            <v>138</v>
          </cell>
          <cell r="F456">
            <v>9182.7000000000007</v>
          </cell>
          <cell r="G456">
            <v>245.62072168798434</v>
          </cell>
          <cell r="K456">
            <v>412.42</v>
          </cell>
          <cell r="O456">
            <v>39682</v>
          </cell>
          <cell r="P456">
            <v>253.05229638042155</v>
          </cell>
          <cell r="R456">
            <v>295.28435819976085</v>
          </cell>
        </row>
        <row r="457">
          <cell r="A457">
            <v>39685</v>
          </cell>
          <cell r="B457">
            <v>1.3800000000000001</v>
          </cell>
          <cell r="C457">
            <v>138</v>
          </cell>
          <cell r="F457">
            <v>9182.7000000000007</v>
          </cell>
          <cell r="G457">
            <v>245.62072168798434</v>
          </cell>
          <cell r="K457">
            <v>412.42</v>
          </cell>
          <cell r="O457">
            <v>39685</v>
          </cell>
          <cell r="P457">
            <v>250.71385759180495</v>
          </cell>
          <cell r="R457">
            <v>293.30232472956573</v>
          </cell>
        </row>
        <row r="458">
          <cell r="A458">
            <v>39686</v>
          </cell>
          <cell r="B458">
            <v>1.3575000000000002</v>
          </cell>
          <cell r="C458">
            <v>135.75000000000003</v>
          </cell>
          <cell r="F458">
            <v>9133.6</v>
          </cell>
          <cell r="G458">
            <v>244.30738493137895</v>
          </cell>
          <cell r="K458">
            <v>412.42</v>
          </cell>
          <cell r="O458">
            <v>39686</v>
          </cell>
          <cell r="P458">
            <v>251.47831196190737</v>
          </cell>
          <cell r="R458">
            <v>292.21357095674557</v>
          </cell>
        </row>
        <row r="459">
          <cell r="A459">
            <v>39687</v>
          </cell>
          <cell r="B459">
            <v>1.3475000000000001</v>
          </cell>
          <cell r="C459">
            <v>134.75</v>
          </cell>
          <cell r="F459">
            <v>9137.1</v>
          </cell>
          <cell r="G459">
            <v>244.40100364111663</v>
          </cell>
          <cell r="K459">
            <v>412.42</v>
          </cell>
          <cell r="O459">
            <v>39687</v>
          </cell>
          <cell r="P459">
            <v>256.24867045797907</v>
          </cell>
          <cell r="R459">
            <v>295.47766458726232</v>
          </cell>
        </row>
        <row r="460">
          <cell r="A460">
            <v>39688</v>
          </cell>
          <cell r="B460">
            <v>1.32</v>
          </cell>
          <cell r="C460">
            <v>132</v>
          </cell>
          <cell r="F460">
            <v>9271.7000000000007</v>
          </cell>
          <cell r="G460">
            <v>248.00131173559893</v>
          </cell>
          <cell r="K460">
            <v>412.42</v>
          </cell>
          <cell r="O460">
            <v>39688</v>
          </cell>
          <cell r="P460">
            <v>264.01571887818926</v>
          </cell>
          <cell r="R460">
            <v>301.41843293806119</v>
          </cell>
        </row>
        <row r="461">
          <cell r="A461">
            <v>39689</v>
          </cell>
          <cell r="B461">
            <v>1.3325</v>
          </cell>
          <cell r="C461">
            <v>133.25</v>
          </cell>
          <cell r="F461">
            <v>9381.8000000000011</v>
          </cell>
          <cell r="G461">
            <v>250.94628886191768</v>
          </cell>
          <cell r="K461">
            <v>412.42</v>
          </cell>
          <cell r="O461">
            <v>39689</v>
          </cell>
          <cell r="P461">
            <v>263.85488987554822</v>
          </cell>
          <cell r="R461">
            <v>303.32003773787096</v>
          </cell>
        </row>
        <row r="462">
          <cell r="A462">
            <v>39693</v>
          </cell>
          <cell r="B462">
            <v>1.4625000000000001</v>
          </cell>
          <cell r="C462">
            <v>146.25</v>
          </cell>
          <cell r="F462">
            <v>9543.6</v>
          </cell>
          <cell r="G462">
            <v>255.27414807207543</v>
          </cell>
          <cell r="K462">
            <v>412.42</v>
          </cell>
          <cell r="O462">
            <v>39693</v>
          </cell>
          <cell r="P462">
            <v>270.09060462227814</v>
          </cell>
          <cell r="R462">
            <v>314.49891304782938</v>
          </cell>
        </row>
        <row r="463">
          <cell r="A463">
            <v>39694</v>
          </cell>
          <cell r="B463">
            <v>1.4425000000000001</v>
          </cell>
          <cell r="C463">
            <v>144.25</v>
          </cell>
          <cell r="F463">
            <v>9369.7000000000007</v>
          </cell>
          <cell r="G463">
            <v>250.62263560825323</v>
          </cell>
          <cell r="K463">
            <v>412.42</v>
          </cell>
          <cell r="O463">
            <v>39694</v>
          </cell>
          <cell r="P463">
            <v>264.00180827741741</v>
          </cell>
          <cell r="R463">
            <v>311.16550793687298</v>
          </cell>
        </row>
        <row r="464">
          <cell r="A464">
            <v>39695</v>
          </cell>
          <cell r="B464">
            <v>1.3975</v>
          </cell>
          <cell r="C464">
            <v>139.75</v>
          </cell>
          <cell r="F464">
            <v>9150</v>
          </cell>
          <cell r="G464">
            <v>244.7460554570068</v>
          </cell>
          <cell r="K464">
            <v>412.42</v>
          </cell>
          <cell r="O464">
            <v>39695</v>
          </cell>
          <cell r="P464">
            <v>251.81642991547528</v>
          </cell>
          <cell r="R464">
            <v>299.83568204453235</v>
          </cell>
        </row>
        <row r="465">
          <cell r="A465">
            <v>39696</v>
          </cell>
          <cell r="B465">
            <v>1.385</v>
          </cell>
          <cell r="C465">
            <v>138.5</v>
          </cell>
          <cell r="F465">
            <v>8966.8000000000011</v>
          </cell>
          <cell r="G465">
            <v>239.84578470731026</v>
          </cell>
          <cell r="K465">
            <v>412.42</v>
          </cell>
          <cell r="O465">
            <v>39696</v>
          </cell>
          <cell r="P465">
            <v>246.57394720852488</v>
          </cell>
          <cell r="R465">
            <v>292.19328850716829</v>
          </cell>
        </row>
        <row r="466">
          <cell r="A466">
            <v>39699</v>
          </cell>
          <cell r="B466">
            <v>1.44</v>
          </cell>
          <cell r="C466">
            <v>144</v>
          </cell>
          <cell r="F466">
            <v>9270</v>
          </cell>
          <cell r="G466">
            <v>247.95583979086919</v>
          </cell>
          <cell r="K466">
            <v>412.42</v>
          </cell>
          <cell r="O466">
            <v>39699</v>
          </cell>
          <cell r="P466">
            <v>254.06915845749296</v>
          </cell>
          <cell r="R466">
            <v>302.29859102704</v>
          </cell>
        </row>
        <row r="467">
          <cell r="A467">
            <v>39700</v>
          </cell>
          <cell r="B467">
            <v>1.395</v>
          </cell>
          <cell r="C467">
            <v>139.5</v>
          </cell>
          <cell r="F467">
            <v>9138.2000000000007</v>
          </cell>
          <cell r="G467">
            <v>244.43042666417705</v>
          </cell>
          <cell r="K467">
            <v>412.42</v>
          </cell>
          <cell r="O467">
            <v>39700</v>
          </cell>
          <cell r="P467">
            <v>249.56692360291169</v>
          </cell>
          <cell r="R467">
            <v>302.29695489310416</v>
          </cell>
        </row>
        <row r="468">
          <cell r="A468">
            <v>39701</v>
          </cell>
          <cell r="B468">
            <v>1.3875</v>
          </cell>
          <cell r="C468">
            <v>138.75</v>
          </cell>
          <cell r="F468">
            <v>8967.2000000000007</v>
          </cell>
          <cell r="G468">
            <v>239.85648398842312</v>
          </cell>
          <cell r="K468">
            <v>412.42</v>
          </cell>
          <cell r="O468">
            <v>39701</v>
          </cell>
          <cell r="P468">
            <v>246.58360488675908</v>
          </cell>
          <cell r="R468">
            <v>303.43520177908607</v>
          </cell>
        </row>
        <row r="469">
          <cell r="A469">
            <v>39702</v>
          </cell>
          <cell r="B469">
            <v>1.36</v>
          </cell>
          <cell r="C469">
            <v>136</v>
          </cell>
          <cell r="F469">
            <v>8874.9</v>
          </cell>
          <cell r="G469">
            <v>237.38762487162728</v>
          </cell>
          <cell r="K469">
            <v>412.42</v>
          </cell>
          <cell r="O469">
            <v>39702</v>
          </cell>
          <cell r="P469">
            <v>242.32014393735037</v>
          </cell>
          <cell r="R469">
            <v>301.99342521453156</v>
          </cell>
        </row>
        <row r="470">
          <cell r="A470">
            <v>39703</v>
          </cell>
          <cell r="B470">
            <v>1.3525</v>
          </cell>
          <cell r="C470">
            <v>135.25</v>
          </cell>
          <cell r="F470">
            <v>8976.7000000000007</v>
          </cell>
          <cell r="G470">
            <v>240.11059191485393</v>
          </cell>
          <cell r="K470">
            <v>412.42</v>
          </cell>
          <cell r="O470">
            <v>39703</v>
          </cell>
          <cell r="P470">
            <v>247.06553771053746</v>
          </cell>
          <cell r="R470">
            <v>302.05377420518857</v>
          </cell>
        </row>
        <row r="471">
          <cell r="A471">
            <v>39706</v>
          </cell>
          <cell r="B471">
            <v>1.3049999999999999</v>
          </cell>
          <cell r="C471">
            <v>130.5</v>
          </cell>
          <cell r="F471">
            <v>8708.4</v>
          </cell>
          <cell r="G471">
            <v>232.93404910839322</v>
          </cell>
          <cell r="K471">
            <v>412.42</v>
          </cell>
          <cell r="O471">
            <v>39706</v>
          </cell>
          <cell r="P471">
            <v>240.05988318039459</v>
          </cell>
          <cell r="R471">
            <v>295.10838425219242</v>
          </cell>
        </row>
        <row r="472">
          <cell r="A472">
            <v>39707</v>
          </cell>
          <cell r="B472">
            <v>1.2175</v>
          </cell>
          <cell r="C472">
            <v>121.75</v>
          </cell>
          <cell r="F472">
            <v>8409.1</v>
          </cell>
          <cell r="G472">
            <v>224.92831201568481</v>
          </cell>
          <cell r="K472">
            <v>412.42</v>
          </cell>
          <cell r="O472">
            <v>39707</v>
          </cell>
          <cell r="P472">
            <v>236.2219691107785</v>
          </cell>
          <cell r="R472">
            <v>288.86507113892714</v>
          </cell>
        </row>
        <row r="473">
          <cell r="A473">
            <v>39708</v>
          </cell>
          <cell r="B473">
            <v>1.21</v>
          </cell>
          <cell r="C473">
            <v>121</v>
          </cell>
          <cell r="F473">
            <v>8309.8000000000011</v>
          </cell>
          <cell r="G473">
            <v>222.27221547941372</v>
          </cell>
          <cell r="K473">
            <v>412.42</v>
          </cell>
          <cell r="O473">
            <v>39708</v>
          </cell>
          <cell r="P473">
            <v>230.51646148182849</v>
          </cell>
          <cell r="R473">
            <v>282.4535306835437</v>
          </cell>
        </row>
        <row r="474">
          <cell r="A474">
            <v>39709</v>
          </cell>
          <cell r="B474">
            <v>1.1000000000000001</v>
          </cell>
          <cell r="C474">
            <v>110.00000000000001</v>
          </cell>
          <cell r="F474">
            <v>8336.8000000000011</v>
          </cell>
          <cell r="G474">
            <v>222.99441695453277</v>
          </cell>
          <cell r="K474">
            <v>412.42</v>
          </cell>
          <cell r="O474">
            <v>39709</v>
          </cell>
          <cell r="P474">
            <v>226.33157024294906</v>
          </cell>
          <cell r="R474">
            <v>282.57681295535042</v>
          </cell>
        </row>
        <row r="475">
          <cell r="A475">
            <v>39710</v>
          </cell>
          <cell r="B475">
            <v>1.1975</v>
          </cell>
          <cell r="C475">
            <v>119.75</v>
          </cell>
          <cell r="F475">
            <v>8982.7000000000007</v>
          </cell>
          <cell r="G475">
            <v>240.27108113154702</v>
          </cell>
          <cell r="K475">
            <v>412.42</v>
          </cell>
          <cell r="O475">
            <v>39710</v>
          </cell>
          <cell r="P475">
            <v>237.80338843106395</v>
          </cell>
          <cell r="R475">
            <v>295.88356948882983</v>
          </cell>
        </row>
        <row r="476">
          <cell r="A476">
            <v>39713</v>
          </cell>
          <cell r="B476">
            <v>1.2575000000000001</v>
          </cell>
          <cell r="C476">
            <v>125.75</v>
          </cell>
          <cell r="F476">
            <v>8753.01</v>
          </cell>
          <cell r="G476">
            <v>234.1272864345066</v>
          </cell>
          <cell r="K476">
            <v>412.42</v>
          </cell>
          <cell r="O476">
            <v>39713</v>
          </cell>
          <cell r="P476">
            <v>236.6415354896904</v>
          </cell>
          <cell r="R476">
            <v>285.84897619281236</v>
          </cell>
        </row>
        <row r="477">
          <cell r="A477">
            <v>39714</v>
          </cell>
          <cell r="B477">
            <v>1.2375</v>
          </cell>
          <cell r="C477">
            <v>123.75</v>
          </cell>
          <cell r="F477">
            <v>8454.58</v>
          </cell>
          <cell r="G477">
            <v>226.14482027821867</v>
          </cell>
          <cell r="K477">
            <v>412.42</v>
          </cell>
          <cell r="O477">
            <v>39714</v>
          </cell>
          <cell r="P477">
            <v>229.90402659749964</v>
          </cell>
          <cell r="R477">
            <v>279.07516956376173</v>
          </cell>
        </row>
        <row r="478">
          <cell r="A478">
            <v>39715</v>
          </cell>
          <cell r="B478">
            <v>1.2275</v>
          </cell>
          <cell r="C478">
            <v>122.75</v>
          </cell>
          <cell r="F478">
            <v>8407.36</v>
          </cell>
          <cell r="G478">
            <v>224.88177014284381</v>
          </cell>
          <cell r="K478">
            <v>412.42</v>
          </cell>
          <cell r="O478">
            <v>39715</v>
          </cell>
          <cell r="P478">
            <v>228.69199415082082</v>
          </cell>
          <cell r="R478">
            <v>280.1558042707876</v>
          </cell>
        </row>
        <row r="479">
          <cell r="A479">
            <v>39716</v>
          </cell>
          <cell r="B479">
            <v>1.24</v>
          </cell>
          <cell r="C479">
            <v>124</v>
          </cell>
          <cell r="F479">
            <v>8434.65</v>
          </cell>
          <cell r="G479">
            <v>225.61172859676967</v>
          </cell>
          <cell r="K479">
            <v>412.42</v>
          </cell>
          <cell r="O479">
            <v>39716</v>
          </cell>
          <cell r="P479">
            <v>228.17236248408369</v>
          </cell>
          <cell r="R479">
            <v>286.12125813591371</v>
          </cell>
        </row>
        <row r="480">
          <cell r="A480">
            <v>39717</v>
          </cell>
          <cell r="B480">
            <v>1.1925000000000001</v>
          </cell>
          <cell r="C480">
            <v>119.25000000000001</v>
          </cell>
          <cell r="F480">
            <v>8274.44</v>
          </cell>
          <cell r="G480">
            <v>221.32639902903557</v>
          </cell>
          <cell r="K480">
            <v>412.42</v>
          </cell>
          <cell r="O480">
            <v>39717</v>
          </cell>
          <cell r="P480">
            <v>223.74252551094349</v>
          </cell>
          <cell r="R480">
            <v>277.00175174882332</v>
          </cell>
        </row>
        <row r="481">
          <cell r="A481">
            <v>39720</v>
          </cell>
          <cell r="B481">
            <v>1.115</v>
          </cell>
          <cell r="C481">
            <v>111.5</v>
          </cell>
          <cell r="F481">
            <v>7792.93</v>
          </cell>
          <cell r="G481">
            <v>208.44687190738492</v>
          </cell>
          <cell r="K481">
            <v>412.42</v>
          </cell>
          <cell r="O481">
            <v>39720</v>
          </cell>
          <cell r="P481">
            <v>211.74792884045746</v>
          </cell>
          <cell r="R481">
            <v>263.37380503140895</v>
          </cell>
        </row>
        <row r="482">
          <cell r="A482">
            <v>39721</v>
          </cell>
          <cell r="B482">
            <v>1.1375</v>
          </cell>
          <cell r="C482">
            <v>113.75</v>
          </cell>
          <cell r="F482">
            <v>7888.21</v>
          </cell>
          <cell r="G482">
            <v>210.99544066847164</v>
          </cell>
          <cell r="K482">
            <v>412.42</v>
          </cell>
          <cell r="O482">
            <v>39721</v>
          </cell>
          <cell r="P482">
            <v>209.52751062658669</v>
          </cell>
          <cell r="R482">
            <v>266.38215080685353</v>
          </cell>
        </row>
        <row r="483">
          <cell r="A483">
            <v>39722</v>
          </cell>
          <cell r="B483">
            <v>1.095</v>
          </cell>
          <cell r="C483">
            <v>109.5</v>
          </cell>
          <cell r="F483">
            <v>7914.39</v>
          </cell>
          <cell r="G483">
            <v>211.69570861730932</v>
          </cell>
          <cell r="K483">
            <v>412.42</v>
          </cell>
          <cell r="O483">
            <v>39722</v>
          </cell>
          <cell r="P483">
            <v>209.70755087560499</v>
          </cell>
          <cell r="R483">
            <v>269.59762400903224</v>
          </cell>
        </row>
        <row r="484">
          <cell r="A484">
            <v>39723</v>
          </cell>
          <cell r="B484">
            <v>1.145</v>
          </cell>
          <cell r="C484">
            <v>114.5</v>
          </cell>
          <cell r="F484">
            <v>7965.4800000000005</v>
          </cell>
          <cell r="G484">
            <v>213.06227429745121</v>
          </cell>
          <cell r="K484">
            <v>412.42</v>
          </cell>
          <cell r="O484">
            <v>39723</v>
          </cell>
          <cell r="P484">
            <v>206.51867126171885</v>
          </cell>
          <cell r="R484">
            <v>266.31217973487151</v>
          </cell>
        </row>
        <row r="485">
          <cell r="A485">
            <v>39724</v>
          </cell>
          <cell r="B485">
            <v>1.0475000000000001</v>
          </cell>
          <cell r="C485">
            <v>104.75000000000001</v>
          </cell>
          <cell r="F485">
            <v>7995.54</v>
          </cell>
          <cell r="G485">
            <v>213.86632527308373</v>
          </cell>
          <cell r="K485">
            <v>412.42</v>
          </cell>
          <cell r="O485">
            <v>39724</v>
          </cell>
          <cell r="P485">
            <v>204.87500859754735</v>
          </cell>
          <cell r="R485">
            <v>263.46004942588695</v>
          </cell>
        </row>
        <row r="486">
          <cell r="A486">
            <v>39727</v>
          </cell>
          <cell r="B486">
            <v>0.92500000000000004</v>
          </cell>
          <cell r="C486">
            <v>92.5</v>
          </cell>
          <cell r="F486">
            <v>7474.79</v>
          </cell>
          <cell r="G486">
            <v>199.93719867426012</v>
          </cell>
          <cell r="K486">
            <v>412.42</v>
          </cell>
          <cell r="O486">
            <v>39727</v>
          </cell>
          <cell r="P486">
            <v>187.52904064696719</v>
          </cell>
          <cell r="R486">
            <v>248.63671070854389</v>
          </cell>
        </row>
        <row r="487">
          <cell r="A487">
            <v>39728</v>
          </cell>
          <cell r="B487">
            <v>0.9375</v>
          </cell>
          <cell r="C487">
            <v>93.75</v>
          </cell>
          <cell r="F487">
            <v>7431.16</v>
          </cell>
          <cell r="G487">
            <v>198.77017458687331</v>
          </cell>
          <cell r="K487">
            <v>412.42</v>
          </cell>
          <cell r="O487">
            <v>39728</v>
          </cell>
          <cell r="P487">
            <v>184.16200723137428</v>
          </cell>
          <cell r="R487">
            <v>244.43487228142513</v>
          </cell>
        </row>
        <row r="488">
          <cell r="A488">
            <v>39729</v>
          </cell>
          <cell r="B488">
            <v>0.92</v>
          </cell>
          <cell r="C488">
            <v>92</v>
          </cell>
          <cell r="F488">
            <v>7200.87</v>
          </cell>
          <cell r="G488">
            <v>192.61033096816357</v>
          </cell>
          <cell r="K488">
            <v>412.42</v>
          </cell>
          <cell r="O488">
            <v>39729</v>
          </cell>
          <cell r="P488">
            <v>182.91131533631386</v>
          </cell>
          <cell r="R488">
            <v>233.25267368953416</v>
          </cell>
        </row>
        <row r="489">
          <cell r="A489">
            <v>39730</v>
          </cell>
          <cell r="B489">
            <v>0.94500000000000006</v>
          </cell>
          <cell r="C489">
            <v>94.5</v>
          </cell>
          <cell r="F489">
            <v>7179.43</v>
          </cell>
          <cell r="G489">
            <v>192.03684950051351</v>
          </cell>
          <cell r="K489">
            <v>412.42</v>
          </cell>
          <cell r="O489">
            <v>39730</v>
          </cell>
          <cell r="P489">
            <v>184.56257636577817</v>
          </cell>
          <cell r="R489">
            <v>239.90735823252638</v>
          </cell>
        </row>
        <row r="490">
          <cell r="A490">
            <v>39731</v>
          </cell>
          <cell r="B490">
            <v>0.86250000000000004</v>
          </cell>
          <cell r="C490">
            <v>86.25</v>
          </cell>
          <cell r="F490">
            <v>6778.31</v>
          </cell>
          <cell r="G490">
            <v>181.30761040052283</v>
          </cell>
          <cell r="K490">
            <v>412.42</v>
          </cell>
          <cell r="O490">
            <v>39731</v>
          </cell>
          <cell r="P490">
            <v>173.83227736751519</v>
          </cell>
          <cell r="R490">
            <v>226.63463494520454</v>
          </cell>
        </row>
        <row r="491">
          <cell r="A491">
            <v>39734</v>
          </cell>
          <cell r="B491">
            <v>0.95000000000000007</v>
          </cell>
          <cell r="C491">
            <v>95</v>
          </cell>
          <cell r="F491">
            <v>7030.35</v>
          </cell>
          <cell r="G491">
            <v>188.04922742974512</v>
          </cell>
          <cell r="K491">
            <v>412.42</v>
          </cell>
          <cell r="O491">
            <v>39734</v>
          </cell>
          <cell r="P491">
            <v>186.27670064770538</v>
          </cell>
          <cell r="R491">
            <v>235.47765959303675</v>
          </cell>
        </row>
        <row r="492">
          <cell r="A492">
            <v>39735</v>
          </cell>
          <cell r="B492">
            <v>0.96</v>
          </cell>
          <cell r="C492">
            <v>96</v>
          </cell>
          <cell r="F492">
            <v>7094.45</v>
          </cell>
          <cell r="G492">
            <v>189.76378722808326</v>
          </cell>
          <cell r="K492">
            <v>412.42</v>
          </cell>
          <cell r="O492">
            <v>39735</v>
          </cell>
          <cell r="P492">
            <v>188.3219594845811</v>
          </cell>
          <cell r="R492">
            <v>239.55629945084371</v>
          </cell>
        </row>
        <row r="493">
          <cell r="A493">
            <v>39736</v>
          </cell>
          <cell r="B493">
            <v>0.88500000000000001</v>
          </cell>
          <cell r="C493">
            <v>88.5</v>
          </cell>
          <cell r="F493">
            <v>6707.12</v>
          </cell>
          <cell r="G493">
            <v>179.40340584445897</v>
          </cell>
          <cell r="K493">
            <v>412.42</v>
          </cell>
          <cell r="O493">
            <v>39736</v>
          </cell>
          <cell r="P493">
            <v>173.82552472478943</v>
          </cell>
          <cell r="R493">
            <v>222.76341280403796</v>
          </cell>
        </row>
        <row r="494">
          <cell r="A494">
            <v>39737</v>
          </cell>
          <cell r="B494">
            <v>0.87250000000000005</v>
          </cell>
          <cell r="C494">
            <v>87.25</v>
          </cell>
          <cell r="F494">
            <v>6342.71</v>
          </cell>
          <cell r="G494">
            <v>169.65609326860238</v>
          </cell>
          <cell r="K494">
            <v>412.42</v>
          </cell>
          <cell r="O494">
            <v>39737</v>
          </cell>
          <cell r="P494">
            <v>163.9350164411812</v>
          </cell>
          <cell r="R494">
            <v>210.07863488656659</v>
          </cell>
        </row>
        <row r="495">
          <cell r="A495">
            <v>39738</v>
          </cell>
          <cell r="B495">
            <v>0.86750000000000005</v>
          </cell>
          <cell r="C495">
            <v>86.75</v>
          </cell>
          <cell r="F495">
            <v>6311.39</v>
          </cell>
          <cell r="G495">
            <v>168.81833955746427</v>
          </cell>
          <cell r="K495">
            <v>412.42</v>
          </cell>
          <cell r="O495">
            <v>39738</v>
          </cell>
          <cell r="P495">
            <v>168.32617311419338</v>
          </cell>
          <cell r="R495">
            <v>214.42126699006707</v>
          </cell>
        </row>
        <row r="496">
          <cell r="A496">
            <v>39741</v>
          </cell>
          <cell r="B496">
            <v>0.84750000000000003</v>
          </cell>
          <cell r="C496">
            <v>84.75</v>
          </cell>
          <cell r="F496">
            <v>6399.45</v>
          </cell>
          <cell r="G496">
            <v>171.17378629446364</v>
          </cell>
          <cell r="K496">
            <v>412.42</v>
          </cell>
          <cell r="O496">
            <v>39741</v>
          </cell>
          <cell r="P496">
            <v>170.36910494564006</v>
          </cell>
          <cell r="R496">
            <v>219.91801781738121</v>
          </cell>
        </row>
        <row r="497">
          <cell r="A497">
            <v>39742</v>
          </cell>
          <cell r="B497">
            <v>0.89</v>
          </cell>
          <cell r="C497">
            <v>89</v>
          </cell>
          <cell r="F497">
            <v>6443.1100000000006</v>
          </cell>
          <cell r="G497">
            <v>172.34161282793394</v>
          </cell>
          <cell r="K497">
            <v>412.42</v>
          </cell>
          <cell r="O497">
            <v>39742</v>
          </cell>
          <cell r="P497">
            <v>174.69469485452927</v>
          </cell>
          <cell r="R497">
            <v>226.80792851434899</v>
          </cell>
        </row>
        <row r="498">
          <cell r="A498">
            <v>39743</v>
          </cell>
          <cell r="B498">
            <v>0.9</v>
          </cell>
          <cell r="C498">
            <v>90</v>
          </cell>
          <cell r="F498">
            <v>6232.62</v>
          </cell>
          <cell r="G498">
            <v>166.71138362431145</v>
          </cell>
          <cell r="K498">
            <v>412.42</v>
          </cell>
          <cell r="O498">
            <v>39743</v>
          </cell>
          <cell r="P498">
            <v>171.92305038863381</v>
          </cell>
          <cell r="R498">
            <v>220.87350820148555</v>
          </cell>
        </row>
        <row r="499">
          <cell r="A499">
            <v>39744</v>
          </cell>
          <cell r="B499">
            <v>0.81500000000000006</v>
          </cell>
          <cell r="C499">
            <v>81.5</v>
          </cell>
          <cell r="F499">
            <v>6128.6500000000005</v>
          </cell>
          <cell r="G499">
            <v>163.93037298104753</v>
          </cell>
          <cell r="K499">
            <v>412.42</v>
          </cell>
          <cell r="O499">
            <v>39744</v>
          </cell>
          <cell r="P499">
            <v>167.70902720746264</v>
          </cell>
          <cell r="R499">
            <v>225.32261060115141</v>
          </cell>
        </row>
        <row r="500">
          <cell r="A500">
            <v>39745</v>
          </cell>
          <cell r="B500">
            <v>0.79250000000000009</v>
          </cell>
          <cell r="C500">
            <v>79.250000000000014</v>
          </cell>
          <cell r="F500">
            <v>5793.56</v>
          </cell>
          <cell r="G500">
            <v>154.96731771076466</v>
          </cell>
          <cell r="K500">
            <v>412.42</v>
          </cell>
          <cell r="O500">
            <v>39745</v>
          </cell>
          <cell r="P500">
            <v>160.39719251679159</v>
          </cell>
          <cell r="R500">
            <v>219.98973396060069</v>
          </cell>
        </row>
        <row r="501">
          <cell r="A501">
            <v>39748</v>
          </cell>
          <cell r="B501">
            <v>0.78</v>
          </cell>
          <cell r="C501">
            <v>78</v>
          </cell>
          <cell r="F501">
            <v>5688.67</v>
          </cell>
          <cell r="G501">
            <v>152.16169872094108</v>
          </cell>
          <cell r="K501">
            <v>412.42</v>
          </cell>
          <cell r="O501">
            <v>39748</v>
          </cell>
          <cell r="P501">
            <v>153.4155778849061</v>
          </cell>
          <cell r="R501">
            <v>216.9927429064802</v>
          </cell>
        </row>
        <row r="502">
          <cell r="A502">
            <v>39749</v>
          </cell>
          <cell r="B502">
            <v>0.82500000000000007</v>
          </cell>
          <cell r="C502">
            <v>82.5</v>
          </cell>
          <cell r="F502">
            <v>5699.26</v>
          </cell>
          <cell r="G502">
            <v>152.44496218840447</v>
          </cell>
          <cell r="K502">
            <v>412.42</v>
          </cell>
          <cell r="O502">
            <v>39749</v>
          </cell>
          <cell r="P502">
            <v>154.09198872377382</v>
          </cell>
          <cell r="R502">
            <v>220.56903481851882</v>
          </cell>
        </row>
        <row r="503">
          <cell r="A503">
            <v>39750</v>
          </cell>
          <cell r="B503">
            <v>0.79</v>
          </cell>
          <cell r="C503">
            <v>79</v>
          </cell>
          <cell r="F503">
            <v>5989.11</v>
          </cell>
          <cell r="G503">
            <v>160.1979287648212</v>
          </cell>
          <cell r="K503">
            <v>412.42</v>
          </cell>
          <cell r="O503">
            <v>39750</v>
          </cell>
          <cell r="P503">
            <v>161.63492677151399</v>
          </cell>
          <cell r="R503">
            <v>223.64398184315604</v>
          </cell>
        </row>
        <row r="504">
          <cell r="A504">
            <v>39751</v>
          </cell>
          <cell r="B504">
            <v>0.80249999999999999</v>
          </cell>
          <cell r="C504">
            <v>80.25</v>
          </cell>
          <cell r="F504">
            <v>6223.78</v>
          </cell>
          <cell r="G504">
            <v>166.47492951171694</v>
          </cell>
          <cell r="K504">
            <v>412.42</v>
          </cell>
          <cell r="O504">
            <v>39751</v>
          </cell>
          <cell r="P504">
            <v>161.87665057466594</v>
          </cell>
          <cell r="R504">
            <v>236.97351942762577</v>
          </cell>
        </row>
        <row r="505">
          <cell r="A505">
            <v>39752</v>
          </cell>
          <cell r="B505">
            <v>0.79749999999999999</v>
          </cell>
          <cell r="C505">
            <v>79.75</v>
          </cell>
          <cell r="F505">
            <v>6282.55</v>
          </cell>
          <cell r="G505">
            <v>168.04692138922604</v>
          </cell>
          <cell r="K505">
            <v>412.42</v>
          </cell>
          <cell r="O505">
            <v>39752</v>
          </cell>
          <cell r="P505">
            <v>166.92984041101283</v>
          </cell>
          <cell r="R505">
            <v>236.75665386177894</v>
          </cell>
        </row>
        <row r="506">
          <cell r="A506">
            <v>39755</v>
          </cell>
          <cell r="B506">
            <v>0.89250000000000007</v>
          </cell>
          <cell r="C506">
            <v>89.25</v>
          </cell>
          <cell r="F506">
            <v>6443.71</v>
          </cell>
          <cell r="G506">
            <v>172.35766174960321</v>
          </cell>
          <cell r="K506">
            <v>412.42</v>
          </cell>
          <cell r="O506">
            <v>39755</v>
          </cell>
          <cell r="P506">
            <v>172.8582899308349</v>
          </cell>
          <cell r="R506">
            <v>245.75885864246465</v>
          </cell>
        </row>
        <row r="507">
          <cell r="A507">
            <v>39756</v>
          </cell>
          <cell r="B507">
            <v>0.92749999999999999</v>
          </cell>
          <cell r="C507">
            <v>92.75</v>
          </cell>
          <cell r="F507">
            <v>6778.7000000000007</v>
          </cell>
          <cell r="G507">
            <v>181.3180421996079</v>
          </cell>
          <cell r="K507">
            <v>412.42</v>
          </cell>
          <cell r="O507">
            <v>39756</v>
          </cell>
          <cell r="P507">
            <v>182.82133000171248</v>
          </cell>
          <cell r="R507">
            <v>259.7264821203114</v>
          </cell>
        </row>
        <row r="508">
          <cell r="A508">
            <v>39757</v>
          </cell>
          <cell r="B508">
            <v>0.92500000000000004</v>
          </cell>
          <cell r="C508">
            <v>92.5</v>
          </cell>
          <cell r="F508">
            <v>6757.46</v>
          </cell>
          <cell r="G508">
            <v>180.74991037251425</v>
          </cell>
          <cell r="K508">
            <v>412.42</v>
          </cell>
          <cell r="O508">
            <v>39757</v>
          </cell>
          <cell r="P508">
            <v>178.78722103349557</v>
          </cell>
          <cell r="R508">
            <v>251.87273726694167</v>
          </cell>
        </row>
        <row r="509">
          <cell r="A509">
            <v>39758</v>
          </cell>
          <cell r="B509">
            <v>0.88500000000000001</v>
          </cell>
          <cell r="C509">
            <v>88.5</v>
          </cell>
          <cell r="F509">
            <v>6521.02</v>
          </cell>
          <cell r="G509">
            <v>174.42556530669407</v>
          </cell>
          <cell r="K509">
            <v>412.42</v>
          </cell>
          <cell r="O509">
            <v>39758</v>
          </cell>
          <cell r="P509">
            <v>169.4776052943424</v>
          </cell>
          <cell r="R509">
            <v>238.54956264597644</v>
          </cell>
        </row>
        <row r="510">
          <cell r="A510">
            <v>39759</v>
          </cell>
          <cell r="B510">
            <v>0.9</v>
          </cell>
          <cell r="C510">
            <v>90</v>
          </cell>
          <cell r="F510">
            <v>6585.58</v>
          </cell>
          <cell r="G510">
            <v>176.15242927831201</v>
          </cell>
          <cell r="K510">
            <v>412.42</v>
          </cell>
          <cell r="O510">
            <v>39759</v>
          </cell>
          <cell r="P510">
            <v>173.81823853561812</v>
          </cell>
          <cell r="R510">
            <v>240.19050985199604</v>
          </cell>
        </row>
        <row r="511">
          <cell r="A511">
            <v>39762</v>
          </cell>
          <cell r="B511">
            <v>0.92749999999999999</v>
          </cell>
          <cell r="C511">
            <v>92.75</v>
          </cell>
          <cell r="F511">
            <v>6656.56</v>
          </cell>
          <cell r="G511">
            <v>178.05101671179162</v>
          </cell>
          <cell r="K511">
            <v>412.42</v>
          </cell>
          <cell r="O511">
            <v>39762</v>
          </cell>
          <cell r="P511">
            <v>176.77192612539693</v>
          </cell>
          <cell r="R511">
            <v>243.51861665204581</v>
          </cell>
        </row>
        <row r="512">
          <cell r="A512">
            <v>39763</v>
          </cell>
          <cell r="B512">
            <v>0.88500000000000001</v>
          </cell>
          <cell r="C512">
            <v>88.5</v>
          </cell>
          <cell r="F512">
            <v>6404.51</v>
          </cell>
          <cell r="G512">
            <v>171.30913220054151</v>
          </cell>
          <cell r="K512">
            <v>412.42</v>
          </cell>
          <cell r="O512">
            <v>39763</v>
          </cell>
          <cell r="P512">
            <v>168.32916298156115</v>
          </cell>
          <cell r="R512">
            <v>236.12872964303281</v>
          </cell>
        </row>
        <row r="513">
          <cell r="A513">
            <v>39764</v>
          </cell>
          <cell r="B513">
            <v>0.86499999999999999</v>
          </cell>
          <cell r="C513">
            <v>86.5</v>
          </cell>
          <cell r="F513">
            <v>6251.18</v>
          </cell>
          <cell r="G513">
            <v>167.20783026794885</v>
          </cell>
          <cell r="K513">
            <v>412.42</v>
          </cell>
          <cell r="O513">
            <v>39764</v>
          </cell>
          <cell r="P513">
            <v>166.27542016464002</v>
          </cell>
          <cell r="R513">
            <v>236.29948172906276</v>
          </cell>
        </row>
        <row r="514">
          <cell r="A514">
            <v>39765</v>
          </cell>
          <cell r="B514">
            <v>0.85499999999999998</v>
          </cell>
          <cell r="C514">
            <v>85.5</v>
          </cell>
          <cell r="F514">
            <v>6156.85</v>
          </cell>
          <cell r="G514">
            <v>164.68467229950517</v>
          </cell>
          <cell r="K514">
            <v>412.42</v>
          </cell>
          <cell r="O514">
            <v>39765</v>
          </cell>
          <cell r="P514">
            <v>171.07558688029147</v>
          </cell>
          <cell r="R514">
            <v>233.29710108699751</v>
          </cell>
        </row>
        <row r="515">
          <cell r="A515">
            <v>39766</v>
          </cell>
          <cell r="B515">
            <v>0.84750000000000003</v>
          </cell>
          <cell r="C515">
            <v>84.75</v>
          </cell>
          <cell r="F515">
            <v>6127.76</v>
          </cell>
          <cell r="G515">
            <v>163.90656708057136</v>
          </cell>
          <cell r="K515">
            <v>412.42</v>
          </cell>
          <cell r="O515">
            <v>39766</v>
          </cell>
          <cell r="P515">
            <v>171.61168538060852</v>
          </cell>
          <cell r="R515">
            <v>236.76616474888522</v>
          </cell>
        </row>
        <row r="516">
          <cell r="A516">
            <v>39769</v>
          </cell>
          <cell r="B516">
            <v>0.82750000000000001</v>
          </cell>
          <cell r="C516">
            <v>82.75</v>
          </cell>
          <cell r="F516">
            <v>5977.03</v>
          </cell>
          <cell r="G516">
            <v>159.87481047521237</v>
          </cell>
          <cell r="K516">
            <v>412.42</v>
          </cell>
          <cell r="O516">
            <v>39769</v>
          </cell>
          <cell r="P516">
            <v>165.12316601359282</v>
          </cell>
          <cell r="R516">
            <v>230.30134433966759</v>
          </cell>
        </row>
        <row r="517">
          <cell r="A517">
            <v>39770</v>
          </cell>
          <cell r="B517">
            <v>0.82750000000000001</v>
          </cell>
          <cell r="C517">
            <v>82.75</v>
          </cell>
          <cell r="F517">
            <v>5925.9800000000005</v>
          </cell>
          <cell r="G517">
            <v>158.5093147231818</v>
          </cell>
          <cell r="K517">
            <v>412.42</v>
          </cell>
          <cell r="O517">
            <v>39770</v>
          </cell>
          <cell r="P517">
            <v>164.56547979416575</v>
          </cell>
          <cell r="R517">
            <v>231.21954894995642</v>
          </cell>
        </row>
        <row r="518">
          <cell r="A518">
            <v>39771</v>
          </cell>
          <cell r="B518">
            <v>0.79</v>
          </cell>
          <cell r="C518">
            <v>79</v>
          </cell>
          <cell r="F518">
            <v>5706.58</v>
          </cell>
          <cell r="G518">
            <v>152.64075903277003</v>
          </cell>
          <cell r="K518">
            <v>412.42</v>
          </cell>
          <cell r="O518">
            <v>39771</v>
          </cell>
          <cell r="P518">
            <v>156.86221101553406</v>
          </cell>
          <cell r="R518">
            <v>221.48458678078225</v>
          </cell>
        </row>
        <row r="519">
          <cell r="A519">
            <v>39772</v>
          </cell>
          <cell r="B519">
            <v>0.77750000000000008</v>
          </cell>
          <cell r="C519">
            <v>77.750000000000014</v>
          </cell>
          <cell r="F519">
            <v>5578.68</v>
          </cell>
          <cell r="G519">
            <v>149.21966389692841</v>
          </cell>
          <cell r="K519">
            <v>412.42</v>
          </cell>
          <cell r="O519">
            <v>39772</v>
          </cell>
          <cell r="P519">
            <v>152.35656883114009</v>
          </cell>
          <cell r="R519">
            <v>217.78115914127113</v>
          </cell>
        </row>
        <row r="520">
          <cell r="A520">
            <v>39773</v>
          </cell>
          <cell r="B520">
            <v>0.74250000000000005</v>
          </cell>
          <cell r="C520">
            <v>74.25</v>
          </cell>
          <cell r="F520">
            <v>5491.46</v>
          </cell>
          <cell r="G520">
            <v>146.88668565026606</v>
          </cell>
          <cell r="K520">
            <v>412.42</v>
          </cell>
          <cell r="O520">
            <v>39773</v>
          </cell>
          <cell r="P520">
            <v>155.60700012473521</v>
          </cell>
          <cell r="R520">
            <v>215.08197616593935</v>
          </cell>
        </row>
        <row r="521">
          <cell r="A521" t="e">
            <v>#N/A</v>
          </cell>
          <cell r="B521" t="e">
            <v>#N/A</v>
          </cell>
          <cell r="C521" t="e">
            <v>#N/A</v>
          </cell>
          <cell r="F521" t="e">
            <v>#N/A</v>
          </cell>
          <cell r="G521" t="e">
            <v>#N/A</v>
          </cell>
          <cell r="K521" t="e">
            <v>#N/A</v>
          </cell>
          <cell r="O521" t="e">
            <v>#N/A</v>
          </cell>
          <cell r="P521" t="e">
            <v>#N/A</v>
          </cell>
          <cell r="R521" t="e">
            <v>#N/A</v>
          </cell>
        </row>
        <row r="522">
          <cell r="A522" t="e">
            <v>#N/A</v>
          </cell>
          <cell r="B522" t="e">
            <v>#N/A</v>
          </cell>
          <cell r="C522" t="e">
            <v>#N/A</v>
          </cell>
          <cell r="F522" t="e">
            <v>#N/A</v>
          </cell>
          <cell r="G522" t="e">
            <v>#N/A</v>
          </cell>
          <cell r="K522" t="e">
            <v>#N/A</v>
          </cell>
          <cell r="O522" t="e">
            <v>#N/A</v>
          </cell>
          <cell r="P522" t="e">
            <v>#N/A</v>
          </cell>
          <cell r="R522" t="e">
            <v>#N/A</v>
          </cell>
        </row>
        <row r="523">
          <cell r="A523" t="e">
            <v>#N/A</v>
          </cell>
          <cell r="B523" t="e">
            <v>#N/A</v>
          </cell>
          <cell r="C523" t="e">
            <v>#N/A</v>
          </cell>
          <cell r="F523" t="e">
            <v>#N/A</v>
          </cell>
          <cell r="G523" t="e">
            <v>#N/A</v>
          </cell>
          <cell r="K523" t="e">
            <v>#N/A</v>
          </cell>
          <cell r="O523" t="e">
            <v>#N/A</v>
          </cell>
          <cell r="P523" t="e">
            <v>#N/A</v>
          </cell>
          <cell r="R523" t="e">
            <v>#N/A</v>
          </cell>
        </row>
        <row r="524">
          <cell r="A524" t="e">
            <v>#N/A</v>
          </cell>
          <cell r="B524" t="e">
            <v>#N/A</v>
          </cell>
          <cell r="C524" t="e">
            <v>#N/A</v>
          </cell>
          <cell r="F524" t="e">
            <v>#N/A</v>
          </cell>
          <cell r="G524" t="e">
            <v>#N/A</v>
          </cell>
          <cell r="K524" t="e">
            <v>#N/A</v>
          </cell>
          <cell r="O524" t="e">
            <v>#N/A</v>
          </cell>
          <cell r="P524" t="e">
            <v>#N/A</v>
          </cell>
          <cell r="R524" t="e">
            <v>#N/A</v>
          </cell>
        </row>
        <row r="525">
          <cell r="A525" t="e">
            <v>#N/A</v>
          </cell>
          <cell r="B525" t="e">
            <v>#N/A</v>
          </cell>
          <cell r="C525" t="e">
            <v>#N/A</v>
          </cell>
          <cell r="F525" t="e">
            <v>#N/A</v>
          </cell>
          <cell r="G525" t="e">
            <v>#N/A</v>
          </cell>
          <cell r="K525" t="e">
            <v>#N/A</v>
          </cell>
          <cell r="O525" t="e">
            <v>#N/A</v>
          </cell>
          <cell r="P525" t="e">
            <v>#N/A</v>
          </cell>
          <cell r="R525" t="e">
            <v>#N/A</v>
          </cell>
        </row>
        <row r="526">
          <cell r="A526" t="e">
            <v>#N/A</v>
          </cell>
          <cell r="B526" t="e">
            <v>#N/A</v>
          </cell>
          <cell r="C526" t="e">
            <v>#N/A</v>
          </cell>
          <cell r="F526" t="e">
            <v>#N/A</v>
          </cell>
          <cell r="G526" t="e">
            <v>#N/A</v>
          </cell>
          <cell r="K526" t="e">
            <v>#N/A</v>
          </cell>
          <cell r="O526" t="e">
            <v>#N/A</v>
          </cell>
          <cell r="P526" t="e">
            <v>#N/A</v>
          </cell>
          <cell r="R526" t="e">
            <v>#N/A</v>
          </cell>
        </row>
        <row r="527">
          <cell r="A527" t="e">
            <v>#N/A</v>
          </cell>
          <cell r="B527" t="e">
            <v>#N/A</v>
          </cell>
          <cell r="C527" t="e">
            <v>#N/A</v>
          </cell>
          <cell r="F527" t="e">
            <v>#N/A</v>
          </cell>
          <cell r="G527" t="e">
            <v>#N/A</v>
          </cell>
          <cell r="K527" t="e">
            <v>#N/A</v>
          </cell>
          <cell r="O527" t="e">
            <v>#N/A</v>
          </cell>
          <cell r="P527" t="e">
            <v>#N/A</v>
          </cell>
          <cell r="R527" t="e">
            <v>#N/A</v>
          </cell>
        </row>
        <row r="528">
          <cell r="A528" t="e">
            <v>#N/A</v>
          </cell>
          <cell r="B528" t="e">
            <v>#N/A</v>
          </cell>
          <cell r="C528" t="e">
            <v>#N/A</v>
          </cell>
          <cell r="F528" t="e">
            <v>#N/A</v>
          </cell>
          <cell r="G528" t="e">
            <v>#N/A</v>
          </cell>
          <cell r="K528" t="e">
            <v>#N/A</v>
          </cell>
          <cell r="O528" t="e">
            <v>#N/A</v>
          </cell>
          <cell r="P528" t="e">
            <v>#N/A</v>
          </cell>
          <cell r="R528" t="e">
            <v>#N/A</v>
          </cell>
        </row>
        <row r="529">
          <cell r="A529" t="e">
            <v>#N/A</v>
          </cell>
          <cell r="B529" t="e">
            <v>#N/A</v>
          </cell>
          <cell r="C529" t="e">
            <v>#N/A</v>
          </cell>
          <cell r="F529" t="e">
            <v>#N/A</v>
          </cell>
          <cell r="G529" t="e">
            <v>#N/A</v>
          </cell>
          <cell r="K529" t="e">
            <v>#N/A</v>
          </cell>
          <cell r="O529" t="e">
            <v>#N/A</v>
          </cell>
          <cell r="P529" t="e">
            <v>#N/A</v>
          </cell>
          <cell r="R529" t="e">
            <v>#N/A</v>
          </cell>
        </row>
        <row r="530">
          <cell r="A530" t="e">
            <v>#N/A</v>
          </cell>
          <cell r="B530" t="e">
            <v>#N/A</v>
          </cell>
          <cell r="C530" t="e">
            <v>#N/A</v>
          </cell>
          <cell r="F530" t="e">
            <v>#N/A</v>
          </cell>
          <cell r="G530" t="e">
            <v>#N/A</v>
          </cell>
          <cell r="K530" t="e">
            <v>#N/A</v>
          </cell>
          <cell r="O530" t="e">
            <v>#N/A</v>
          </cell>
          <cell r="P530" t="e">
            <v>#N/A</v>
          </cell>
          <cell r="R530" t="e">
            <v>#N/A</v>
          </cell>
        </row>
        <row r="531">
          <cell r="A531" t="e">
            <v>#N/A</v>
          </cell>
          <cell r="B531" t="e">
            <v>#N/A</v>
          </cell>
          <cell r="C531" t="e">
            <v>#N/A</v>
          </cell>
          <cell r="F531" t="e">
            <v>#N/A</v>
          </cell>
          <cell r="G531" t="e">
            <v>#N/A</v>
          </cell>
          <cell r="K531" t="e">
            <v>#N/A</v>
          </cell>
          <cell r="O531" t="e">
            <v>#N/A</v>
          </cell>
          <cell r="P531" t="e">
            <v>#N/A</v>
          </cell>
          <cell r="R531" t="e">
            <v>#N/A</v>
          </cell>
        </row>
        <row r="532">
          <cell r="A532" t="e">
            <v>#N/A</v>
          </cell>
          <cell r="B532" t="e">
            <v>#N/A</v>
          </cell>
          <cell r="C532" t="e">
            <v>#N/A</v>
          </cell>
          <cell r="F532" t="e">
            <v>#N/A</v>
          </cell>
          <cell r="G532" t="e">
            <v>#N/A</v>
          </cell>
          <cell r="K532" t="e">
            <v>#N/A</v>
          </cell>
          <cell r="O532" t="e">
            <v>#N/A</v>
          </cell>
          <cell r="P532" t="e">
            <v>#N/A</v>
          </cell>
          <cell r="R532" t="e">
            <v>#N/A</v>
          </cell>
        </row>
        <row r="533">
          <cell r="A533" t="e">
            <v>#N/A</v>
          </cell>
          <cell r="B533" t="e">
            <v>#N/A</v>
          </cell>
          <cell r="C533" t="e">
            <v>#N/A</v>
          </cell>
          <cell r="F533" t="e">
            <v>#N/A</v>
          </cell>
          <cell r="G533" t="e">
            <v>#N/A</v>
          </cell>
          <cell r="K533" t="e">
            <v>#N/A</v>
          </cell>
          <cell r="O533" t="e">
            <v>#N/A</v>
          </cell>
          <cell r="P533" t="e">
            <v>#N/A</v>
          </cell>
          <cell r="R533" t="e">
            <v>#N/A</v>
          </cell>
        </row>
        <row r="534">
          <cell r="A534" t="e">
            <v>#N/A</v>
          </cell>
          <cell r="B534" t="e">
            <v>#N/A</v>
          </cell>
          <cell r="C534" t="e">
            <v>#N/A</v>
          </cell>
          <cell r="F534" t="e">
            <v>#N/A</v>
          </cell>
          <cell r="G534" t="e">
            <v>#N/A</v>
          </cell>
          <cell r="K534" t="e">
            <v>#N/A</v>
          </cell>
          <cell r="O534" t="e">
            <v>#N/A</v>
          </cell>
          <cell r="P534" t="e">
            <v>#N/A</v>
          </cell>
          <cell r="R534" t="e">
            <v>#N/A</v>
          </cell>
        </row>
        <row r="535">
          <cell r="A535" t="e">
            <v>#N/A</v>
          </cell>
          <cell r="B535" t="e">
            <v>#N/A</v>
          </cell>
          <cell r="C535" t="e">
            <v>#N/A</v>
          </cell>
          <cell r="F535" t="e">
            <v>#N/A</v>
          </cell>
          <cell r="G535" t="e">
            <v>#N/A</v>
          </cell>
          <cell r="K535" t="e">
            <v>#N/A</v>
          </cell>
          <cell r="O535" t="e">
            <v>#N/A</v>
          </cell>
          <cell r="P535" t="e">
            <v>#N/A</v>
          </cell>
          <cell r="R535" t="e">
            <v>#N/A</v>
          </cell>
        </row>
        <row r="536">
          <cell r="A536" t="e">
            <v>#N/A</v>
          </cell>
          <cell r="B536" t="e">
            <v>#N/A</v>
          </cell>
          <cell r="C536" t="e">
            <v>#N/A</v>
          </cell>
          <cell r="F536" t="e">
            <v>#N/A</v>
          </cell>
          <cell r="G536" t="e">
            <v>#N/A</v>
          </cell>
          <cell r="K536" t="e">
            <v>#N/A</v>
          </cell>
          <cell r="O536" t="e">
            <v>#N/A</v>
          </cell>
          <cell r="P536" t="e">
            <v>#N/A</v>
          </cell>
          <cell r="R536" t="e">
            <v>#N/A</v>
          </cell>
        </row>
        <row r="537">
          <cell r="A537" t="e">
            <v>#N/A</v>
          </cell>
          <cell r="B537" t="e">
            <v>#N/A</v>
          </cell>
          <cell r="C537" t="e">
            <v>#N/A</v>
          </cell>
          <cell r="F537" t="e">
            <v>#N/A</v>
          </cell>
          <cell r="G537" t="e">
            <v>#N/A</v>
          </cell>
          <cell r="K537" t="e">
            <v>#N/A</v>
          </cell>
          <cell r="O537" t="e">
            <v>#N/A</v>
          </cell>
          <cell r="P537" t="e">
            <v>#N/A</v>
          </cell>
          <cell r="R537" t="e">
            <v>#N/A</v>
          </cell>
        </row>
        <row r="538">
          <cell r="A538" t="e">
            <v>#N/A</v>
          </cell>
          <cell r="B538" t="e">
            <v>#N/A</v>
          </cell>
          <cell r="C538" t="e">
            <v>#N/A</v>
          </cell>
          <cell r="F538" t="e">
            <v>#N/A</v>
          </cell>
          <cell r="G538" t="e">
            <v>#N/A</v>
          </cell>
          <cell r="K538" t="e">
            <v>#N/A</v>
          </cell>
          <cell r="O538" t="e">
            <v>#N/A</v>
          </cell>
          <cell r="P538" t="e">
            <v>#N/A</v>
          </cell>
          <cell r="R538" t="e">
            <v>#N/A</v>
          </cell>
        </row>
        <row r="539">
          <cell r="A539" t="e">
            <v>#N/A</v>
          </cell>
          <cell r="B539" t="e">
            <v>#N/A</v>
          </cell>
          <cell r="C539" t="e">
            <v>#N/A</v>
          </cell>
          <cell r="F539" t="e">
            <v>#N/A</v>
          </cell>
          <cell r="G539" t="e">
            <v>#N/A</v>
          </cell>
          <cell r="K539" t="e">
            <v>#N/A</v>
          </cell>
          <cell r="O539" t="e">
            <v>#N/A</v>
          </cell>
          <cell r="P539" t="e">
            <v>#N/A</v>
          </cell>
          <cell r="R539" t="e">
            <v>#N/A</v>
          </cell>
        </row>
        <row r="540">
          <cell r="A540" t="e">
            <v>#N/A</v>
          </cell>
          <cell r="B540" t="e">
            <v>#N/A</v>
          </cell>
          <cell r="C540" t="e">
            <v>#N/A</v>
          </cell>
          <cell r="F540" t="e">
            <v>#N/A</v>
          </cell>
          <cell r="G540" t="e">
            <v>#N/A</v>
          </cell>
          <cell r="K540" t="e">
            <v>#N/A</v>
          </cell>
          <cell r="O540" t="e">
            <v>#N/A</v>
          </cell>
          <cell r="P540" t="e">
            <v>#N/A</v>
          </cell>
          <cell r="R540" t="e">
            <v>#N/A</v>
          </cell>
        </row>
        <row r="541">
          <cell r="A541" t="e">
            <v>#N/A</v>
          </cell>
          <cell r="B541" t="e">
            <v>#N/A</v>
          </cell>
          <cell r="C541" t="e">
            <v>#N/A</v>
          </cell>
          <cell r="F541" t="e">
            <v>#N/A</v>
          </cell>
          <cell r="G541" t="e">
            <v>#N/A</v>
          </cell>
          <cell r="K541" t="e">
            <v>#N/A</v>
          </cell>
          <cell r="O541" t="e">
            <v>#N/A</v>
          </cell>
          <cell r="P541" t="e">
            <v>#N/A</v>
          </cell>
          <cell r="R541" t="e">
            <v>#N/A</v>
          </cell>
        </row>
        <row r="542">
          <cell r="A542" t="e">
            <v>#N/A</v>
          </cell>
          <cell r="B542" t="e">
            <v>#N/A</v>
          </cell>
          <cell r="C542" t="e">
            <v>#N/A</v>
          </cell>
          <cell r="F542" t="e">
            <v>#N/A</v>
          </cell>
          <cell r="G542" t="e">
            <v>#N/A</v>
          </cell>
          <cell r="K542" t="e">
            <v>#N/A</v>
          </cell>
          <cell r="O542" t="e">
            <v>#N/A</v>
          </cell>
          <cell r="P542" t="e">
            <v>#N/A</v>
          </cell>
          <cell r="R542" t="e">
            <v>#N/A</v>
          </cell>
        </row>
        <row r="543">
          <cell r="A543" t="e">
            <v>#N/A</v>
          </cell>
          <cell r="B543" t="e">
            <v>#N/A</v>
          </cell>
          <cell r="C543" t="e">
            <v>#N/A</v>
          </cell>
          <cell r="F543" t="e">
            <v>#N/A</v>
          </cell>
          <cell r="G543" t="e">
            <v>#N/A</v>
          </cell>
          <cell r="K543" t="e">
            <v>#N/A</v>
          </cell>
          <cell r="O543" t="e">
            <v>#N/A</v>
          </cell>
          <cell r="P543" t="e">
            <v>#N/A</v>
          </cell>
          <cell r="R543" t="e">
            <v>#N/A</v>
          </cell>
        </row>
        <row r="544">
          <cell r="A544" t="e">
            <v>#N/A</v>
          </cell>
          <cell r="B544" t="e">
            <v>#N/A</v>
          </cell>
          <cell r="C544" t="e">
            <v>#N/A</v>
          </cell>
          <cell r="F544" t="e">
            <v>#N/A</v>
          </cell>
          <cell r="G544" t="e">
            <v>#N/A</v>
          </cell>
          <cell r="K544" t="e">
            <v>#N/A</v>
          </cell>
          <cell r="O544" t="e">
            <v>#N/A</v>
          </cell>
          <cell r="P544" t="e">
            <v>#N/A</v>
          </cell>
          <cell r="R544" t="e">
            <v>#N/A</v>
          </cell>
        </row>
        <row r="545">
          <cell r="A545" t="e">
            <v>#N/A</v>
          </cell>
          <cell r="B545" t="e">
            <v>#N/A</v>
          </cell>
          <cell r="C545" t="e">
            <v>#N/A</v>
          </cell>
          <cell r="F545" t="e">
            <v>#N/A</v>
          </cell>
          <cell r="G545" t="e">
            <v>#N/A</v>
          </cell>
          <cell r="K545" t="e">
            <v>#N/A</v>
          </cell>
          <cell r="O545" t="e">
            <v>#N/A</v>
          </cell>
          <cell r="P545" t="e">
            <v>#N/A</v>
          </cell>
          <cell r="R545" t="e">
            <v>#N/A</v>
          </cell>
        </row>
        <row r="546">
          <cell r="A546" t="e">
            <v>#N/A</v>
          </cell>
          <cell r="B546" t="e">
            <v>#N/A</v>
          </cell>
          <cell r="C546" t="e">
            <v>#N/A</v>
          </cell>
          <cell r="F546" t="e">
            <v>#N/A</v>
          </cell>
          <cell r="G546" t="e">
            <v>#N/A</v>
          </cell>
          <cell r="K546" t="e">
            <v>#N/A</v>
          </cell>
          <cell r="O546" t="e">
            <v>#N/A</v>
          </cell>
          <cell r="P546" t="e">
            <v>#N/A</v>
          </cell>
          <cell r="R546" t="e">
            <v>#N/A</v>
          </cell>
        </row>
        <row r="547">
          <cell r="A547" t="e">
            <v>#N/A</v>
          </cell>
          <cell r="B547" t="e">
            <v>#N/A</v>
          </cell>
          <cell r="C547" t="e">
            <v>#N/A</v>
          </cell>
          <cell r="F547" t="e">
            <v>#N/A</v>
          </cell>
          <cell r="G547" t="e">
            <v>#N/A</v>
          </cell>
          <cell r="K547" t="e">
            <v>#N/A</v>
          </cell>
          <cell r="O547" t="e">
            <v>#N/A</v>
          </cell>
          <cell r="P547" t="e">
            <v>#N/A</v>
          </cell>
          <cell r="R547" t="e">
            <v>#N/A</v>
          </cell>
        </row>
        <row r="548">
          <cell r="A548" t="e">
            <v>#N/A</v>
          </cell>
          <cell r="B548" t="e">
            <v>#N/A</v>
          </cell>
          <cell r="C548" t="e">
            <v>#N/A</v>
          </cell>
          <cell r="F548" t="e">
            <v>#N/A</v>
          </cell>
          <cell r="G548" t="e">
            <v>#N/A</v>
          </cell>
          <cell r="K548" t="e">
            <v>#N/A</v>
          </cell>
          <cell r="O548" t="e">
            <v>#N/A</v>
          </cell>
          <cell r="P548" t="e">
            <v>#N/A</v>
          </cell>
          <cell r="R548" t="e">
            <v>#N/A</v>
          </cell>
        </row>
        <row r="549">
          <cell r="A549" t="e">
            <v>#N/A</v>
          </cell>
          <cell r="B549" t="e">
            <v>#N/A</v>
          </cell>
          <cell r="C549" t="e">
            <v>#N/A</v>
          </cell>
          <cell r="F549" t="e">
            <v>#N/A</v>
          </cell>
          <cell r="G549" t="e">
            <v>#N/A</v>
          </cell>
          <cell r="K549" t="e">
            <v>#N/A</v>
          </cell>
          <cell r="O549" t="e">
            <v>#N/A</v>
          </cell>
          <cell r="P549" t="e">
            <v>#N/A</v>
          </cell>
          <cell r="R549" t="e">
            <v>#N/A</v>
          </cell>
        </row>
        <row r="550">
          <cell r="A550" t="e">
            <v>#N/A</v>
          </cell>
          <cell r="B550" t="e">
            <v>#N/A</v>
          </cell>
          <cell r="C550" t="e">
            <v>#N/A</v>
          </cell>
          <cell r="F550" t="e">
            <v>#N/A</v>
          </cell>
          <cell r="G550" t="e">
            <v>#N/A</v>
          </cell>
          <cell r="K550" t="e">
            <v>#N/A</v>
          </cell>
          <cell r="O550" t="e">
            <v>#N/A</v>
          </cell>
          <cell r="P550" t="e">
            <v>#N/A</v>
          </cell>
          <cell r="R550" t="e">
            <v>#N/A</v>
          </cell>
        </row>
        <row r="551">
          <cell r="A551" t="e">
            <v>#N/A</v>
          </cell>
          <cell r="B551" t="e">
            <v>#N/A</v>
          </cell>
          <cell r="C551" t="e">
            <v>#N/A</v>
          </cell>
          <cell r="F551" t="e">
            <v>#N/A</v>
          </cell>
          <cell r="G551" t="e">
            <v>#N/A</v>
          </cell>
          <cell r="K551" t="e">
            <v>#N/A</v>
          </cell>
          <cell r="O551" t="e">
            <v>#N/A</v>
          </cell>
          <cell r="P551" t="e">
            <v>#N/A</v>
          </cell>
          <cell r="R551" t="e">
            <v>#N/A</v>
          </cell>
        </row>
        <row r="552">
          <cell r="A552" t="e">
            <v>#N/A</v>
          </cell>
          <cell r="B552" t="e">
            <v>#N/A</v>
          </cell>
          <cell r="C552" t="e">
            <v>#N/A</v>
          </cell>
          <cell r="F552" t="e">
            <v>#N/A</v>
          </cell>
          <cell r="G552" t="e">
            <v>#N/A</v>
          </cell>
          <cell r="K552" t="e">
            <v>#N/A</v>
          </cell>
          <cell r="O552" t="e">
            <v>#N/A</v>
          </cell>
          <cell r="P552" t="e">
            <v>#N/A</v>
          </cell>
          <cell r="R552" t="e">
            <v>#N/A</v>
          </cell>
        </row>
        <row r="553">
          <cell r="A553" t="e">
            <v>#N/A</v>
          </cell>
          <cell r="B553" t="e">
            <v>#N/A</v>
          </cell>
          <cell r="C553" t="e">
            <v>#N/A</v>
          </cell>
          <cell r="F553" t="e">
            <v>#N/A</v>
          </cell>
          <cell r="G553" t="e">
            <v>#N/A</v>
          </cell>
          <cell r="K553" t="e">
            <v>#N/A</v>
          </cell>
          <cell r="O553" t="e">
            <v>#N/A</v>
          </cell>
          <cell r="P553" t="e">
            <v>#N/A</v>
          </cell>
          <cell r="R553" t="e">
            <v>#N/A</v>
          </cell>
        </row>
        <row r="554">
          <cell r="A554" t="e">
            <v>#N/A</v>
          </cell>
          <cell r="B554" t="e">
            <v>#N/A</v>
          </cell>
          <cell r="C554" t="e">
            <v>#N/A</v>
          </cell>
          <cell r="F554" t="e">
            <v>#N/A</v>
          </cell>
          <cell r="G554" t="e">
            <v>#N/A</v>
          </cell>
          <cell r="K554" t="e">
            <v>#N/A</v>
          </cell>
          <cell r="O554" t="e">
            <v>#N/A</v>
          </cell>
          <cell r="P554" t="e">
            <v>#N/A</v>
          </cell>
          <cell r="R554" t="e">
            <v>#N/A</v>
          </cell>
        </row>
        <row r="555">
          <cell r="A555" t="e">
            <v>#N/A</v>
          </cell>
          <cell r="B555" t="e">
            <v>#N/A</v>
          </cell>
          <cell r="C555" t="e">
            <v>#N/A</v>
          </cell>
          <cell r="F555" t="e">
            <v>#N/A</v>
          </cell>
          <cell r="G555" t="e">
            <v>#N/A</v>
          </cell>
          <cell r="K555" t="e">
            <v>#N/A</v>
          </cell>
          <cell r="O555" t="e">
            <v>#N/A</v>
          </cell>
          <cell r="P555" t="e">
            <v>#N/A</v>
          </cell>
          <cell r="R555" t="e">
            <v>#N/A</v>
          </cell>
        </row>
        <row r="556">
          <cell r="A556" t="e">
            <v>#N/A</v>
          </cell>
          <cell r="B556" t="e">
            <v>#N/A</v>
          </cell>
          <cell r="C556" t="e">
            <v>#N/A</v>
          </cell>
          <cell r="F556" t="e">
            <v>#N/A</v>
          </cell>
          <cell r="G556" t="e">
            <v>#N/A</v>
          </cell>
          <cell r="K556" t="e">
            <v>#N/A</v>
          </cell>
          <cell r="O556" t="e">
            <v>#N/A</v>
          </cell>
          <cell r="P556" t="e">
            <v>#N/A</v>
          </cell>
          <cell r="R556" t="e">
            <v>#N/A</v>
          </cell>
        </row>
        <row r="557">
          <cell r="A557" t="e">
            <v>#N/A</v>
          </cell>
          <cell r="B557" t="e">
            <v>#N/A</v>
          </cell>
          <cell r="C557" t="e">
            <v>#N/A</v>
          </cell>
          <cell r="F557" t="e">
            <v>#N/A</v>
          </cell>
          <cell r="G557" t="e">
            <v>#N/A</v>
          </cell>
          <cell r="K557" t="e">
            <v>#N/A</v>
          </cell>
          <cell r="O557" t="e">
            <v>#N/A</v>
          </cell>
          <cell r="P557" t="e">
            <v>#N/A</v>
          </cell>
          <cell r="R557" t="e">
            <v>#N/A</v>
          </cell>
        </row>
        <row r="558">
          <cell r="A558" t="e">
            <v>#N/A</v>
          </cell>
          <cell r="B558" t="e">
            <v>#N/A</v>
          </cell>
          <cell r="C558" t="e">
            <v>#N/A</v>
          </cell>
          <cell r="F558" t="e">
            <v>#N/A</v>
          </cell>
          <cell r="G558" t="e">
            <v>#N/A</v>
          </cell>
          <cell r="K558" t="e">
            <v>#N/A</v>
          </cell>
          <cell r="O558" t="e">
            <v>#N/A</v>
          </cell>
          <cell r="P558" t="e">
            <v>#N/A</v>
          </cell>
          <cell r="R558" t="e">
            <v>#N/A</v>
          </cell>
        </row>
        <row r="559">
          <cell r="A559" t="e">
            <v>#N/A</v>
          </cell>
          <cell r="B559" t="e">
            <v>#N/A</v>
          </cell>
          <cell r="C559" t="e">
            <v>#N/A</v>
          </cell>
          <cell r="F559" t="e">
            <v>#N/A</v>
          </cell>
          <cell r="G559" t="e">
            <v>#N/A</v>
          </cell>
          <cell r="K559" t="e">
            <v>#N/A</v>
          </cell>
          <cell r="O559" t="e">
            <v>#N/A</v>
          </cell>
          <cell r="P559" t="e">
            <v>#N/A</v>
          </cell>
          <cell r="R559" t="e">
            <v>#N/A</v>
          </cell>
        </row>
        <row r="560">
          <cell r="A560" t="e">
            <v>#N/A</v>
          </cell>
          <cell r="B560" t="e">
            <v>#N/A</v>
          </cell>
          <cell r="C560" t="e">
            <v>#N/A</v>
          </cell>
          <cell r="F560" t="e">
            <v>#N/A</v>
          </cell>
          <cell r="G560" t="e">
            <v>#N/A</v>
          </cell>
          <cell r="K560" t="e">
            <v>#N/A</v>
          </cell>
          <cell r="O560" t="e">
            <v>#N/A</v>
          </cell>
          <cell r="P560" t="e">
            <v>#N/A</v>
          </cell>
          <cell r="R560" t="e">
            <v>#N/A</v>
          </cell>
        </row>
        <row r="561">
          <cell r="A561" t="e">
            <v>#N/A</v>
          </cell>
          <cell r="B561" t="e">
            <v>#N/A</v>
          </cell>
          <cell r="C561" t="e">
            <v>#N/A</v>
          </cell>
          <cell r="F561" t="e">
            <v>#N/A</v>
          </cell>
          <cell r="G561" t="e">
            <v>#N/A</v>
          </cell>
          <cell r="K561" t="e">
            <v>#N/A</v>
          </cell>
          <cell r="O561" t="e">
            <v>#N/A</v>
          </cell>
          <cell r="P561" t="e">
            <v>#N/A</v>
          </cell>
          <cell r="R561" t="e">
            <v>#N/A</v>
          </cell>
        </row>
        <row r="562">
          <cell r="A562" t="e">
            <v>#N/A</v>
          </cell>
          <cell r="B562" t="e">
            <v>#N/A</v>
          </cell>
          <cell r="C562" t="e">
            <v>#N/A</v>
          </cell>
          <cell r="F562" t="e">
            <v>#N/A</v>
          </cell>
          <cell r="G562" t="e">
            <v>#N/A</v>
          </cell>
          <cell r="K562" t="e">
            <v>#N/A</v>
          </cell>
          <cell r="O562" t="e">
            <v>#N/A</v>
          </cell>
          <cell r="P562" t="e">
            <v>#N/A</v>
          </cell>
          <cell r="R562" t="e">
            <v>#N/A</v>
          </cell>
        </row>
        <row r="563">
          <cell r="A563" t="e">
            <v>#N/A</v>
          </cell>
          <cell r="B563" t="e">
            <v>#N/A</v>
          </cell>
          <cell r="C563" t="e">
            <v>#N/A</v>
          </cell>
          <cell r="F563" t="e">
            <v>#N/A</v>
          </cell>
          <cell r="G563" t="e">
            <v>#N/A</v>
          </cell>
          <cell r="K563" t="e">
            <v>#N/A</v>
          </cell>
          <cell r="O563" t="e">
            <v>#N/A</v>
          </cell>
          <cell r="P563" t="e">
            <v>#N/A</v>
          </cell>
          <cell r="R563" t="e">
            <v>#N/A</v>
          </cell>
        </row>
        <row r="564">
          <cell r="A564" t="e">
            <v>#N/A</v>
          </cell>
          <cell r="B564" t="e">
            <v>#N/A</v>
          </cell>
          <cell r="C564" t="e">
            <v>#N/A</v>
          </cell>
          <cell r="F564" t="e">
            <v>#N/A</v>
          </cell>
          <cell r="G564" t="e">
            <v>#N/A</v>
          </cell>
          <cell r="K564" t="e">
            <v>#N/A</v>
          </cell>
          <cell r="O564" t="e">
            <v>#N/A</v>
          </cell>
          <cell r="P564" t="e">
            <v>#N/A</v>
          </cell>
          <cell r="R564" t="e">
            <v>#N/A</v>
          </cell>
        </row>
        <row r="565">
          <cell r="A565" t="e">
            <v>#N/A</v>
          </cell>
          <cell r="B565" t="e">
            <v>#N/A</v>
          </cell>
          <cell r="C565" t="e">
            <v>#N/A</v>
          </cell>
          <cell r="F565" t="e">
            <v>#N/A</v>
          </cell>
          <cell r="G565" t="e">
            <v>#N/A</v>
          </cell>
          <cell r="K565" t="e">
            <v>#N/A</v>
          </cell>
          <cell r="O565" t="e">
            <v>#N/A</v>
          </cell>
          <cell r="P565" t="e">
            <v>#N/A</v>
          </cell>
          <cell r="R565" t="e">
            <v>#N/A</v>
          </cell>
        </row>
        <row r="566">
          <cell r="A566" t="e">
            <v>#N/A</v>
          </cell>
          <cell r="B566" t="e">
            <v>#N/A</v>
          </cell>
          <cell r="C566" t="e">
            <v>#N/A</v>
          </cell>
          <cell r="F566" t="e">
            <v>#N/A</v>
          </cell>
          <cell r="G566" t="e">
            <v>#N/A</v>
          </cell>
          <cell r="K566" t="e">
            <v>#N/A</v>
          </cell>
          <cell r="O566" t="e">
            <v>#N/A</v>
          </cell>
          <cell r="P566" t="e">
            <v>#N/A</v>
          </cell>
          <cell r="R566" t="e">
            <v>#N/A</v>
          </cell>
        </row>
        <row r="567">
          <cell r="A567" t="e">
            <v>#N/A</v>
          </cell>
          <cell r="B567" t="e">
            <v>#N/A</v>
          </cell>
          <cell r="C567" t="e">
            <v>#N/A</v>
          </cell>
          <cell r="F567" t="e">
            <v>#N/A</v>
          </cell>
          <cell r="G567" t="e">
            <v>#N/A</v>
          </cell>
          <cell r="K567" t="e">
            <v>#N/A</v>
          </cell>
          <cell r="O567" t="e">
            <v>#N/A</v>
          </cell>
          <cell r="P567" t="e">
            <v>#N/A</v>
          </cell>
          <cell r="R567" t="e">
            <v>#N/A</v>
          </cell>
        </row>
        <row r="568">
          <cell r="A568" t="e">
            <v>#N/A</v>
          </cell>
          <cell r="B568" t="e">
            <v>#N/A</v>
          </cell>
          <cell r="C568" t="e">
            <v>#N/A</v>
          </cell>
          <cell r="F568" t="e">
            <v>#N/A</v>
          </cell>
          <cell r="G568" t="e">
            <v>#N/A</v>
          </cell>
          <cell r="K568" t="e">
            <v>#N/A</v>
          </cell>
          <cell r="O568" t="e">
            <v>#N/A</v>
          </cell>
          <cell r="P568" t="e">
            <v>#N/A</v>
          </cell>
          <cell r="R568" t="e">
            <v>#N/A</v>
          </cell>
        </row>
        <row r="569">
          <cell r="A569" t="e">
            <v>#N/A</v>
          </cell>
          <cell r="B569" t="e">
            <v>#N/A</v>
          </cell>
          <cell r="C569" t="e">
            <v>#N/A</v>
          </cell>
          <cell r="F569" t="e">
            <v>#N/A</v>
          </cell>
          <cell r="G569" t="e">
            <v>#N/A</v>
          </cell>
          <cell r="K569" t="e">
            <v>#N/A</v>
          </cell>
          <cell r="O569" t="e">
            <v>#N/A</v>
          </cell>
          <cell r="P569" t="e">
            <v>#N/A</v>
          </cell>
          <cell r="R569" t="e">
            <v>#N/A</v>
          </cell>
        </row>
        <row r="570">
          <cell r="A570" t="e">
            <v>#N/A</v>
          </cell>
          <cell r="B570" t="e">
            <v>#N/A</v>
          </cell>
          <cell r="C570" t="e">
            <v>#N/A</v>
          </cell>
          <cell r="F570" t="e">
            <v>#N/A</v>
          </cell>
          <cell r="G570" t="e">
            <v>#N/A</v>
          </cell>
          <cell r="K570" t="e">
            <v>#N/A</v>
          </cell>
          <cell r="O570" t="e">
            <v>#N/A</v>
          </cell>
          <cell r="P570" t="e">
            <v>#N/A</v>
          </cell>
          <cell r="R570" t="e">
            <v>#N/A</v>
          </cell>
        </row>
        <row r="571">
          <cell r="A571" t="e">
            <v>#N/A</v>
          </cell>
          <cell r="B571" t="e">
            <v>#N/A</v>
          </cell>
          <cell r="C571" t="e">
            <v>#N/A</v>
          </cell>
          <cell r="F571" t="e">
            <v>#N/A</v>
          </cell>
          <cell r="G571" t="e">
            <v>#N/A</v>
          </cell>
          <cell r="K571" t="e">
            <v>#N/A</v>
          </cell>
          <cell r="O571" t="e">
            <v>#N/A</v>
          </cell>
          <cell r="P571" t="e">
            <v>#N/A</v>
          </cell>
          <cell r="R571" t="e">
            <v>#N/A</v>
          </cell>
        </row>
        <row r="572">
          <cell r="A572" t="e">
            <v>#N/A</v>
          </cell>
          <cell r="B572" t="e">
            <v>#N/A</v>
          </cell>
          <cell r="C572" t="e">
            <v>#N/A</v>
          </cell>
          <cell r="F572" t="e">
            <v>#N/A</v>
          </cell>
          <cell r="G572" t="e">
            <v>#N/A</v>
          </cell>
          <cell r="K572" t="e">
            <v>#N/A</v>
          </cell>
          <cell r="O572" t="e">
            <v>#N/A</v>
          </cell>
          <cell r="P572" t="e">
            <v>#N/A</v>
          </cell>
          <cell r="R572" t="e">
            <v>#N/A</v>
          </cell>
        </row>
        <row r="573">
          <cell r="A573" t="e">
            <v>#N/A</v>
          </cell>
          <cell r="B573" t="e">
            <v>#N/A</v>
          </cell>
          <cell r="C573" t="e">
            <v>#N/A</v>
          </cell>
          <cell r="F573" t="e">
            <v>#N/A</v>
          </cell>
          <cell r="G573" t="e">
            <v>#N/A</v>
          </cell>
          <cell r="K573" t="e">
            <v>#N/A</v>
          </cell>
          <cell r="O573" t="e">
            <v>#N/A</v>
          </cell>
          <cell r="P573">
            <v>0</v>
          </cell>
          <cell r="R573" t="e">
            <v>#N/A</v>
          </cell>
        </row>
        <row r="574">
          <cell r="A574" t="e">
            <v>#N/A</v>
          </cell>
          <cell r="B574" t="e">
            <v>#N/A</v>
          </cell>
          <cell r="C574" t="e">
            <v>#N/A</v>
          </cell>
          <cell r="F574" t="e">
            <v>#N/A</v>
          </cell>
          <cell r="G574" t="e">
            <v>#N/A</v>
          </cell>
          <cell r="K574" t="e">
            <v>#N/A</v>
          </cell>
          <cell r="O574" t="e">
            <v>#N/A</v>
          </cell>
          <cell r="P574">
            <v>0</v>
          </cell>
          <cell r="R574" t="e">
            <v>#N/A</v>
          </cell>
        </row>
        <row r="575">
          <cell r="A575" t="e">
            <v>#N/A</v>
          </cell>
          <cell r="B575" t="e">
            <v>#N/A</v>
          </cell>
          <cell r="C575" t="e">
            <v>#N/A</v>
          </cell>
          <cell r="F575" t="e">
            <v>#N/A</v>
          </cell>
          <cell r="G575" t="e">
            <v>#N/A</v>
          </cell>
          <cell r="K575" t="e">
            <v>#N/A</v>
          </cell>
          <cell r="O575" t="e">
            <v>#N/A</v>
          </cell>
          <cell r="P575">
            <v>0</v>
          </cell>
          <cell r="R575" t="e">
            <v>#N/A</v>
          </cell>
        </row>
        <row r="576">
          <cell r="A576" t="e">
            <v>#N/A</v>
          </cell>
          <cell r="B576" t="e">
            <v>#N/A</v>
          </cell>
          <cell r="C576" t="e">
            <v>#N/A</v>
          </cell>
          <cell r="F576" t="e">
            <v>#N/A</v>
          </cell>
          <cell r="G576" t="e">
            <v>#N/A</v>
          </cell>
          <cell r="K576" t="e">
            <v>#N/A</v>
          </cell>
          <cell r="O576" t="e">
            <v>#N/A</v>
          </cell>
          <cell r="P576">
            <v>0</v>
          </cell>
          <cell r="R576" t="e">
            <v>#N/A</v>
          </cell>
        </row>
        <row r="577">
          <cell r="A577" t="e">
            <v>#N/A</v>
          </cell>
          <cell r="B577" t="e">
            <v>#N/A</v>
          </cell>
          <cell r="C577" t="e">
            <v>#N/A</v>
          </cell>
          <cell r="F577" t="e">
            <v>#N/A</v>
          </cell>
          <cell r="G577" t="e">
            <v>#N/A</v>
          </cell>
          <cell r="K577" t="e">
            <v>#N/A</v>
          </cell>
          <cell r="O577" t="e">
            <v>#N/A</v>
          </cell>
          <cell r="P577">
            <v>0</v>
          </cell>
          <cell r="R577" t="e">
            <v>#N/A</v>
          </cell>
        </row>
        <row r="578">
          <cell r="A578" t="e">
            <v>#N/A</v>
          </cell>
          <cell r="B578" t="e">
            <v>#N/A</v>
          </cell>
          <cell r="C578" t="e">
            <v>#N/A</v>
          </cell>
          <cell r="F578" t="e">
            <v>#N/A</v>
          </cell>
          <cell r="G578" t="e">
            <v>#N/A</v>
          </cell>
          <cell r="K578" t="e">
            <v>#N/A</v>
          </cell>
          <cell r="O578" t="e">
            <v>#N/A</v>
          </cell>
          <cell r="P578">
            <v>0</v>
          </cell>
          <cell r="R578" t="e">
            <v>#N/A</v>
          </cell>
        </row>
        <row r="579">
          <cell r="A579" t="e">
            <v>#N/A</v>
          </cell>
          <cell r="B579" t="e">
            <v>#N/A</v>
          </cell>
          <cell r="C579" t="e">
            <v>#N/A</v>
          </cell>
          <cell r="F579" t="e">
            <v>#N/A</v>
          </cell>
          <cell r="G579" t="e">
            <v>#N/A</v>
          </cell>
          <cell r="K579" t="e">
            <v>#N/A</v>
          </cell>
          <cell r="O579" t="e">
            <v>#N/A</v>
          </cell>
          <cell r="P579">
            <v>0</v>
          </cell>
          <cell r="R579" t="e">
            <v>#N/A</v>
          </cell>
        </row>
        <row r="580">
          <cell r="A580" t="e">
            <v>#N/A</v>
          </cell>
          <cell r="B580" t="e">
            <v>#N/A</v>
          </cell>
          <cell r="C580" t="e">
            <v>#N/A</v>
          </cell>
          <cell r="F580" t="e">
            <v>#N/A</v>
          </cell>
          <cell r="G580" t="e">
            <v>#N/A</v>
          </cell>
          <cell r="K580" t="e">
            <v>#N/A</v>
          </cell>
          <cell r="O580" t="e">
            <v>#N/A</v>
          </cell>
          <cell r="P580">
            <v>0</v>
          </cell>
          <cell r="R580" t="e">
            <v>#N/A</v>
          </cell>
        </row>
        <row r="581">
          <cell r="A581" t="e">
            <v>#N/A</v>
          </cell>
          <cell r="B581" t="e">
            <v>#N/A</v>
          </cell>
          <cell r="C581" t="e">
            <v>#N/A</v>
          </cell>
          <cell r="F581" t="e">
            <v>#N/A</v>
          </cell>
          <cell r="G581" t="e">
            <v>#N/A</v>
          </cell>
          <cell r="K581" t="e">
            <v>#N/A</v>
          </cell>
          <cell r="O581" t="e">
            <v>#N/A</v>
          </cell>
          <cell r="P581">
            <v>0</v>
          </cell>
          <cell r="R581" t="e">
            <v>#N/A</v>
          </cell>
        </row>
        <row r="582">
          <cell r="A582" t="e">
            <v>#N/A</v>
          </cell>
          <cell r="B582" t="e">
            <v>#N/A</v>
          </cell>
          <cell r="C582" t="e">
            <v>#N/A</v>
          </cell>
          <cell r="F582" t="e">
            <v>#N/A</v>
          </cell>
          <cell r="G582" t="e">
            <v>#N/A</v>
          </cell>
          <cell r="K582" t="e">
            <v>#N/A</v>
          </cell>
          <cell r="O582" t="e">
            <v>#N/A</v>
          </cell>
          <cell r="P582">
            <v>0</v>
          </cell>
          <cell r="R582" t="e">
            <v>#N/A</v>
          </cell>
        </row>
        <row r="583">
          <cell r="A583" t="e">
            <v>#N/A</v>
          </cell>
          <cell r="B583" t="e">
            <v>#N/A</v>
          </cell>
          <cell r="C583" t="e">
            <v>#N/A</v>
          </cell>
          <cell r="F583" t="e">
            <v>#N/A</v>
          </cell>
          <cell r="G583" t="e">
            <v>#N/A</v>
          </cell>
          <cell r="K583" t="e">
            <v>#N/A</v>
          </cell>
          <cell r="O583" t="e">
            <v>#N/A</v>
          </cell>
          <cell r="P583">
            <v>0</v>
          </cell>
          <cell r="R583">
            <v>0</v>
          </cell>
        </row>
        <row r="584">
          <cell r="A584" t="e">
            <v>#N/A</v>
          </cell>
          <cell r="B584" t="e">
            <v>#N/A</v>
          </cell>
          <cell r="C584" t="e">
            <v>#N/A</v>
          </cell>
          <cell r="F584" t="e">
            <v>#N/A</v>
          </cell>
          <cell r="G584" t="e">
            <v>#N/A</v>
          </cell>
          <cell r="K584" t="e">
            <v>#N/A</v>
          </cell>
          <cell r="O584" t="e">
            <v>#N/A</v>
          </cell>
          <cell r="P584">
            <v>0</v>
          </cell>
          <cell r="R584">
            <v>0</v>
          </cell>
        </row>
        <row r="585">
          <cell r="A585" t="e">
            <v>#N/A</v>
          </cell>
          <cell r="B585" t="e">
            <v>#N/A</v>
          </cell>
          <cell r="C585" t="e">
            <v>#N/A</v>
          </cell>
          <cell r="F585" t="e">
            <v>#N/A</v>
          </cell>
          <cell r="G585" t="e">
            <v>#N/A</v>
          </cell>
          <cell r="K585" t="e">
            <v>#N/A</v>
          </cell>
          <cell r="O585" t="e">
            <v>#N/A</v>
          </cell>
          <cell r="P585">
            <v>0</v>
          </cell>
          <cell r="R585">
            <v>0</v>
          </cell>
        </row>
        <row r="586">
          <cell r="A586" t="e">
            <v>#N/A</v>
          </cell>
          <cell r="B586" t="e">
            <v>#N/A</v>
          </cell>
          <cell r="C586" t="e">
            <v>#N/A</v>
          </cell>
          <cell r="F586" t="e">
            <v>#N/A</v>
          </cell>
          <cell r="G586" t="e">
            <v>#N/A</v>
          </cell>
          <cell r="K586" t="e">
            <v>#N/A</v>
          </cell>
          <cell r="O586" t="e">
            <v>#N/A</v>
          </cell>
          <cell r="P586">
            <v>0</v>
          </cell>
          <cell r="R586">
            <v>0</v>
          </cell>
        </row>
        <row r="587">
          <cell r="A587" t="e">
            <v>#N/A</v>
          </cell>
          <cell r="B587" t="e">
            <v>#N/A</v>
          </cell>
          <cell r="C587" t="e">
            <v>#N/A</v>
          </cell>
          <cell r="F587" t="e">
            <v>#N/A</v>
          </cell>
          <cell r="G587" t="e">
            <v>#N/A</v>
          </cell>
          <cell r="K587" t="e">
            <v>#N/A</v>
          </cell>
          <cell r="O587" t="e">
            <v>#N/A</v>
          </cell>
          <cell r="P587">
            <v>0</v>
          </cell>
          <cell r="R587">
            <v>0</v>
          </cell>
        </row>
        <row r="588">
          <cell r="A588" t="e">
            <v>#N/A</v>
          </cell>
          <cell r="B588" t="e">
            <v>#N/A</v>
          </cell>
          <cell r="C588" t="e">
            <v>#N/A</v>
          </cell>
          <cell r="F588" t="e">
            <v>#N/A</v>
          </cell>
          <cell r="G588" t="e">
            <v>#N/A</v>
          </cell>
          <cell r="K588" t="e">
            <v>#N/A</v>
          </cell>
          <cell r="O588" t="e">
            <v>#N/A</v>
          </cell>
          <cell r="P588">
            <v>0</v>
          </cell>
          <cell r="R588">
            <v>0</v>
          </cell>
        </row>
        <row r="589">
          <cell r="A589" t="e">
            <v>#N/A</v>
          </cell>
          <cell r="B589" t="e">
            <v>#N/A</v>
          </cell>
          <cell r="C589" t="e">
            <v>#N/A</v>
          </cell>
          <cell r="F589" t="e">
            <v>#N/A</v>
          </cell>
          <cell r="G589" t="e">
            <v>#N/A</v>
          </cell>
          <cell r="K589" t="e">
            <v>#N/A</v>
          </cell>
          <cell r="O589" t="e">
            <v>#N/A</v>
          </cell>
          <cell r="P589">
            <v>0</v>
          </cell>
          <cell r="R589">
            <v>0</v>
          </cell>
        </row>
        <row r="590">
          <cell r="A590" t="e">
            <v>#N/A</v>
          </cell>
          <cell r="B590" t="e">
            <v>#N/A</v>
          </cell>
          <cell r="C590" t="e">
            <v>#N/A</v>
          </cell>
          <cell r="F590" t="e">
            <v>#N/A</v>
          </cell>
          <cell r="G590" t="e">
            <v>#N/A</v>
          </cell>
          <cell r="K590" t="e">
            <v>#N/A</v>
          </cell>
          <cell r="O590" t="e">
            <v>#N/A</v>
          </cell>
          <cell r="P590">
            <v>0</v>
          </cell>
          <cell r="R590">
            <v>0</v>
          </cell>
        </row>
        <row r="591">
          <cell r="A591" t="e">
            <v>#N/A</v>
          </cell>
          <cell r="B591" t="e">
            <v>#N/A</v>
          </cell>
          <cell r="C591" t="e">
            <v>#N/A</v>
          </cell>
          <cell r="F591" t="e">
            <v>#N/A</v>
          </cell>
          <cell r="G591" t="e">
            <v>#N/A</v>
          </cell>
          <cell r="K591" t="e">
            <v>#N/A</v>
          </cell>
          <cell r="O591" t="e">
            <v>#N/A</v>
          </cell>
          <cell r="P591">
            <v>0</v>
          </cell>
          <cell r="R591">
            <v>0</v>
          </cell>
        </row>
        <row r="592">
          <cell r="A592" t="e">
            <v>#N/A</v>
          </cell>
          <cell r="B592" t="e">
            <v>#N/A</v>
          </cell>
          <cell r="C592" t="e">
            <v>#N/A</v>
          </cell>
          <cell r="F592" t="e">
            <v>#N/A</v>
          </cell>
          <cell r="G592" t="e">
            <v>#N/A</v>
          </cell>
          <cell r="K592" t="e">
            <v>#N/A</v>
          </cell>
          <cell r="O592" t="e">
            <v>#N/A</v>
          </cell>
          <cell r="P592">
            <v>0</v>
          </cell>
          <cell r="R592">
            <v>0</v>
          </cell>
        </row>
        <row r="593">
          <cell r="A593" t="e">
            <v>#N/A</v>
          </cell>
          <cell r="B593" t="e">
            <v>#N/A</v>
          </cell>
          <cell r="C593" t="e">
            <v>#N/A</v>
          </cell>
          <cell r="F593" t="e">
            <v>#N/A</v>
          </cell>
          <cell r="G593" t="e">
            <v>#N/A</v>
          </cell>
          <cell r="K593" t="e">
            <v>#N/A</v>
          </cell>
          <cell r="O593" t="e">
            <v>#N/A</v>
          </cell>
          <cell r="P593">
            <v>0</v>
          </cell>
          <cell r="R593">
            <v>0</v>
          </cell>
        </row>
        <row r="594">
          <cell r="A594" t="e">
            <v>#N/A</v>
          </cell>
          <cell r="B594" t="e">
            <v>#N/A</v>
          </cell>
          <cell r="C594" t="e">
            <v>#N/A</v>
          </cell>
          <cell r="F594" t="e">
            <v>#N/A</v>
          </cell>
          <cell r="G594" t="e">
            <v>#N/A</v>
          </cell>
          <cell r="K594" t="e">
            <v>#N/A</v>
          </cell>
          <cell r="O594" t="e">
            <v>#N/A</v>
          </cell>
          <cell r="P594">
            <v>0</v>
          </cell>
          <cell r="R594">
            <v>0</v>
          </cell>
        </row>
        <row r="595">
          <cell r="A595" t="e">
            <v>#N/A</v>
          </cell>
          <cell r="B595" t="e">
            <v>#N/A</v>
          </cell>
          <cell r="C595" t="e">
            <v>#N/A</v>
          </cell>
          <cell r="D595">
            <v>1</v>
          </cell>
          <cell r="E595">
            <v>1</v>
          </cell>
          <cell r="F595" t="e">
            <v>#N/A</v>
          </cell>
          <cell r="G595" t="e">
            <v>#N/A</v>
          </cell>
          <cell r="H595">
            <v>1</v>
          </cell>
          <cell r="I595">
            <v>1</v>
          </cell>
          <cell r="J595">
            <v>1</v>
          </cell>
          <cell r="K595" t="e">
            <v>#N/A</v>
          </cell>
          <cell r="L595">
            <v>1</v>
          </cell>
          <cell r="M595">
            <v>1</v>
          </cell>
          <cell r="N595">
            <v>1</v>
          </cell>
          <cell r="O595" t="e">
            <v>#N/A</v>
          </cell>
          <cell r="P595">
            <v>0</v>
          </cell>
          <cell r="Q595">
            <v>1</v>
          </cell>
          <cell r="R595">
            <v>0</v>
          </cell>
          <cell r="S595">
            <v>1</v>
          </cell>
          <cell r="T595">
            <v>1</v>
          </cell>
          <cell r="U595">
            <v>1</v>
          </cell>
          <cell r="V595">
            <v>1</v>
          </cell>
          <cell r="W595">
            <v>1</v>
          </cell>
          <cell r="X595">
            <v>1</v>
          </cell>
          <cell r="Y595">
            <v>1</v>
          </cell>
        </row>
      </sheetData>
      <sheetData sheetId="3" refreshError="1"/>
      <sheetData sheetId="4">
        <row r="2">
          <cell r="D2" t="str">
            <v>START</v>
          </cell>
          <cell r="U2" t="str">
            <v>EPG PLEASE USE ALL THE INFO IN THE YELLOW COLUMNS -- THEY ARE ALL HARDCODED</v>
          </cell>
        </row>
        <row r="3">
          <cell r="D3" t="str">
            <v>END</v>
          </cell>
          <cell r="E3">
            <v>39038</v>
          </cell>
          <cell r="U3" t="str">
            <v>If you need to hard code the new data please do so beside the linked data do not delete or edit anything</v>
          </cell>
        </row>
        <row r="4">
          <cell r="E4">
            <v>39773</v>
          </cell>
          <cell r="H4" t="str">
            <v>Needs to be hardcodes</v>
          </cell>
          <cell r="L4" t="str">
            <v>P_PRICE</v>
          </cell>
        </row>
        <row r="5">
          <cell r="E5" t="str">
            <v>D</v>
          </cell>
          <cell r="L5" t="str">
            <v>GBP</v>
          </cell>
          <cell r="N5" t="str">
            <v>USD</v>
          </cell>
        </row>
        <row r="6">
          <cell r="C6" t="str">
            <v>PDJ</v>
          </cell>
          <cell r="I6" t="str">
            <v>USD</v>
          </cell>
          <cell r="L6" t="str">
            <v>B1FP89</v>
          </cell>
        </row>
        <row r="7">
          <cell r="B7" t="str">
            <v>(ICE ) CRUDE OIL-WTI CONTINUOUS CONTRACT</v>
          </cell>
          <cell r="G7" t="str">
            <v>Light Crude Oil - Continuous Contract</v>
          </cell>
          <cell r="I7" t="str">
            <v xml:space="preserve">Light Crude Oil </v>
          </cell>
          <cell r="J7" t="str">
            <v>Hardcode</v>
          </cell>
          <cell r="L7" t="str">
            <v>BBA Aviation PLC</v>
          </cell>
          <cell r="M7" t="str">
            <v>Exchange</v>
          </cell>
          <cell r="N7" t="str">
            <v>BBA Aviation PLC</v>
          </cell>
          <cell r="O7" t="str">
            <v>Hardcode</v>
          </cell>
          <cell r="Q7" t="str">
            <v>FTSE 250</v>
          </cell>
          <cell r="R7" t="str">
            <v>Hardcode</v>
          </cell>
          <cell r="S7" t="str">
            <v>Equity Analyst Peers</v>
          </cell>
          <cell r="T7" t="str">
            <v>Hardcode</v>
          </cell>
          <cell r="U7" t="str">
            <v>Aerospace Peers</v>
          </cell>
          <cell r="V7" t="str">
            <v>Hardcode</v>
          </cell>
        </row>
        <row r="8">
          <cell r="B8" t="str">
            <v>9C781Q00</v>
          </cell>
          <cell r="D8">
            <v>39038</v>
          </cell>
          <cell r="E8" t="e">
            <v>#N/A</v>
          </cell>
          <cell r="G8" t="str">
            <v>01263P00</v>
          </cell>
          <cell r="H8">
            <v>39038</v>
          </cell>
          <cell r="I8">
            <v>58.97</v>
          </cell>
          <cell r="J8">
            <v>58.97</v>
          </cell>
          <cell r="L8">
            <v>2.8650000000000002</v>
          </cell>
          <cell r="M8">
            <v>1.8944500000000002</v>
          </cell>
          <cell r="N8">
            <v>5.427599250000001</v>
          </cell>
          <cell r="O8">
            <v>2.8650000000000002</v>
          </cell>
          <cell r="Q8">
            <v>2.8650000000000002</v>
          </cell>
          <cell r="S8">
            <v>2.8650000000000002</v>
          </cell>
          <cell r="U8">
            <v>2.8650000000000002</v>
          </cell>
        </row>
        <row r="9">
          <cell r="D9">
            <v>39041</v>
          </cell>
          <cell r="E9" t="e">
            <v>#N/A</v>
          </cell>
          <cell r="H9">
            <v>39041</v>
          </cell>
          <cell r="I9">
            <v>58.8</v>
          </cell>
          <cell r="J9">
            <v>58.8</v>
          </cell>
          <cell r="L9">
            <v>2.87</v>
          </cell>
          <cell r="M9">
            <v>1.8972500000000001</v>
          </cell>
          <cell r="N9">
            <v>5.4451075000000007</v>
          </cell>
          <cell r="O9">
            <v>2.87</v>
          </cell>
          <cell r="Q9">
            <v>2.8689854822145464</v>
          </cell>
          <cell r="S9">
            <v>2.8648485630517424</v>
          </cell>
          <cell r="U9">
            <v>2.842850501192852</v>
          </cell>
        </row>
        <row r="10">
          <cell r="D10">
            <v>39042</v>
          </cell>
          <cell r="E10" t="e">
            <v>#N/A</v>
          </cell>
          <cell r="H10">
            <v>39042</v>
          </cell>
          <cell r="I10">
            <v>60.17</v>
          </cell>
          <cell r="J10">
            <v>60.17</v>
          </cell>
          <cell r="L10">
            <v>2.8975</v>
          </cell>
          <cell r="M10">
            <v>1.8992500000000001</v>
          </cell>
          <cell r="N10">
            <v>5.5030768750000005</v>
          </cell>
          <cell r="O10">
            <v>2.8975</v>
          </cell>
          <cell r="Q10">
            <v>2.8760202595462614</v>
          </cell>
          <cell r="S10">
            <v>2.8599788722341644</v>
          </cell>
          <cell r="U10">
            <v>2.8429386609236063</v>
          </cell>
        </row>
        <row r="11">
          <cell r="D11">
            <v>39043</v>
          </cell>
          <cell r="E11" t="e">
            <v>#N/A</v>
          </cell>
          <cell r="H11">
            <v>39043</v>
          </cell>
          <cell r="I11">
            <v>59.24</v>
          </cell>
          <cell r="J11">
            <v>59.24</v>
          </cell>
          <cell r="L11">
            <v>2.9275000000000002</v>
          </cell>
          <cell r="M11">
            <v>1.9140000000000001</v>
          </cell>
          <cell r="N11">
            <v>5.6032350000000006</v>
          </cell>
          <cell r="O11">
            <v>2.9275000000000002</v>
          </cell>
          <cell r="Q11">
            <v>2.8587676687517507</v>
          </cell>
          <cell r="S11">
            <v>2.8796564585618269</v>
          </cell>
          <cell r="U11">
            <v>2.8055677208378431</v>
          </cell>
        </row>
        <row r="12">
          <cell r="D12">
            <v>39045</v>
          </cell>
          <cell r="E12" t="e">
            <v>#N/A</v>
          </cell>
          <cell r="H12">
            <v>39045</v>
          </cell>
          <cell r="I12">
            <v>59.24</v>
          </cell>
          <cell r="J12">
            <v>59.24</v>
          </cell>
          <cell r="L12">
            <v>2.8574999999999999</v>
          </cell>
          <cell r="M12">
            <v>1.9318000000000002</v>
          </cell>
          <cell r="N12">
            <v>5.5201185000000006</v>
          </cell>
          <cell r="O12">
            <v>2.8574999999999999</v>
          </cell>
          <cell r="Q12">
            <v>2.832688171039119</v>
          </cell>
          <cell r="S12">
            <v>2.8883389435919442</v>
          </cell>
          <cell r="U12">
            <v>2.7748222136850011</v>
          </cell>
        </row>
        <row r="13">
          <cell r="D13">
            <v>39048</v>
          </cell>
          <cell r="E13" t="e">
            <v>#N/A</v>
          </cell>
          <cell r="H13">
            <v>39048</v>
          </cell>
          <cell r="I13">
            <v>60.32</v>
          </cell>
          <cell r="J13">
            <v>60.32</v>
          </cell>
          <cell r="L13">
            <v>2.8149999999999999</v>
          </cell>
          <cell r="M13">
            <v>1.9369000000000001</v>
          </cell>
          <cell r="N13">
            <v>5.4523735000000002</v>
          </cell>
          <cell r="O13">
            <v>2.8149999999999999</v>
          </cell>
          <cell r="Q13">
            <v>2.8068494071515264</v>
          </cell>
          <cell r="S13">
            <v>2.8607707253000689</v>
          </cell>
          <cell r="U13">
            <v>2.7106740660675093</v>
          </cell>
        </row>
        <row r="14">
          <cell r="D14">
            <v>39049</v>
          </cell>
          <cell r="E14" t="e">
            <v>#N/A</v>
          </cell>
          <cell r="H14">
            <v>39049</v>
          </cell>
          <cell r="I14">
            <v>60.99</v>
          </cell>
          <cell r="J14">
            <v>60.99</v>
          </cell>
          <cell r="L14">
            <v>2.8125</v>
          </cell>
          <cell r="M14">
            <v>1.9474</v>
          </cell>
          <cell r="N14">
            <v>5.4770624999999997</v>
          </cell>
          <cell r="O14">
            <v>2.8125</v>
          </cell>
          <cell r="Q14">
            <v>2.8078123424516854</v>
          </cell>
          <cell r="S14">
            <v>2.8276730348315153</v>
          </cell>
          <cell r="U14">
            <v>2.6892782717277934</v>
          </cell>
        </row>
        <row r="15">
          <cell r="D15">
            <v>39050</v>
          </cell>
          <cell r="E15" t="e">
            <v>#N/A</v>
          </cell>
          <cell r="H15">
            <v>39050</v>
          </cell>
          <cell r="I15">
            <v>62.46</v>
          </cell>
          <cell r="J15">
            <v>62.46</v>
          </cell>
          <cell r="L15">
            <v>2.855</v>
          </cell>
          <cell r="M15">
            <v>1.9494500000000001</v>
          </cell>
          <cell r="N15">
            <v>5.5656797500000001</v>
          </cell>
          <cell r="O15">
            <v>2.855</v>
          </cell>
          <cell r="Q15">
            <v>2.8529900569507989</v>
          </cell>
          <cell r="S15">
            <v>2.8603798270710059</v>
          </cell>
          <cell r="U15">
            <v>2.7385590430769251</v>
          </cell>
        </row>
        <row r="16">
          <cell r="D16">
            <v>39051</v>
          </cell>
          <cell r="E16" t="e">
            <v>#N/A</v>
          </cell>
          <cell r="H16">
            <v>39051</v>
          </cell>
          <cell r="I16">
            <v>63.13</v>
          </cell>
          <cell r="J16">
            <v>63.13</v>
          </cell>
          <cell r="L16">
            <v>2.8574999999999999</v>
          </cell>
          <cell r="M16">
            <v>1.9670500000000002</v>
          </cell>
          <cell r="N16">
            <v>5.620845375</v>
          </cell>
          <cell r="O16">
            <v>2.8574999999999999</v>
          </cell>
          <cell r="Q16">
            <v>2.8550764167678091</v>
          </cell>
          <cell r="S16">
            <v>2.8182497033038141</v>
          </cell>
          <cell r="U16">
            <v>2.700154156180826</v>
          </cell>
        </row>
        <row r="17">
          <cell r="D17">
            <v>39052</v>
          </cell>
          <cell r="E17" t="e">
            <v>#N/A</v>
          </cell>
          <cell r="H17">
            <v>39052</v>
          </cell>
          <cell r="I17">
            <v>63.43</v>
          </cell>
          <cell r="J17">
            <v>63.43</v>
          </cell>
          <cell r="L17">
            <v>2.9050000000000002</v>
          </cell>
          <cell r="M17">
            <v>1.9807000000000001</v>
          </cell>
          <cell r="N17">
            <v>5.7539335000000005</v>
          </cell>
          <cell r="O17">
            <v>2.9049999999999998</v>
          </cell>
          <cell r="Q17">
            <v>2.8617634674633559</v>
          </cell>
          <cell r="S17">
            <v>2.8128148279709859</v>
          </cell>
          <cell r="U17">
            <v>2.685404955723651</v>
          </cell>
        </row>
        <row r="18">
          <cell r="D18">
            <v>39055</v>
          </cell>
          <cell r="E18" t="e">
            <v>#N/A</v>
          </cell>
          <cell r="H18">
            <v>39055</v>
          </cell>
          <cell r="I18">
            <v>62.44</v>
          </cell>
          <cell r="J18">
            <v>62.44</v>
          </cell>
          <cell r="L18">
            <v>2.9000000000000004</v>
          </cell>
          <cell r="M18">
            <v>1.9787500000000002</v>
          </cell>
          <cell r="N18">
            <v>5.7383750000000013</v>
          </cell>
          <cell r="O18">
            <v>2.9</v>
          </cell>
          <cell r="Q18">
            <v>2.8759400149379144</v>
          </cell>
          <cell r="S18">
            <v>2.8288304717412744</v>
          </cell>
          <cell r="U18">
            <v>2.7267931057760393</v>
          </cell>
        </row>
        <row r="19">
          <cell r="D19">
            <v>39056</v>
          </cell>
          <cell r="E19" t="e">
            <v>#N/A</v>
          </cell>
          <cell r="H19">
            <v>39056</v>
          </cell>
          <cell r="I19">
            <v>62.43</v>
          </cell>
          <cell r="J19">
            <v>62.43</v>
          </cell>
          <cell r="L19">
            <v>2.8574999999999999</v>
          </cell>
          <cell r="M19">
            <v>1.9709500000000002</v>
          </cell>
          <cell r="N19">
            <v>5.6319896250000001</v>
          </cell>
          <cell r="O19">
            <v>2.8574999999999999</v>
          </cell>
          <cell r="Q19">
            <v>2.8979270376248718</v>
          </cell>
          <cell r="S19">
            <v>2.8511822735246799</v>
          </cell>
          <cell r="U19">
            <v>2.7187776830757877</v>
          </cell>
        </row>
        <row r="20">
          <cell r="D20">
            <v>39057</v>
          </cell>
          <cell r="E20" t="e">
            <v>#N/A</v>
          </cell>
          <cell r="H20">
            <v>39057</v>
          </cell>
          <cell r="I20">
            <v>62.19</v>
          </cell>
          <cell r="J20">
            <v>62.19</v>
          </cell>
          <cell r="L20">
            <v>2.8125</v>
          </cell>
          <cell r="M20">
            <v>1.9701500000000001</v>
          </cell>
          <cell r="N20">
            <v>5.5410468750000001</v>
          </cell>
          <cell r="O20">
            <v>2.8125</v>
          </cell>
          <cell r="Q20">
            <v>2.9049083185510223</v>
          </cell>
          <cell r="S20">
            <v>2.8494978737154524</v>
          </cell>
          <cell r="U20">
            <v>2.6916984869785292</v>
          </cell>
        </row>
        <row r="21">
          <cell r="D21">
            <v>39058</v>
          </cell>
          <cell r="E21" t="e">
            <v>#N/A</v>
          </cell>
          <cell r="H21">
            <v>39058</v>
          </cell>
          <cell r="I21">
            <v>62.49</v>
          </cell>
          <cell r="J21">
            <v>62.49</v>
          </cell>
          <cell r="L21">
            <v>2.8275000000000001</v>
          </cell>
          <cell r="M21">
            <v>1.9643000000000002</v>
          </cell>
          <cell r="N21">
            <v>5.5540582500000006</v>
          </cell>
          <cell r="O21">
            <v>2.8275000000000001</v>
          </cell>
          <cell r="Q21">
            <v>2.9132270096162824</v>
          </cell>
          <cell r="S21">
            <v>2.8486531805901238</v>
          </cell>
          <cell r="U21">
            <v>2.7240068818909275</v>
          </cell>
        </row>
        <row r="22">
          <cell r="D22">
            <v>39059</v>
          </cell>
          <cell r="E22" t="e">
            <v>#N/A</v>
          </cell>
          <cell r="H22">
            <v>39059</v>
          </cell>
          <cell r="I22">
            <v>62.03</v>
          </cell>
          <cell r="J22">
            <v>62.03</v>
          </cell>
          <cell r="L22">
            <v>2.83</v>
          </cell>
          <cell r="M22">
            <v>1.9666000000000001</v>
          </cell>
          <cell r="N22">
            <v>5.5654780000000006</v>
          </cell>
          <cell r="O22">
            <v>2.83</v>
          </cell>
          <cell r="Q22">
            <v>2.9273233124824944</v>
          </cell>
          <cell r="S22">
            <v>2.8555930070337237</v>
          </cell>
          <cell r="U22">
            <v>2.7533620552065794</v>
          </cell>
        </row>
        <row r="23">
          <cell r="D23">
            <v>39062</v>
          </cell>
          <cell r="E23" t="e">
            <v>#N/A</v>
          </cell>
          <cell r="H23">
            <v>39062</v>
          </cell>
          <cell r="I23">
            <v>61.22</v>
          </cell>
          <cell r="J23">
            <v>61.22</v>
          </cell>
          <cell r="L23">
            <v>2.8475000000000001</v>
          </cell>
          <cell r="M23">
            <v>1.9539500000000001</v>
          </cell>
          <cell r="N23">
            <v>5.5638726250000001</v>
          </cell>
          <cell r="O23">
            <v>2.8475000000000001</v>
          </cell>
          <cell r="Q23">
            <v>2.9392530109233497</v>
          </cell>
          <cell r="S23">
            <v>2.858762864899548</v>
          </cell>
          <cell r="U23">
            <v>2.7961861455408719</v>
          </cell>
        </row>
        <row r="24">
          <cell r="D24">
            <v>39063</v>
          </cell>
          <cell r="E24" t="e">
            <v>#N/A</v>
          </cell>
          <cell r="H24">
            <v>39063</v>
          </cell>
          <cell r="I24">
            <v>61.99</v>
          </cell>
          <cell r="J24">
            <v>61.99</v>
          </cell>
          <cell r="L24">
            <v>2.8475000000000001</v>
          </cell>
          <cell r="M24">
            <v>1.9663500000000003</v>
          </cell>
          <cell r="N24">
            <v>5.5991816250000008</v>
          </cell>
          <cell r="O24">
            <v>2.8475000000000001</v>
          </cell>
          <cell r="Q24">
            <v>2.9240867799458505</v>
          </cell>
          <cell r="S24">
            <v>2.8531935184971049</v>
          </cell>
          <cell r="U24">
            <v>2.7946578891295268</v>
          </cell>
        </row>
        <row r="25">
          <cell r="D25">
            <v>39064</v>
          </cell>
          <cell r="E25" t="e">
            <v>#N/A</v>
          </cell>
          <cell r="H25">
            <v>39064</v>
          </cell>
          <cell r="I25">
            <v>62.17</v>
          </cell>
          <cell r="J25">
            <v>62.17</v>
          </cell>
          <cell r="L25">
            <v>2.81</v>
          </cell>
          <cell r="M25">
            <v>1.9670500000000002</v>
          </cell>
          <cell r="N25">
            <v>5.5274105000000002</v>
          </cell>
          <cell r="O25">
            <v>2.81</v>
          </cell>
          <cell r="Q25">
            <v>2.9370864064979925</v>
          </cell>
          <cell r="S25">
            <v>2.862826332186815</v>
          </cell>
          <cell r="U25">
            <v>2.7330560910949551</v>
          </cell>
        </row>
        <row r="26">
          <cell r="D26">
            <v>39065</v>
          </cell>
          <cell r="E26" t="e">
            <v>#N/A</v>
          </cell>
          <cell r="H26">
            <v>39065</v>
          </cell>
          <cell r="I26">
            <v>63.33</v>
          </cell>
          <cell r="J26">
            <v>63.33</v>
          </cell>
          <cell r="L26">
            <v>2.81</v>
          </cell>
          <cell r="M26">
            <v>1.9627500000000002</v>
          </cell>
          <cell r="N26">
            <v>5.5153275000000006</v>
          </cell>
          <cell r="O26">
            <v>2.81</v>
          </cell>
          <cell r="Q26">
            <v>2.9554356736065728</v>
          </cell>
          <cell r="S26">
            <v>2.8939306535756009</v>
          </cell>
          <cell r="U26">
            <v>2.7284870163654018</v>
          </cell>
        </row>
        <row r="27">
          <cell r="D27">
            <v>39066</v>
          </cell>
          <cell r="E27" t="e">
            <v>#N/A</v>
          </cell>
          <cell r="H27">
            <v>39066</v>
          </cell>
          <cell r="I27">
            <v>64.09</v>
          </cell>
          <cell r="J27">
            <v>64.09</v>
          </cell>
          <cell r="L27">
            <v>2.8149999999999999</v>
          </cell>
          <cell r="M27">
            <v>1.9520500000000001</v>
          </cell>
          <cell r="N27">
            <v>5.4950207500000001</v>
          </cell>
          <cell r="O27">
            <v>2.8149999999999999</v>
          </cell>
          <cell r="Q27">
            <v>2.9653057604331998</v>
          </cell>
          <cell r="S27">
            <v>2.8916637626164174</v>
          </cell>
          <cell r="U27">
            <v>2.7634604921712298</v>
          </cell>
        </row>
        <row r="28">
          <cell r="D28">
            <v>39069</v>
          </cell>
          <cell r="E28" t="e">
            <v>#N/A</v>
          </cell>
          <cell r="H28">
            <v>39069</v>
          </cell>
          <cell r="I28">
            <v>62.79</v>
          </cell>
          <cell r="J28">
            <v>62.79</v>
          </cell>
          <cell r="L28">
            <v>2.8000000000000003</v>
          </cell>
          <cell r="M28">
            <v>1.9456</v>
          </cell>
          <cell r="N28">
            <v>5.4476800000000001</v>
          </cell>
          <cell r="O28">
            <v>2.8</v>
          </cell>
          <cell r="Q28">
            <v>2.9657604798804971</v>
          </cell>
          <cell r="S28">
            <v>2.9096037470400051</v>
          </cell>
          <cell r="U28">
            <v>2.7806471545816676</v>
          </cell>
        </row>
        <row r="29">
          <cell r="D29">
            <v>39070</v>
          </cell>
          <cell r="E29" t="e">
            <v>#N/A</v>
          </cell>
          <cell r="H29">
            <v>39070</v>
          </cell>
          <cell r="I29">
            <v>63.46</v>
          </cell>
          <cell r="J29">
            <v>63.46</v>
          </cell>
          <cell r="L29">
            <v>2.7600000000000002</v>
          </cell>
          <cell r="M29">
            <v>1.9628500000000002</v>
          </cell>
          <cell r="N29">
            <v>5.417466000000001</v>
          </cell>
          <cell r="O29">
            <v>2.76</v>
          </cell>
          <cell r="Q29">
            <v>2.9570940621790687</v>
          </cell>
          <cell r="S29">
            <v>2.9064774376670139</v>
          </cell>
          <cell r="U29">
            <v>2.7624011966419757</v>
          </cell>
        </row>
        <row r="30">
          <cell r="D30">
            <v>39071</v>
          </cell>
          <cell r="E30" t="e">
            <v>#N/A</v>
          </cell>
          <cell r="H30">
            <v>39071</v>
          </cell>
          <cell r="I30">
            <v>63.72</v>
          </cell>
          <cell r="J30">
            <v>63.72</v>
          </cell>
          <cell r="L30">
            <v>2.7800000000000002</v>
          </cell>
          <cell r="M30">
            <v>1.9655</v>
          </cell>
          <cell r="N30">
            <v>5.4640900000000006</v>
          </cell>
          <cell r="O30">
            <v>2.78</v>
          </cell>
          <cell r="Q30">
            <v>2.9551681915787511</v>
          </cell>
          <cell r="S30">
            <v>2.8886081065222999</v>
          </cell>
          <cell r="U30">
            <v>2.8041542448526986</v>
          </cell>
        </row>
        <row r="31">
          <cell r="D31">
            <v>39072</v>
          </cell>
          <cell r="E31" t="e">
            <v>#N/A</v>
          </cell>
          <cell r="H31">
            <v>39072</v>
          </cell>
          <cell r="I31">
            <v>62.66</v>
          </cell>
          <cell r="J31">
            <v>62.66</v>
          </cell>
          <cell r="L31">
            <v>2.7175000000000002</v>
          </cell>
          <cell r="M31">
            <v>1.9618500000000001</v>
          </cell>
          <cell r="N31">
            <v>5.3313273750000008</v>
          </cell>
          <cell r="O31">
            <v>2.7174999999999998</v>
          </cell>
          <cell r="Q31">
            <v>2.9600631126878914</v>
          </cell>
          <cell r="S31">
            <v>2.8803851310659287</v>
          </cell>
          <cell r="U31">
            <v>2.8297222312628438</v>
          </cell>
        </row>
        <row r="32">
          <cell r="D32">
            <v>39073</v>
          </cell>
          <cell r="E32" t="e">
            <v>#N/A</v>
          </cell>
          <cell r="H32">
            <v>39073</v>
          </cell>
          <cell r="I32">
            <v>62.41</v>
          </cell>
          <cell r="J32">
            <v>62.41</v>
          </cell>
          <cell r="L32">
            <v>2.6875</v>
          </cell>
          <cell r="M32">
            <v>1.96</v>
          </cell>
          <cell r="N32">
            <v>5.2675000000000001</v>
          </cell>
          <cell r="O32">
            <v>2.6875</v>
          </cell>
          <cell r="Q32">
            <v>2.964637055363645</v>
          </cell>
          <cell r="S32">
            <v>2.8817586035916944</v>
          </cell>
          <cell r="U32">
            <v>2.8201776928404052</v>
          </cell>
        </row>
        <row r="33">
          <cell r="D33">
            <v>39077</v>
          </cell>
          <cell r="E33" t="e">
            <v>#N/A</v>
          </cell>
          <cell r="H33">
            <v>39077</v>
          </cell>
          <cell r="I33">
            <v>61.1</v>
          </cell>
          <cell r="J33">
            <v>61.1</v>
          </cell>
          <cell r="L33">
            <v>2.6875</v>
          </cell>
          <cell r="M33">
            <v>1.9568000000000001</v>
          </cell>
          <cell r="N33">
            <v>5.2589000000000006</v>
          </cell>
          <cell r="O33">
            <v>2.6875</v>
          </cell>
          <cell r="Q33">
            <v>2.964637055363645</v>
          </cell>
          <cell r="S33">
            <v>2.8818270316607193</v>
          </cell>
          <cell r="U33">
            <v>2.8202686151007028</v>
          </cell>
        </row>
        <row r="34">
          <cell r="D34">
            <v>39078</v>
          </cell>
          <cell r="E34" t="e">
            <v>#N/A</v>
          </cell>
          <cell r="H34">
            <v>39078</v>
          </cell>
          <cell r="I34">
            <v>60.34</v>
          </cell>
          <cell r="J34">
            <v>60.34</v>
          </cell>
          <cell r="L34">
            <v>2.7324999999999999</v>
          </cell>
          <cell r="M34">
            <v>1.9551500000000002</v>
          </cell>
          <cell r="N34">
            <v>5.3424473749999999</v>
          </cell>
          <cell r="O34">
            <v>2.7324999999999999</v>
          </cell>
          <cell r="Q34">
            <v>2.9838422649612553</v>
          </cell>
          <cell r="S34">
            <v>2.9225256719552015</v>
          </cell>
          <cell r="U34">
            <v>2.8538909015690677</v>
          </cell>
        </row>
        <row r="35">
          <cell r="D35">
            <v>39079</v>
          </cell>
          <cell r="E35" t="e">
            <v>#N/A</v>
          </cell>
          <cell r="H35">
            <v>39079</v>
          </cell>
          <cell r="I35">
            <v>60.53</v>
          </cell>
          <cell r="J35">
            <v>60.53</v>
          </cell>
          <cell r="L35">
            <v>2.74</v>
          </cell>
          <cell r="M35">
            <v>1.9598500000000001</v>
          </cell>
          <cell r="N35">
            <v>5.3699890000000003</v>
          </cell>
          <cell r="O35">
            <v>2.74</v>
          </cell>
          <cell r="Q35">
            <v>2.9931238913266731</v>
          </cell>
          <cell r="S35">
            <v>2.93598836981807</v>
          </cell>
          <cell r="U35">
            <v>2.8695530352308958</v>
          </cell>
          <cell r="AB35" t="str">
            <v>Current Share Price (£)</v>
          </cell>
          <cell r="AE35">
            <v>0.74250000000000005</v>
          </cell>
        </row>
        <row r="36">
          <cell r="D36">
            <v>39080</v>
          </cell>
          <cell r="E36" t="e">
            <v>#N/A</v>
          </cell>
          <cell r="H36">
            <v>39080</v>
          </cell>
          <cell r="I36">
            <v>61.05</v>
          </cell>
          <cell r="J36">
            <v>61.05</v>
          </cell>
          <cell r="L36">
            <v>2.7349999999999999</v>
          </cell>
          <cell r="M36">
            <v>1.9571500000000002</v>
          </cell>
          <cell r="N36">
            <v>5.3528052500000003</v>
          </cell>
          <cell r="O36">
            <v>2.7349999999999999</v>
          </cell>
          <cell r="Q36">
            <v>2.9898606105872472</v>
          </cell>
          <cell r="S36">
            <v>2.9418561648306536</v>
          </cell>
          <cell r="U36">
            <v>2.8756689394461024</v>
          </cell>
          <cell r="AB36" t="str">
            <v>Shares Outstanding (m)</v>
          </cell>
          <cell r="AE36">
            <v>412.42</v>
          </cell>
        </row>
        <row r="37">
          <cell r="D37">
            <v>39085</v>
          </cell>
          <cell r="E37" t="e">
            <v>#N/A</v>
          </cell>
          <cell r="H37">
            <v>39085</v>
          </cell>
          <cell r="I37">
            <v>58.32</v>
          </cell>
          <cell r="J37">
            <v>58.32</v>
          </cell>
          <cell r="L37">
            <v>2.7850000000000001</v>
          </cell>
          <cell r="M37">
            <v>1.9524500000000002</v>
          </cell>
          <cell r="N37">
            <v>5.4375732500000007</v>
          </cell>
          <cell r="O37">
            <v>2.7850000000000001</v>
          </cell>
          <cell r="Q37">
            <v>3.026799878629447</v>
          </cell>
          <cell r="S37">
            <v>3.0021551310219405</v>
          </cell>
          <cell r="U37">
            <v>2.9235232091845904</v>
          </cell>
          <cell r="AB37" t="str">
            <v>Equity Value (£m)</v>
          </cell>
          <cell r="AE37">
            <v>306.22185000000002</v>
          </cell>
        </row>
        <row r="38">
          <cell r="D38">
            <v>39086</v>
          </cell>
          <cell r="E38" t="e">
            <v>#N/A</v>
          </cell>
          <cell r="H38">
            <v>39086</v>
          </cell>
          <cell r="I38">
            <v>55.59</v>
          </cell>
          <cell r="J38">
            <v>55.59</v>
          </cell>
          <cell r="L38">
            <v>2.7475000000000001</v>
          </cell>
          <cell r="M38">
            <v>1.9446500000000002</v>
          </cell>
          <cell r="N38">
            <v>5.3429258750000006</v>
          </cell>
          <cell r="O38">
            <v>2.7475000000000001</v>
          </cell>
          <cell r="Q38">
            <v>3.008076136681916</v>
          </cell>
          <cell r="S38">
            <v>2.9978774869989548</v>
          </cell>
          <cell r="U38">
            <v>2.9154078560279038</v>
          </cell>
          <cell r="AB38" t="str">
            <v>Net Debt (£m)</v>
          </cell>
          <cell r="AE38">
            <v>398.7</v>
          </cell>
          <cell r="AF38" t="str">
            <v>Interim Report 30 June 2008</v>
          </cell>
          <cell r="AI38" t="str">
            <v>Minority Interests</v>
          </cell>
          <cell r="AK38">
            <v>0.7</v>
          </cell>
        </row>
        <row r="39">
          <cell r="D39">
            <v>39087</v>
          </cell>
          <cell r="E39" t="e">
            <v>#N/A</v>
          </cell>
          <cell r="H39">
            <v>39087</v>
          </cell>
          <cell r="I39">
            <v>56.31</v>
          </cell>
          <cell r="J39">
            <v>56.31</v>
          </cell>
          <cell r="L39">
            <v>2.7425000000000002</v>
          </cell>
          <cell r="M39">
            <v>1.9276000000000002</v>
          </cell>
          <cell r="N39">
            <v>5.2864430000000011</v>
          </cell>
          <cell r="O39">
            <v>2.7425000000000002</v>
          </cell>
          <cell r="Q39">
            <v>2.9920539632153855</v>
          </cell>
          <cell r="S39">
            <v>2.9963454434427836</v>
          </cell>
          <cell r="U39">
            <v>2.8634029495497653</v>
          </cell>
          <cell r="AB39" t="str">
            <v>Enterprise Value (£m)</v>
          </cell>
          <cell r="AE39">
            <v>705.62184999999999</v>
          </cell>
        </row>
        <row r="40">
          <cell r="D40">
            <v>39090</v>
          </cell>
          <cell r="E40" t="e">
            <v>#N/A</v>
          </cell>
          <cell r="H40">
            <v>39090</v>
          </cell>
          <cell r="I40">
            <v>56.09</v>
          </cell>
          <cell r="J40">
            <v>56.09</v>
          </cell>
          <cell r="L40">
            <v>2.6925000000000003</v>
          </cell>
          <cell r="M40">
            <v>1.9346500000000002</v>
          </cell>
          <cell r="N40">
            <v>5.2090451250000012</v>
          </cell>
          <cell r="O40">
            <v>2.6924999999999999</v>
          </cell>
          <cell r="Q40">
            <v>2.9840295023807299</v>
          </cell>
          <cell r="S40">
            <v>2.984244894238123</v>
          </cell>
          <cell r="U40">
            <v>2.8878065674405069</v>
          </cell>
          <cell r="AB40" t="str">
            <v>EV / EBITDA 2008E</v>
          </cell>
          <cell r="AE40">
            <v>5.1076500180962716</v>
          </cell>
        </row>
        <row r="41">
          <cell r="D41">
            <v>39091</v>
          </cell>
          <cell r="E41" t="e">
            <v>#N/A</v>
          </cell>
          <cell r="H41">
            <v>39091</v>
          </cell>
          <cell r="I41">
            <v>55.64</v>
          </cell>
          <cell r="J41">
            <v>55.64</v>
          </cell>
          <cell r="L41">
            <v>2.68</v>
          </cell>
          <cell r="M41">
            <v>1.9406500000000002</v>
          </cell>
          <cell r="N41">
            <v>5.2009420000000013</v>
          </cell>
          <cell r="O41">
            <v>2.68</v>
          </cell>
          <cell r="Q41">
            <v>2.9825583512277096</v>
          </cell>
          <cell r="S41">
            <v>3.0015857199748943</v>
          </cell>
          <cell r="U41">
            <v>2.8895736619076371</v>
          </cell>
          <cell r="AB41" t="str">
            <v>2009E Dividend Yield</v>
          </cell>
          <cell r="AE41">
            <v>0.11286195286195286</v>
          </cell>
        </row>
        <row r="42">
          <cell r="D42">
            <v>39092</v>
          </cell>
          <cell r="E42" t="e">
            <v>#N/A</v>
          </cell>
          <cell r="H42">
            <v>39092</v>
          </cell>
          <cell r="I42">
            <v>54.02</v>
          </cell>
          <cell r="J42">
            <v>54.02</v>
          </cell>
          <cell r="L42">
            <v>2.6725000000000003</v>
          </cell>
          <cell r="M42">
            <v>1.9350500000000002</v>
          </cell>
          <cell r="N42">
            <v>5.1714211250000011</v>
          </cell>
          <cell r="O42">
            <v>2.6724999999999999</v>
          </cell>
          <cell r="Q42">
            <v>2.9656267388665856</v>
          </cell>
          <cell r="S42">
            <v>2.9922834831793592</v>
          </cell>
          <cell r="U42">
            <v>2.947505489109576</v>
          </cell>
        </row>
        <row r="43">
          <cell r="D43">
            <v>39093</v>
          </cell>
          <cell r="E43" t="e">
            <v>#N/A</v>
          </cell>
          <cell r="H43">
            <v>39093</v>
          </cell>
          <cell r="I43">
            <v>51.88</v>
          </cell>
          <cell r="J43">
            <v>51.88</v>
          </cell>
          <cell r="L43">
            <v>2.75</v>
          </cell>
          <cell r="M43">
            <v>1.9416500000000001</v>
          </cell>
          <cell r="N43">
            <v>5.3395375000000005</v>
          </cell>
          <cell r="O43">
            <v>2.75</v>
          </cell>
          <cell r="Q43">
            <v>2.9753095882737375</v>
          </cell>
          <cell r="S43">
            <v>3.016978768860505</v>
          </cell>
          <cell r="U43">
            <v>3.0092297702535817</v>
          </cell>
          <cell r="AB43" t="str">
            <v xml:space="preserve">EBITDA 2008E </v>
          </cell>
          <cell r="AE43">
            <v>138.15</v>
          </cell>
        </row>
        <row r="44">
          <cell r="D44">
            <v>39094</v>
          </cell>
          <cell r="E44" t="e">
            <v>#N/A</v>
          </cell>
          <cell r="H44">
            <v>39094</v>
          </cell>
          <cell r="I44">
            <v>52.99</v>
          </cell>
          <cell r="J44">
            <v>52.99</v>
          </cell>
          <cell r="L44">
            <v>2.7850000000000001</v>
          </cell>
          <cell r="M44">
            <v>1.9600500000000001</v>
          </cell>
          <cell r="N44">
            <v>5.4587392500000007</v>
          </cell>
          <cell r="O44">
            <v>2.7850000000000001</v>
          </cell>
          <cell r="Q44">
            <v>2.9721800485482213</v>
          </cell>
          <cell r="S44">
            <v>3.011218876023142</v>
          </cell>
          <cell r="U44">
            <v>3.0218701877248555</v>
          </cell>
          <cell r="AB44" t="str">
            <v>52 Wk. High</v>
          </cell>
          <cell r="AE44">
            <v>2.2149999999999999</v>
          </cell>
        </row>
        <row r="45">
          <cell r="D45">
            <v>39098</v>
          </cell>
          <cell r="E45" t="e">
            <v>#N/A</v>
          </cell>
          <cell r="H45">
            <v>39098</v>
          </cell>
          <cell r="I45">
            <v>51.96</v>
          </cell>
          <cell r="J45">
            <v>51.96</v>
          </cell>
          <cell r="L45">
            <v>2.7925</v>
          </cell>
          <cell r="M45">
            <v>1.9609500000000002</v>
          </cell>
          <cell r="N45">
            <v>5.4759528750000008</v>
          </cell>
          <cell r="O45">
            <v>2.7925</v>
          </cell>
          <cell r="Q45">
            <v>2.9756038185043416</v>
          </cell>
          <cell r="S45">
            <v>3.0396196463344602</v>
          </cell>
          <cell r="U45">
            <v>3.1055466179046274</v>
          </cell>
          <cell r="AB45" t="str">
            <v>52 Wk. Low</v>
          </cell>
          <cell r="AE45">
            <v>0.66500000000000004</v>
          </cell>
        </row>
        <row r="46">
          <cell r="D46">
            <v>39099</v>
          </cell>
          <cell r="E46" t="e">
            <v>#N/A</v>
          </cell>
          <cell r="H46">
            <v>39099</v>
          </cell>
          <cell r="I46">
            <v>53.13</v>
          </cell>
          <cell r="J46">
            <v>53.13</v>
          </cell>
          <cell r="L46">
            <v>2.7749999999999999</v>
          </cell>
          <cell r="M46">
            <v>1.9712000000000001</v>
          </cell>
          <cell r="N46">
            <v>5.4700800000000003</v>
          </cell>
          <cell r="O46">
            <v>2.7749999999999999</v>
          </cell>
          <cell r="Q46">
            <v>2.9676061058724672</v>
          </cell>
          <cell r="S46">
            <v>3.0566488226397235</v>
          </cell>
          <cell r="U46">
            <v>3.0734820082249654</v>
          </cell>
          <cell r="AB46" t="str">
            <v>Median Dividend</v>
          </cell>
          <cell r="AE46">
            <v>8.3799999999999999E-2</v>
          </cell>
        </row>
        <row r="47">
          <cell r="D47">
            <v>39100</v>
          </cell>
          <cell r="E47" t="e">
            <v>#N/A</v>
          </cell>
          <cell r="H47">
            <v>39100</v>
          </cell>
          <cell r="I47">
            <v>51.81</v>
          </cell>
          <cell r="J47">
            <v>51.81</v>
          </cell>
          <cell r="L47">
            <v>2.77</v>
          </cell>
          <cell r="M47">
            <v>1.9722000000000002</v>
          </cell>
          <cell r="N47">
            <v>5.4629940000000001</v>
          </cell>
          <cell r="O47">
            <v>2.77</v>
          </cell>
          <cell r="Q47">
            <v>2.9751758472598273</v>
          </cell>
          <cell r="S47">
            <v>3.0336630450040918</v>
          </cell>
          <cell r="U47">
            <v>3.0756392991548256</v>
          </cell>
        </row>
        <row r="48">
          <cell r="D48">
            <v>39101</v>
          </cell>
          <cell r="E48" t="e">
            <v>#N/A</v>
          </cell>
          <cell r="H48">
            <v>39101</v>
          </cell>
          <cell r="I48">
            <v>53.4</v>
          </cell>
          <cell r="J48">
            <v>53.4</v>
          </cell>
          <cell r="L48">
            <v>2.7475000000000001</v>
          </cell>
          <cell r="M48">
            <v>1.9742000000000002</v>
          </cell>
          <cell r="N48">
            <v>5.4241145000000008</v>
          </cell>
          <cell r="O48">
            <v>2.7475000000000001</v>
          </cell>
          <cell r="Q48">
            <v>2.9871590421062457</v>
          </cell>
          <cell r="S48">
            <v>3.0461535726167792</v>
          </cell>
          <cell r="U48">
            <v>3.0846135674720618</v>
          </cell>
        </row>
        <row r="49">
          <cell r="D49">
            <v>39104</v>
          </cell>
          <cell r="E49" t="e">
            <v>#N/A</v>
          </cell>
          <cell r="H49">
            <v>39104</v>
          </cell>
          <cell r="I49">
            <v>52.58</v>
          </cell>
          <cell r="J49">
            <v>52.58</v>
          </cell>
          <cell r="L49">
            <v>2.7575000000000003</v>
          </cell>
          <cell r="M49">
            <v>1.9761500000000001</v>
          </cell>
          <cell r="N49">
            <v>5.4492336250000006</v>
          </cell>
          <cell r="O49">
            <v>2.7574999999999998</v>
          </cell>
          <cell r="Q49">
            <v>2.986864811875642</v>
          </cell>
          <cell r="S49">
            <v>3.0213706866909003</v>
          </cell>
          <cell r="U49">
            <v>3.0773198710559142</v>
          </cell>
        </row>
        <row r="50">
          <cell r="D50">
            <v>39105</v>
          </cell>
          <cell r="E50" t="e">
            <v>#N/A</v>
          </cell>
          <cell r="H50">
            <v>39105</v>
          </cell>
          <cell r="I50">
            <v>55.04</v>
          </cell>
          <cell r="J50">
            <v>55.04</v>
          </cell>
          <cell r="L50">
            <v>2.7425000000000002</v>
          </cell>
          <cell r="M50">
            <v>1.9865500000000003</v>
          </cell>
          <cell r="N50">
            <v>5.448113375000001</v>
          </cell>
          <cell r="O50">
            <v>2.7425000000000002</v>
          </cell>
          <cell r="Q50">
            <v>2.9696389692839142</v>
          </cell>
          <cell r="S50">
            <v>3.0024706476280767</v>
          </cell>
          <cell r="U50">
            <v>3.0594871073576537</v>
          </cell>
        </row>
        <row r="51">
          <cell r="D51">
            <v>39106</v>
          </cell>
          <cell r="E51" t="e">
            <v>#N/A</v>
          </cell>
          <cell r="H51">
            <v>39106</v>
          </cell>
          <cell r="I51">
            <v>55.37</v>
          </cell>
          <cell r="J51">
            <v>55.37</v>
          </cell>
          <cell r="L51">
            <v>2.7749999999999999</v>
          </cell>
          <cell r="M51">
            <v>1.9654</v>
          </cell>
          <cell r="N51">
            <v>5.4539850000000003</v>
          </cell>
          <cell r="O51">
            <v>2.7749999999999999</v>
          </cell>
          <cell r="Q51">
            <v>2.9938728410045754</v>
          </cell>
          <cell r="S51">
            <v>3.0421323003090857</v>
          </cell>
          <cell r="U51">
            <v>3.0879706166649754</v>
          </cell>
        </row>
        <row r="52">
          <cell r="D52">
            <v>39107</v>
          </cell>
          <cell r="E52" t="e">
            <v>#N/A</v>
          </cell>
          <cell r="H52">
            <v>39107</v>
          </cell>
          <cell r="I52">
            <v>54.23</v>
          </cell>
          <cell r="J52">
            <v>54.23</v>
          </cell>
          <cell r="L52">
            <v>2.7875000000000001</v>
          </cell>
          <cell r="M52">
            <v>1.9708000000000001</v>
          </cell>
          <cell r="N52">
            <v>5.4936050000000005</v>
          </cell>
          <cell r="O52">
            <v>2.7875000000000001</v>
          </cell>
          <cell r="Q52">
            <v>2.9880684810008398</v>
          </cell>
          <cell r="S52">
            <v>2.9973739553951035</v>
          </cell>
          <cell r="U52">
            <v>3.0787971551257214</v>
          </cell>
        </row>
        <row r="53">
          <cell r="D53">
            <v>39108</v>
          </cell>
          <cell r="E53" t="e">
            <v>#N/A</v>
          </cell>
          <cell r="H53">
            <v>39108</v>
          </cell>
          <cell r="I53">
            <v>55.42</v>
          </cell>
          <cell r="J53">
            <v>55.42</v>
          </cell>
          <cell r="L53">
            <v>2.8025000000000002</v>
          </cell>
          <cell r="M53">
            <v>1.9595</v>
          </cell>
          <cell r="N53">
            <v>5.4914987500000008</v>
          </cell>
          <cell r="O53">
            <v>2.8025000000000002</v>
          </cell>
          <cell r="Q53">
            <v>2.9740256745401927</v>
          </cell>
          <cell r="S53">
            <v>2.9931024301874367</v>
          </cell>
          <cell r="U53">
            <v>3.0440230908307653</v>
          </cell>
        </row>
        <row r="54">
          <cell r="D54">
            <v>39111</v>
          </cell>
          <cell r="E54" t="e">
            <v>#N/A</v>
          </cell>
          <cell r="H54">
            <v>39111</v>
          </cell>
          <cell r="I54">
            <v>54.01</v>
          </cell>
          <cell r="J54">
            <v>54.01</v>
          </cell>
          <cell r="L54">
            <v>2.8025000000000002</v>
          </cell>
          <cell r="M54">
            <v>1.9579500000000001</v>
          </cell>
          <cell r="N54">
            <v>5.4871548750000008</v>
          </cell>
          <cell r="O54">
            <v>2.8025000000000002</v>
          </cell>
          <cell r="Q54">
            <v>2.9703076743534682</v>
          </cell>
          <cell r="S54">
            <v>3.0188490562753896</v>
          </cell>
          <cell r="U54">
            <v>3.0728871130733784</v>
          </cell>
        </row>
        <row r="55">
          <cell r="D55">
            <v>39112</v>
          </cell>
          <cell r="E55" t="e">
            <v>#N/A</v>
          </cell>
          <cell r="H55">
            <v>39112</v>
          </cell>
          <cell r="I55">
            <v>56.97</v>
          </cell>
          <cell r="J55">
            <v>56.97</v>
          </cell>
          <cell r="L55">
            <v>2.8000000000000003</v>
          </cell>
          <cell r="M55">
            <v>1.9614500000000001</v>
          </cell>
          <cell r="N55">
            <v>5.4920600000000013</v>
          </cell>
          <cell r="O55">
            <v>2.8</v>
          </cell>
          <cell r="Q55">
            <v>2.9773424516851832</v>
          </cell>
          <cell r="S55">
            <v>3.0470093208649689</v>
          </cell>
          <cell r="U55">
            <v>3.0848543847313663</v>
          </cell>
        </row>
        <row r="56">
          <cell r="D56">
            <v>39113</v>
          </cell>
          <cell r="E56" t="e">
            <v>#N/A</v>
          </cell>
          <cell r="H56">
            <v>39113</v>
          </cell>
          <cell r="I56">
            <v>58.14</v>
          </cell>
          <cell r="J56">
            <v>58.14</v>
          </cell>
          <cell r="L56">
            <v>2.8075000000000001</v>
          </cell>
          <cell r="M56">
            <v>1.9574</v>
          </cell>
          <cell r="N56">
            <v>5.4954005000000006</v>
          </cell>
          <cell r="O56">
            <v>2.8075000000000001</v>
          </cell>
          <cell r="Q56">
            <v>2.969130753431052</v>
          </cell>
          <cell r="S56">
            <v>3.0446204147081666</v>
          </cell>
          <cell r="U56">
            <v>3.0951735113839813</v>
          </cell>
        </row>
        <row r="57">
          <cell r="D57">
            <v>39114</v>
          </cell>
          <cell r="E57" t="e">
            <v>#N/A</v>
          </cell>
          <cell r="H57">
            <v>39114</v>
          </cell>
          <cell r="I57">
            <v>57.3</v>
          </cell>
          <cell r="J57">
            <v>57.3</v>
          </cell>
          <cell r="L57">
            <v>2.8275000000000001</v>
          </cell>
          <cell r="M57">
            <v>1.9705500000000002</v>
          </cell>
          <cell r="N57">
            <v>5.5717301250000011</v>
          </cell>
          <cell r="O57">
            <v>2.8275000000000001</v>
          </cell>
          <cell r="Q57">
            <v>3.0015495752030628</v>
          </cell>
          <cell r="S57">
            <v>3.0673001541049389</v>
          </cell>
          <cell r="U57">
            <v>3.1099760197782875</v>
          </cell>
        </row>
        <row r="58">
          <cell r="D58">
            <v>39115</v>
          </cell>
          <cell r="E58" t="e">
            <v>#N/A</v>
          </cell>
          <cell r="H58">
            <v>39115</v>
          </cell>
          <cell r="I58">
            <v>59.02</v>
          </cell>
          <cell r="J58">
            <v>59.02</v>
          </cell>
          <cell r="L58">
            <v>2.8275000000000001</v>
          </cell>
          <cell r="M58">
            <v>1.9684000000000001</v>
          </cell>
          <cell r="N58">
            <v>5.5656510000000008</v>
          </cell>
          <cell r="O58">
            <v>2.8275000000000001</v>
          </cell>
          <cell r="Q58">
            <v>3.0341288861917657</v>
          </cell>
          <cell r="S58">
            <v>3.1035493428108749</v>
          </cell>
          <cell r="U58">
            <v>3.1587306010013951</v>
          </cell>
        </row>
        <row r="59">
          <cell r="D59">
            <v>39118</v>
          </cell>
          <cell r="E59" t="e">
            <v>#N/A</v>
          </cell>
          <cell r="H59">
            <v>39118</v>
          </cell>
          <cell r="I59">
            <v>58.74</v>
          </cell>
          <cell r="J59">
            <v>58.74</v>
          </cell>
          <cell r="L59">
            <v>2.8574999999999999</v>
          </cell>
          <cell r="M59">
            <v>1.9601500000000001</v>
          </cell>
          <cell r="N59">
            <v>5.6011286250000003</v>
          </cell>
          <cell r="O59">
            <v>2.8574999999999999</v>
          </cell>
          <cell r="Q59">
            <v>3.0510337503501073</v>
          </cell>
          <cell r="S59">
            <v>3.1292653505090828</v>
          </cell>
          <cell r="U59">
            <v>3.1557324595735734</v>
          </cell>
        </row>
        <row r="60">
          <cell r="D60">
            <v>39119</v>
          </cell>
          <cell r="E60" t="e">
            <v>#N/A</v>
          </cell>
          <cell r="H60">
            <v>39119</v>
          </cell>
          <cell r="I60">
            <v>58.88</v>
          </cell>
          <cell r="J60">
            <v>58.88</v>
          </cell>
          <cell r="L60">
            <v>2.8574999999999999</v>
          </cell>
          <cell r="M60">
            <v>1.9687500000000002</v>
          </cell>
          <cell r="N60">
            <v>5.6257031250000002</v>
          </cell>
          <cell r="O60">
            <v>2.8574999999999999</v>
          </cell>
          <cell r="Q60">
            <v>3.0705331901783217</v>
          </cell>
          <cell r="S60">
            <v>3.1342671265019963</v>
          </cell>
          <cell r="U60">
            <v>3.1505585929587734</v>
          </cell>
        </row>
        <row r="61">
          <cell r="D61">
            <v>39120</v>
          </cell>
          <cell r="E61" t="e">
            <v>#N/A</v>
          </cell>
          <cell r="H61">
            <v>39120</v>
          </cell>
          <cell r="I61">
            <v>57.71</v>
          </cell>
          <cell r="J61">
            <v>57.71</v>
          </cell>
          <cell r="L61">
            <v>2.88</v>
          </cell>
          <cell r="M61">
            <v>1.9700500000000001</v>
          </cell>
          <cell r="N61">
            <v>5.6737440000000001</v>
          </cell>
          <cell r="O61">
            <v>2.88</v>
          </cell>
          <cell r="Q61">
            <v>3.0765782840070957</v>
          </cell>
          <cell r="S61">
            <v>3.1624820790396915</v>
          </cell>
          <cell r="U61">
            <v>3.1874950088589014</v>
          </cell>
        </row>
        <row r="62">
          <cell r="D62">
            <v>39121</v>
          </cell>
          <cell r="E62" t="e">
            <v>#N/A</v>
          </cell>
          <cell r="H62">
            <v>39121</v>
          </cell>
          <cell r="I62">
            <v>59.71</v>
          </cell>
          <cell r="J62">
            <v>59.71</v>
          </cell>
          <cell r="L62">
            <v>2.8475000000000001</v>
          </cell>
          <cell r="M62">
            <v>1.9583000000000002</v>
          </cell>
          <cell r="N62">
            <v>5.5762592500000006</v>
          </cell>
          <cell r="O62">
            <v>2.8475000000000001</v>
          </cell>
          <cell r="Q62">
            <v>3.0605026141350016</v>
          </cell>
          <cell r="S62">
            <v>3.1554595635678693</v>
          </cell>
          <cell r="U62">
            <v>3.157718613501487</v>
          </cell>
        </row>
        <row r="63">
          <cell r="D63">
            <v>39122</v>
          </cell>
          <cell r="E63" t="e">
            <v>#N/A</v>
          </cell>
          <cell r="H63">
            <v>39122</v>
          </cell>
          <cell r="I63">
            <v>59.89</v>
          </cell>
          <cell r="J63">
            <v>59.89</v>
          </cell>
          <cell r="L63">
            <v>2.88</v>
          </cell>
          <cell r="M63">
            <v>1.9484500000000002</v>
          </cell>
          <cell r="N63">
            <v>5.6115360000000001</v>
          </cell>
          <cell r="O63">
            <v>2.88</v>
          </cell>
          <cell r="Q63">
            <v>3.0821419101857908</v>
          </cell>
          <cell r="S63">
            <v>3.2247168537292645</v>
          </cell>
          <cell r="U63">
            <v>3.1900945807609058</v>
          </cell>
        </row>
        <row r="64">
          <cell r="D64">
            <v>39125</v>
          </cell>
          <cell r="E64" t="e">
            <v>#N/A</v>
          </cell>
          <cell r="H64">
            <v>39125</v>
          </cell>
          <cell r="I64">
            <v>57.81</v>
          </cell>
          <cell r="J64">
            <v>57.81</v>
          </cell>
          <cell r="L64">
            <v>2.8525</v>
          </cell>
          <cell r="M64">
            <v>1.9476</v>
          </cell>
          <cell r="N64">
            <v>5.5555289999999999</v>
          </cell>
          <cell r="O64">
            <v>2.8525</v>
          </cell>
          <cell r="Q64">
            <v>3.0639531322939035</v>
          </cell>
          <cell r="S64">
            <v>3.2159443503076828</v>
          </cell>
          <cell r="U64">
            <v>3.2004098641738672</v>
          </cell>
        </row>
        <row r="65">
          <cell r="D65">
            <v>39126</v>
          </cell>
          <cell r="E65" t="e">
            <v>#N/A</v>
          </cell>
          <cell r="H65">
            <v>39126</v>
          </cell>
          <cell r="I65">
            <v>59.85</v>
          </cell>
          <cell r="J65">
            <v>59.85</v>
          </cell>
          <cell r="L65">
            <v>2.8774999999999999</v>
          </cell>
          <cell r="M65">
            <v>1.9429000000000001</v>
          </cell>
          <cell r="N65">
            <v>5.5906947499999999</v>
          </cell>
          <cell r="O65">
            <v>2.8774999999999999</v>
          </cell>
          <cell r="Q65">
            <v>3.0695435066753807</v>
          </cell>
          <cell r="S65">
            <v>3.2566003971522317</v>
          </cell>
          <cell r="U65">
            <v>3.2197127010181577</v>
          </cell>
        </row>
        <row r="66">
          <cell r="D66">
            <v>39127</v>
          </cell>
          <cell r="E66" t="e">
            <v>#N/A</v>
          </cell>
          <cell r="H66">
            <v>39127</v>
          </cell>
          <cell r="I66">
            <v>58.57</v>
          </cell>
          <cell r="J66">
            <v>58.57</v>
          </cell>
          <cell r="L66">
            <v>2.89</v>
          </cell>
          <cell r="M66">
            <v>1.9609500000000002</v>
          </cell>
          <cell r="N66">
            <v>5.6671455000000011</v>
          </cell>
          <cell r="O66">
            <v>2.89</v>
          </cell>
          <cell r="Q66">
            <v>3.0870903277004955</v>
          </cell>
          <cell r="S66">
            <v>3.2830822131956876</v>
          </cell>
          <cell r="U66">
            <v>3.2441321011832316</v>
          </cell>
        </row>
        <row r="67">
          <cell r="D67">
            <v>39128</v>
          </cell>
          <cell r="E67" t="e">
            <v>#N/A</v>
          </cell>
          <cell r="H67">
            <v>39128</v>
          </cell>
          <cell r="I67">
            <v>58.51</v>
          </cell>
          <cell r="J67">
            <v>58.51</v>
          </cell>
          <cell r="L67">
            <v>2.875</v>
          </cell>
          <cell r="M67">
            <v>1.9541000000000002</v>
          </cell>
          <cell r="N67">
            <v>5.6180375000000007</v>
          </cell>
          <cell r="O67">
            <v>2.875</v>
          </cell>
          <cell r="Q67">
            <v>3.0959974792269636</v>
          </cell>
          <cell r="S67">
            <v>3.3055478900039414</v>
          </cell>
          <cell r="U67">
            <v>3.223002544339769</v>
          </cell>
        </row>
        <row r="68">
          <cell r="D68">
            <v>39129</v>
          </cell>
          <cell r="E68" t="e">
            <v>#N/A</v>
          </cell>
          <cell r="H68">
            <v>39129</v>
          </cell>
          <cell r="I68">
            <v>59.86</v>
          </cell>
          <cell r="J68">
            <v>59.86</v>
          </cell>
          <cell r="L68">
            <v>2.87</v>
          </cell>
          <cell r="M68">
            <v>1.9498500000000001</v>
          </cell>
          <cell r="N68">
            <v>5.5960695000000005</v>
          </cell>
          <cell r="O68">
            <v>2.87</v>
          </cell>
          <cell r="Q68">
            <v>3.0911293063206049</v>
          </cell>
          <cell r="S68">
            <v>3.2995455616391149</v>
          </cell>
          <cell r="U68">
            <v>3.2527487685160024</v>
          </cell>
        </row>
        <row r="69">
          <cell r="D69">
            <v>39133</v>
          </cell>
          <cell r="E69" t="e">
            <v>#N/A</v>
          </cell>
          <cell r="H69">
            <v>39133</v>
          </cell>
          <cell r="I69">
            <v>58.85</v>
          </cell>
          <cell r="J69">
            <v>58.85</v>
          </cell>
          <cell r="L69">
            <v>2.895</v>
          </cell>
          <cell r="M69">
            <v>1.9570000000000001</v>
          </cell>
          <cell r="N69">
            <v>5.6655150000000001</v>
          </cell>
          <cell r="O69">
            <v>2.895</v>
          </cell>
          <cell r="Q69">
            <v>3.0992875081691729</v>
          </cell>
          <cell r="S69">
            <v>3.2976499157786487</v>
          </cell>
          <cell r="U69">
            <v>3.2620422939048028</v>
          </cell>
        </row>
        <row r="70">
          <cell r="D70">
            <v>39134</v>
          </cell>
          <cell r="E70" t="e">
            <v>#N/A</v>
          </cell>
          <cell r="H70">
            <v>39134</v>
          </cell>
          <cell r="I70">
            <v>60.07</v>
          </cell>
          <cell r="J70">
            <v>60.07</v>
          </cell>
          <cell r="L70">
            <v>2.88</v>
          </cell>
          <cell r="M70">
            <v>1.9522500000000003</v>
          </cell>
          <cell r="N70">
            <v>5.6224800000000004</v>
          </cell>
          <cell r="O70">
            <v>2.88</v>
          </cell>
          <cell r="Q70">
            <v>3.0875450471477923</v>
          </cell>
          <cell r="S70">
            <v>3.2798710719761655</v>
          </cell>
          <cell r="U70">
            <v>3.2541109639459807</v>
          </cell>
        </row>
        <row r="71">
          <cell r="D71">
            <v>39135</v>
          </cell>
          <cell r="E71" t="e">
            <v>#N/A</v>
          </cell>
          <cell r="H71">
            <v>39135</v>
          </cell>
          <cell r="I71">
            <v>60.95</v>
          </cell>
          <cell r="J71">
            <v>60.95</v>
          </cell>
          <cell r="L71">
            <v>2.8675000000000002</v>
          </cell>
          <cell r="M71">
            <v>1.9526500000000002</v>
          </cell>
          <cell r="N71">
            <v>5.5992238750000007</v>
          </cell>
          <cell r="O71">
            <v>2.8675000000000002</v>
          </cell>
          <cell r="Q71">
            <v>3.0986188030996176</v>
          </cell>
          <cell r="S71">
            <v>3.290204218275889</v>
          </cell>
          <cell r="U71">
            <v>3.2417805088571798</v>
          </cell>
        </row>
        <row r="72">
          <cell r="D72">
            <v>39136</v>
          </cell>
          <cell r="E72" t="e">
            <v>#N/A</v>
          </cell>
          <cell r="H72">
            <v>39136</v>
          </cell>
          <cell r="I72">
            <v>61.14</v>
          </cell>
          <cell r="J72">
            <v>61.14</v>
          </cell>
          <cell r="L72">
            <v>2.84</v>
          </cell>
          <cell r="M72">
            <v>1.9628500000000002</v>
          </cell>
          <cell r="N72">
            <v>5.5744940000000005</v>
          </cell>
          <cell r="O72">
            <v>2.84</v>
          </cell>
          <cell r="Q72">
            <v>3.102791522733638</v>
          </cell>
          <cell r="S72">
            <v>3.2739706225736427</v>
          </cell>
          <cell r="U72">
            <v>3.2141121038463041</v>
          </cell>
        </row>
        <row r="73">
          <cell r="D73">
            <v>39139</v>
          </cell>
          <cell r="E73" t="e">
            <v>#N/A</v>
          </cell>
          <cell r="H73">
            <v>39139</v>
          </cell>
          <cell r="I73">
            <v>61.39</v>
          </cell>
          <cell r="J73">
            <v>61.39</v>
          </cell>
          <cell r="L73">
            <v>2.84</v>
          </cell>
          <cell r="M73">
            <v>1.9631500000000002</v>
          </cell>
          <cell r="N73">
            <v>5.5753460000000006</v>
          </cell>
          <cell r="O73">
            <v>2.84</v>
          </cell>
          <cell r="Q73">
            <v>3.1061082998786298</v>
          </cell>
          <cell r="S73">
            <v>3.2357139507680013</v>
          </cell>
          <cell r="U73">
            <v>3.2210576232519372</v>
          </cell>
        </row>
        <row r="74">
          <cell r="D74">
            <v>39140</v>
          </cell>
          <cell r="E74" t="e">
            <v>#N/A</v>
          </cell>
          <cell r="H74">
            <v>39140</v>
          </cell>
          <cell r="I74">
            <v>61.46</v>
          </cell>
          <cell r="J74">
            <v>61.46</v>
          </cell>
          <cell r="L74">
            <v>2.7625000000000002</v>
          </cell>
          <cell r="M74">
            <v>1.9655500000000001</v>
          </cell>
          <cell r="N74">
            <v>5.4298318750000005</v>
          </cell>
          <cell r="O74">
            <v>2.7625000000000002</v>
          </cell>
          <cell r="Q74">
            <v>2.9906898048734951</v>
          </cell>
          <cell r="S74">
            <v>3.1335373712083352</v>
          </cell>
          <cell r="U74">
            <v>3.1405692595717638</v>
          </cell>
        </row>
        <row r="75">
          <cell r="D75">
            <v>39141</v>
          </cell>
          <cell r="E75" t="e">
            <v>#N/A</v>
          </cell>
          <cell r="H75">
            <v>39141</v>
          </cell>
          <cell r="I75">
            <v>61.79</v>
          </cell>
          <cell r="J75">
            <v>61.79</v>
          </cell>
          <cell r="L75">
            <v>2.7349999999999999</v>
          </cell>
          <cell r="M75">
            <v>1.9597500000000001</v>
          </cell>
          <cell r="N75">
            <v>5.3599162500000004</v>
          </cell>
          <cell r="O75">
            <v>2.7349999999999999</v>
          </cell>
          <cell r="Q75">
            <v>2.9644765661469523</v>
          </cell>
          <cell r="S75">
            <v>3.060016483273726</v>
          </cell>
          <cell r="U75">
            <v>3.1159155310459226</v>
          </cell>
        </row>
        <row r="76">
          <cell r="D76">
            <v>39142</v>
          </cell>
          <cell r="E76" t="e">
            <v>#N/A</v>
          </cell>
          <cell r="H76">
            <v>39142</v>
          </cell>
          <cell r="I76">
            <v>62</v>
          </cell>
          <cell r="J76">
            <v>62</v>
          </cell>
          <cell r="L76">
            <v>2.7725</v>
          </cell>
          <cell r="M76">
            <v>1.9576</v>
          </cell>
          <cell r="N76">
            <v>5.4274459999999998</v>
          </cell>
          <cell r="O76">
            <v>2.7725</v>
          </cell>
          <cell r="Q76">
            <v>2.9379958453925878</v>
          </cell>
          <cell r="S76">
            <v>3.0248029718965714</v>
          </cell>
          <cell r="U76">
            <v>3.069665345229672</v>
          </cell>
        </row>
        <row r="77">
          <cell r="D77">
            <v>39143</v>
          </cell>
          <cell r="E77" t="e">
            <v>#N/A</v>
          </cell>
          <cell r="H77">
            <v>39143</v>
          </cell>
          <cell r="I77">
            <v>61.64</v>
          </cell>
          <cell r="J77">
            <v>61.64</v>
          </cell>
          <cell r="L77">
            <v>2.74</v>
          </cell>
          <cell r="M77">
            <v>1.9442500000000003</v>
          </cell>
          <cell r="N77">
            <v>5.3272450000000013</v>
          </cell>
          <cell r="O77">
            <v>2.74</v>
          </cell>
          <cell r="Q77">
            <v>2.9546332275231073</v>
          </cell>
          <cell r="S77">
            <v>3.0419904192725182</v>
          </cell>
          <cell r="U77">
            <v>3.0824403233770199</v>
          </cell>
        </row>
        <row r="78">
          <cell r="D78">
            <v>39146</v>
          </cell>
          <cell r="E78" t="e">
            <v>#N/A</v>
          </cell>
          <cell r="H78">
            <v>39146</v>
          </cell>
          <cell r="I78">
            <v>60.07</v>
          </cell>
          <cell r="J78">
            <v>60.07</v>
          </cell>
          <cell r="L78">
            <v>2.6875</v>
          </cell>
          <cell r="M78">
            <v>1.9258500000000001</v>
          </cell>
          <cell r="N78">
            <v>5.1757218749999998</v>
          </cell>
          <cell r="O78">
            <v>2.6875</v>
          </cell>
          <cell r="Q78">
            <v>2.9042931098870328</v>
          </cell>
          <cell r="S78">
            <v>2.9780367218859594</v>
          </cell>
          <cell r="U78">
            <v>3.0438290668566599</v>
          </cell>
        </row>
        <row r="79">
          <cell r="D79">
            <v>39147</v>
          </cell>
          <cell r="E79" t="e">
            <v>#N/A</v>
          </cell>
          <cell r="H79">
            <v>39147</v>
          </cell>
          <cell r="I79">
            <v>60.69</v>
          </cell>
          <cell r="J79">
            <v>60.69</v>
          </cell>
          <cell r="L79">
            <v>2.7524999999999999</v>
          </cell>
          <cell r="M79">
            <v>1.9255500000000001</v>
          </cell>
          <cell r="N79">
            <v>5.3000763749999997</v>
          </cell>
          <cell r="O79">
            <v>2.7524999999999999</v>
          </cell>
          <cell r="Q79">
            <v>2.9457795724022038</v>
          </cell>
          <cell r="S79">
            <v>3.0033776029003856</v>
          </cell>
          <cell r="U79">
            <v>3.058593461814942</v>
          </cell>
        </row>
        <row r="80">
          <cell r="D80">
            <v>39148</v>
          </cell>
          <cell r="E80" t="e">
            <v>#N/A</v>
          </cell>
          <cell r="H80">
            <v>39148</v>
          </cell>
          <cell r="I80">
            <v>61.82</v>
          </cell>
          <cell r="J80">
            <v>61.82</v>
          </cell>
          <cell r="L80">
            <v>2.7800000000000002</v>
          </cell>
          <cell r="M80">
            <v>1.9304000000000001</v>
          </cell>
          <cell r="N80">
            <v>5.3665120000000011</v>
          </cell>
          <cell r="O80">
            <v>2.78</v>
          </cell>
          <cell r="Q80">
            <v>2.9916527401736532</v>
          </cell>
          <cell r="S80">
            <v>3.0389402230005746</v>
          </cell>
          <cell r="U80">
            <v>3.0841808573823033</v>
          </cell>
        </row>
        <row r="81">
          <cell r="D81">
            <v>39149</v>
          </cell>
          <cell r="E81" t="e">
            <v>#N/A</v>
          </cell>
          <cell r="H81">
            <v>39149</v>
          </cell>
          <cell r="I81">
            <v>61.64</v>
          </cell>
          <cell r="J81">
            <v>61.64</v>
          </cell>
          <cell r="L81">
            <v>2.81</v>
          </cell>
          <cell r="M81">
            <v>1.93</v>
          </cell>
          <cell r="N81">
            <v>5.4233000000000002</v>
          </cell>
          <cell r="O81">
            <v>2.81</v>
          </cell>
          <cell r="Q81">
            <v>3.0396122677621138</v>
          </cell>
          <cell r="S81">
            <v>3.1001118337531</v>
          </cell>
          <cell r="U81">
            <v>3.129139506978754</v>
          </cell>
        </row>
        <row r="82">
          <cell r="D82">
            <v>39150</v>
          </cell>
          <cell r="E82" t="e">
            <v>#N/A</v>
          </cell>
          <cell r="H82">
            <v>39150</v>
          </cell>
          <cell r="I82">
            <v>60.05</v>
          </cell>
          <cell r="J82">
            <v>60.05</v>
          </cell>
          <cell r="L82">
            <v>2.8149999999999999</v>
          </cell>
          <cell r="M82">
            <v>1.9320500000000003</v>
          </cell>
          <cell r="N82">
            <v>5.4387207500000008</v>
          </cell>
          <cell r="O82">
            <v>2.8149999999999999</v>
          </cell>
          <cell r="Q82">
            <v>3.0521304266641773</v>
          </cell>
          <cell r="S82">
            <v>3.1036272580714255</v>
          </cell>
          <cell r="U82">
            <v>3.1307956273867172</v>
          </cell>
        </row>
        <row r="83">
          <cell r="D83">
            <v>39153</v>
          </cell>
          <cell r="E83" t="e">
            <v>#N/A</v>
          </cell>
          <cell r="H83">
            <v>39153</v>
          </cell>
          <cell r="I83">
            <v>58.91</v>
          </cell>
          <cell r="J83">
            <v>58.91</v>
          </cell>
          <cell r="L83">
            <v>2.8650000000000002</v>
          </cell>
          <cell r="M83">
            <v>1.9289500000000002</v>
          </cell>
          <cell r="N83">
            <v>5.5264417500000009</v>
          </cell>
          <cell r="O83">
            <v>2.8650000000000002</v>
          </cell>
          <cell r="Q83">
            <v>3.0541097936700585</v>
          </cell>
          <cell r="S83">
            <v>3.1044821338461803</v>
          </cell>
          <cell r="U83">
            <v>3.1274174281048128</v>
          </cell>
        </row>
        <row r="84">
          <cell r="D84">
            <v>39154</v>
          </cell>
          <cell r="E84" t="e">
            <v>#N/A</v>
          </cell>
          <cell r="H84">
            <v>39154</v>
          </cell>
          <cell r="I84">
            <v>60.16</v>
          </cell>
          <cell r="J84">
            <v>60.16</v>
          </cell>
          <cell r="L84">
            <v>2.8425000000000002</v>
          </cell>
          <cell r="M84">
            <v>1.9321500000000003</v>
          </cell>
          <cell r="N84">
            <v>5.4921363750000012</v>
          </cell>
          <cell r="O84">
            <v>2.8424999999999998</v>
          </cell>
          <cell r="Q84">
            <v>3.0120883670992447</v>
          </cell>
          <cell r="S84">
            <v>3.0619796733765754</v>
          </cell>
          <cell r="U84">
            <v>3.1038322208450744</v>
          </cell>
        </row>
        <row r="85">
          <cell r="D85">
            <v>39155</v>
          </cell>
          <cell r="E85" t="e">
            <v>#N/A</v>
          </cell>
          <cell r="H85">
            <v>39155</v>
          </cell>
          <cell r="I85">
            <v>60.47</v>
          </cell>
          <cell r="J85">
            <v>60.47</v>
          </cell>
          <cell r="L85">
            <v>2.7475000000000001</v>
          </cell>
          <cell r="M85">
            <v>1.9339000000000002</v>
          </cell>
          <cell r="N85">
            <v>5.3133902500000003</v>
          </cell>
          <cell r="O85">
            <v>2.7475000000000001</v>
          </cell>
          <cell r="Q85">
            <v>2.9273500606852769</v>
          </cell>
          <cell r="S85">
            <v>2.9765202467200287</v>
          </cell>
          <cell r="U85">
            <v>3.0076753184951035</v>
          </cell>
        </row>
        <row r="86">
          <cell r="D86">
            <v>39156</v>
          </cell>
          <cell r="E86" t="e">
            <v>#N/A</v>
          </cell>
          <cell r="H86">
            <v>39156</v>
          </cell>
          <cell r="I86">
            <v>59.96</v>
          </cell>
          <cell r="J86">
            <v>59.96</v>
          </cell>
          <cell r="L86">
            <v>2.79</v>
          </cell>
          <cell r="M86">
            <v>1.9365000000000001</v>
          </cell>
          <cell r="N86">
            <v>5.4028350000000005</v>
          </cell>
          <cell r="O86">
            <v>2.79</v>
          </cell>
          <cell r="Q86">
            <v>3.001014611147419</v>
          </cell>
          <cell r="S86">
            <v>3.0226870396436611</v>
          </cell>
          <cell r="U86">
            <v>3.1042865501613748</v>
          </cell>
        </row>
        <row r="87">
          <cell r="D87">
            <v>39157</v>
          </cell>
          <cell r="E87" t="e">
            <v>#N/A</v>
          </cell>
          <cell r="H87">
            <v>39157</v>
          </cell>
          <cell r="I87">
            <v>59.58</v>
          </cell>
          <cell r="J87">
            <v>59.58</v>
          </cell>
          <cell r="L87">
            <v>2.7625000000000002</v>
          </cell>
          <cell r="M87">
            <v>1.9423000000000001</v>
          </cell>
          <cell r="N87">
            <v>5.3656037500000009</v>
          </cell>
          <cell r="O87">
            <v>2.7625000000000002</v>
          </cell>
          <cell r="Q87">
            <v>3.0143084679301655</v>
          </cell>
          <cell r="S87">
            <v>3.0166946799756591</v>
          </cell>
          <cell r="U87">
            <v>3.1129991475086034</v>
          </cell>
        </row>
        <row r="88">
          <cell r="D88">
            <v>39160</v>
          </cell>
          <cell r="E88" t="e">
            <v>#N/A</v>
          </cell>
          <cell r="H88">
            <v>39160</v>
          </cell>
          <cell r="I88">
            <v>59.7</v>
          </cell>
          <cell r="J88">
            <v>59.7</v>
          </cell>
          <cell r="L88">
            <v>2.81</v>
          </cell>
          <cell r="M88">
            <v>1.9459000000000002</v>
          </cell>
          <cell r="N88">
            <v>5.4679790000000006</v>
          </cell>
          <cell r="O88">
            <v>2.81</v>
          </cell>
          <cell r="Q88">
            <v>3.0596466716459711</v>
          </cell>
          <cell r="S88">
            <v>3.0496738996070651</v>
          </cell>
          <cell r="U88">
            <v>3.1498747879230775</v>
          </cell>
        </row>
        <row r="89">
          <cell r="D89">
            <v>39161</v>
          </cell>
          <cell r="E89" t="e">
            <v>#N/A</v>
          </cell>
          <cell r="H89">
            <v>39161</v>
          </cell>
          <cell r="I89">
            <v>59.25</v>
          </cell>
          <cell r="J89">
            <v>59.25</v>
          </cell>
          <cell r="L89">
            <v>2.8375000000000004</v>
          </cell>
          <cell r="M89">
            <v>1.9580500000000001</v>
          </cell>
          <cell r="N89">
            <v>5.5559668750000011</v>
          </cell>
          <cell r="O89">
            <v>2.8374999999999999</v>
          </cell>
          <cell r="Q89">
            <v>3.0651568014191026</v>
          </cell>
          <cell r="S89">
            <v>3.0780109048375555</v>
          </cell>
          <cell r="U89">
            <v>3.1394930063244342</v>
          </cell>
        </row>
        <row r="90">
          <cell r="D90">
            <v>39162</v>
          </cell>
          <cell r="E90" t="e">
            <v>#N/A</v>
          </cell>
          <cell r="H90">
            <v>39162</v>
          </cell>
          <cell r="I90">
            <v>59.61</v>
          </cell>
          <cell r="J90">
            <v>59.61</v>
          </cell>
          <cell r="L90">
            <v>2.88</v>
          </cell>
          <cell r="M90">
            <v>1.9596</v>
          </cell>
          <cell r="N90">
            <v>5.6436479999999998</v>
          </cell>
          <cell r="O90">
            <v>2.88</v>
          </cell>
          <cell r="Q90">
            <v>3.1061885444869763</v>
          </cell>
          <cell r="S90">
            <v>3.1442977016690929</v>
          </cell>
          <cell r="U90">
            <v>3.162400340056597</v>
          </cell>
        </row>
        <row r="91">
          <cell r="D91">
            <v>39163</v>
          </cell>
          <cell r="E91" t="e">
            <v>#N/A</v>
          </cell>
          <cell r="H91">
            <v>39163</v>
          </cell>
          <cell r="I91">
            <v>61.69</v>
          </cell>
          <cell r="J91">
            <v>61.69</v>
          </cell>
          <cell r="L91">
            <v>2.8774999999999999</v>
          </cell>
          <cell r="M91">
            <v>1.9672500000000002</v>
          </cell>
          <cell r="N91">
            <v>5.6607618750000004</v>
          </cell>
          <cell r="O91">
            <v>2.8774999999999999</v>
          </cell>
          <cell r="Q91">
            <v>3.1317063299411818</v>
          </cell>
          <cell r="S91">
            <v>3.1831117796801403</v>
          </cell>
          <cell r="U91">
            <v>3.1986759969637113</v>
          </cell>
        </row>
        <row r="92">
          <cell r="D92">
            <v>39164</v>
          </cell>
          <cell r="E92" t="e">
            <v>#N/A</v>
          </cell>
          <cell r="H92">
            <v>39164</v>
          </cell>
          <cell r="I92">
            <v>62.28</v>
          </cell>
          <cell r="J92">
            <v>62.28</v>
          </cell>
          <cell r="L92">
            <v>2.8925000000000001</v>
          </cell>
          <cell r="M92">
            <v>1.9631000000000001</v>
          </cell>
          <cell r="N92">
            <v>5.6782667500000006</v>
          </cell>
          <cell r="O92">
            <v>2.8925000000000001</v>
          </cell>
          <cell r="Q92">
            <v>3.1300746895714688</v>
          </cell>
          <cell r="S92">
            <v>3.1592193704545752</v>
          </cell>
          <cell r="U92">
            <v>3.2084795374341342</v>
          </cell>
        </row>
        <row r="93">
          <cell r="D93">
            <v>39167</v>
          </cell>
          <cell r="E93" t="e">
            <v>#N/A</v>
          </cell>
          <cell r="H93">
            <v>39167</v>
          </cell>
          <cell r="I93">
            <v>62.91</v>
          </cell>
          <cell r="J93">
            <v>62.91</v>
          </cell>
          <cell r="L93">
            <v>2.8625000000000003</v>
          </cell>
          <cell r="M93">
            <v>1.9685500000000002</v>
          </cell>
          <cell r="N93">
            <v>5.6349743750000014</v>
          </cell>
          <cell r="O93">
            <v>2.8624999999999998</v>
          </cell>
          <cell r="Q93">
            <v>3.1176635234805343</v>
          </cell>
          <cell r="S93">
            <v>3.1201014228750727</v>
          </cell>
          <cell r="U93">
            <v>3.2288798034815875</v>
          </cell>
        </row>
        <row r="94">
          <cell r="D94">
            <v>39168</v>
          </cell>
          <cell r="E94" t="e">
            <v>#N/A</v>
          </cell>
          <cell r="H94">
            <v>39168</v>
          </cell>
          <cell r="I94">
            <v>62.93</v>
          </cell>
          <cell r="J94">
            <v>62.93</v>
          </cell>
          <cell r="L94">
            <v>2.85</v>
          </cell>
          <cell r="M94">
            <v>1.9652500000000002</v>
          </cell>
          <cell r="N94">
            <v>5.6009625000000005</v>
          </cell>
          <cell r="O94">
            <v>2.85</v>
          </cell>
          <cell r="Q94">
            <v>3.1139722714965923</v>
          </cell>
          <cell r="S94">
            <v>3.1008939925230936</v>
          </cell>
          <cell r="U94">
            <v>3.2385143813933439</v>
          </cell>
        </row>
        <row r="95">
          <cell r="D95">
            <v>39169</v>
          </cell>
          <cell r="E95" t="e">
            <v>#N/A</v>
          </cell>
          <cell r="H95">
            <v>39169</v>
          </cell>
          <cell r="I95">
            <v>64.08</v>
          </cell>
          <cell r="J95">
            <v>64.08</v>
          </cell>
          <cell r="L95">
            <v>2.8250000000000002</v>
          </cell>
          <cell r="M95">
            <v>1.9654</v>
          </cell>
          <cell r="N95">
            <v>5.5522550000000006</v>
          </cell>
          <cell r="O95">
            <v>2.8250000000000002</v>
          </cell>
          <cell r="Q95">
            <v>3.0981640836523208</v>
          </cell>
          <cell r="S95">
            <v>3.1206768585783773</v>
          </cell>
          <cell r="U95">
            <v>3.2781811892140098</v>
          </cell>
        </row>
        <row r="96">
          <cell r="D96">
            <v>39170</v>
          </cell>
          <cell r="E96" t="e">
            <v>#N/A</v>
          </cell>
          <cell r="H96">
            <v>39170</v>
          </cell>
          <cell r="I96">
            <v>66.03</v>
          </cell>
          <cell r="J96">
            <v>66.03</v>
          </cell>
          <cell r="L96">
            <v>2.8475000000000001</v>
          </cell>
          <cell r="M96">
            <v>1.9629500000000002</v>
          </cell>
          <cell r="N96">
            <v>5.5895001250000007</v>
          </cell>
          <cell r="O96">
            <v>2.8475000000000001</v>
          </cell>
          <cell r="Q96">
            <v>3.1203650919615349</v>
          </cell>
          <cell r="S96">
            <v>3.1426184873050986</v>
          </cell>
          <cell r="U96">
            <v>3.3387945502321714</v>
          </cell>
        </row>
        <row r="97">
          <cell r="D97">
            <v>39171</v>
          </cell>
          <cell r="E97" t="e">
            <v>#N/A</v>
          </cell>
          <cell r="H97">
            <v>39171</v>
          </cell>
          <cell r="I97">
            <v>65.87</v>
          </cell>
          <cell r="J97">
            <v>65.87</v>
          </cell>
          <cell r="L97">
            <v>2.81</v>
          </cell>
          <cell r="M97">
            <v>1.9613500000000001</v>
          </cell>
          <cell r="N97">
            <v>5.5113935000000005</v>
          </cell>
          <cell r="O97">
            <v>2.81</v>
          </cell>
          <cell r="Q97">
            <v>3.1266776678181309</v>
          </cell>
          <cell r="S97">
            <v>3.1293410156497172</v>
          </cell>
          <cell r="U97">
            <v>3.3494971676513954</v>
          </cell>
        </row>
        <row r="98">
          <cell r="D98">
            <v>39174</v>
          </cell>
          <cell r="E98" t="e">
            <v>#N/A</v>
          </cell>
          <cell r="H98">
            <v>39174</v>
          </cell>
          <cell r="I98">
            <v>65.94</v>
          </cell>
          <cell r="J98">
            <v>65.94</v>
          </cell>
          <cell r="L98">
            <v>2.82</v>
          </cell>
          <cell r="M98">
            <v>1.9779</v>
          </cell>
          <cell r="N98">
            <v>5.5776779999999997</v>
          </cell>
          <cell r="O98">
            <v>2.82</v>
          </cell>
          <cell r="Q98">
            <v>3.1455618989823546</v>
          </cell>
          <cell r="S98">
            <v>3.1618919099806471</v>
          </cell>
          <cell r="U98">
            <v>3.3535748622039661</v>
          </cell>
        </row>
        <row r="99">
          <cell r="D99">
            <v>39175</v>
          </cell>
          <cell r="E99" t="e">
            <v>#N/A</v>
          </cell>
          <cell r="H99">
            <v>39175</v>
          </cell>
          <cell r="I99">
            <v>64.64</v>
          </cell>
          <cell r="J99">
            <v>64.64</v>
          </cell>
          <cell r="L99">
            <v>2.8725000000000001</v>
          </cell>
          <cell r="M99">
            <v>1.9786500000000002</v>
          </cell>
          <cell r="N99">
            <v>5.6836721250000011</v>
          </cell>
          <cell r="O99">
            <v>2.8725000000000001</v>
          </cell>
          <cell r="Q99">
            <v>3.1791576416767811</v>
          </cell>
          <cell r="S99">
            <v>3.1877548431885958</v>
          </cell>
          <cell r="U99">
            <v>3.3838305283541081</v>
          </cell>
        </row>
        <row r="100">
          <cell r="D100">
            <v>39176</v>
          </cell>
          <cell r="E100" t="e">
            <v>#N/A</v>
          </cell>
          <cell r="H100">
            <v>39176</v>
          </cell>
          <cell r="I100">
            <v>64.38</v>
          </cell>
          <cell r="J100">
            <v>64.38</v>
          </cell>
          <cell r="L100">
            <v>2.84</v>
          </cell>
          <cell r="M100">
            <v>1.9772000000000001</v>
          </cell>
          <cell r="N100">
            <v>5.6152480000000002</v>
          </cell>
          <cell r="O100">
            <v>2.84</v>
          </cell>
          <cell r="Q100">
            <v>3.1801473251797221</v>
          </cell>
          <cell r="S100">
            <v>3.1976140752104363</v>
          </cell>
          <cell r="U100">
            <v>3.3683644905168508</v>
          </cell>
        </row>
        <row r="101">
          <cell r="D101">
            <v>39177</v>
          </cell>
          <cell r="E101" t="e">
            <v>#N/A</v>
          </cell>
          <cell r="H101">
            <v>39177</v>
          </cell>
          <cell r="I101">
            <v>64.28</v>
          </cell>
          <cell r="J101">
            <v>64.28</v>
          </cell>
          <cell r="L101">
            <v>2.8774999999999999</v>
          </cell>
          <cell r="M101">
            <v>1.9719</v>
          </cell>
          <cell r="N101">
            <v>5.6741422500000001</v>
          </cell>
          <cell r="O101">
            <v>2.8774999999999999</v>
          </cell>
          <cell r="Q101">
            <v>3.1872890953225665</v>
          </cell>
          <cell r="S101">
            <v>3.2118040174511999</v>
          </cell>
          <cell r="U101">
            <v>3.4119878708322773</v>
          </cell>
        </row>
        <row r="102">
          <cell r="D102">
            <v>39181</v>
          </cell>
          <cell r="E102" t="e">
            <v>#N/A</v>
          </cell>
          <cell r="H102">
            <v>39181</v>
          </cell>
          <cell r="I102">
            <v>61.51</v>
          </cell>
          <cell r="J102">
            <v>61.51</v>
          </cell>
          <cell r="L102">
            <v>2.8774999999999999</v>
          </cell>
          <cell r="M102">
            <v>1.9619500000000001</v>
          </cell>
          <cell r="N102">
            <v>5.6455111250000005</v>
          </cell>
          <cell r="O102">
            <v>2.8774999999999999</v>
          </cell>
          <cell r="Q102">
            <v>3.1872890953225665</v>
          </cell>
          <cell r="S102">
            <v>3.2114374072651102</v>
          </cell>
          <cell r="U102">
            <v>3.4117326495930671</v>
          </cell>
        </row>
        <row r="103">
          <cell r="D103">
            <v>39182</v>
          </cell>
          <cell r="E103" t="e">
            <v>#N/A</v>
          </cell>
          <cell r="H103">
            <v>39182</v>
          </cell>
          <cell r="I103">
            <v>61.89</v>
          </cell>
          <cell r="J103">
            <v>61.89</v>
          </cell>
          <cell r="L103">
            <v>2.875</v>
          </cell>
          <cell r="M103">
            <v>1.9725500000000002</v>
          </cell>
          <cell r="N103">
            <v>5.6710812500000003</v>
          </cell>
          <cell r="O103">
            <v>2.875</v>
          </cell>
          <cell r="Q103">
            <v>3.2074037438147696</v>
          </cell>
          <cell r="S103">
            <v>3.2294659998485038</v>
          </cell>
          <cell r="U103">
            <v>3.4174525630704191</v>
          </cell>
        </row>
        <row r="104">
          <cell r="D104">
            <v>39183</v>
          </cell>
          <cell r="E104" t="e">
            <v>#N/A</v>
          </cell>
          <cell r="H104">
            <v>39183</v>
          </cell>
          <cell r="I104">
            <v>62.01</v>
          </cell>
          <cell r="J104">
            <v>62.01</v>
          </cell>
          <cell r="L104">
            <v>2.8574999999999999</v>
          </cell>
          <cell r="M104">
            <v>1.9788500000000002</v>
          </cell>
          <cell r="N104">
            <v>5.6545638750000009</v>
          </cell>
          <cell r="O104">
            <v>2.8574999999999999</v>
          </cell>
          <cell r="Q104">
            <v>3.1978278872187476</v>
          </cell>
          <cell r="S104">
            <v>3.1973873367562016</v>
          </cell>
          <cell r="U104">
            <v>3.3991797804083563</v>
          </cell>
        </row>
        <row r="105">
          <cell r="D105">
            <v>39184</v>
          </cell>
          <cell r="E105" t="e">
            <v>#N/A</v>
          </cell>
          <cell r="H105">
            <v>39184</v>
          </cell>
          <cell r="I105">
            <v>63.85</v>
          </cell>
          <cell r="J105">
            <v>63.85</v>
          </cell>
          <cell r="L105">
            <v>2.8475000000000001</v>
          </cell>
          <cell r="M105">
            <v>1.9793500000000002</v>
          </cell>
          <cell r="N105">
            <v>5.636199125000001</v>
          </cell>
          <cell r="O105">
            <v>2.8475000000000001</v>
          </cell>
          <cell r="Q105">
            <v>3.181618476332742</v>
          </cell>
          <cell r="S105">
            <v>3.1897054400595874</v>
          </cell>
          <cell r="U105">
            <v>3.3870515130008267</v>
          </cell>
        </row>
        <row r="106">
          <cell r="D106">
            <v>39185</v>
          </cell>
          <cell r="E106" t="e">
            <v>#N/A</v>
          </cell>
          <cell r="H106">
            <v>39185</v>
          </cell>
          <cell r="I106">
            <v>66.33</v>
          </cell>
          <cell r="J106">
            <v>66.33</v>
          </cell>
          <cell r="L106">
            <v>2.8475000000000001</v>
          </cell>
          <cell r="M106">
            <v>1.9829000000000001</v>
          </cell>
          <cell r="N106">
            <v>5.646307750000001</v>
          </cell>
          <cell r="O106">
            <v>2.8475000000000001</v>
          </cell>
          <cell r="Q106">
            <v>3.1897766781813091</v>
          </cell>
          <cell r="S106">
            <v>3.2047246791534389</v>
          </cell>
          <cell r="U106">
            <v>3.3656305185830941</v>
          </cell>
        </row>
        <row r="107">
          <cell r="D107">
            <v>39188</v>
          </cell>
          <cell r="E107" t="e">
            <v>#N/A</v>
          </cell>
          <cell r="H107">
            <v>39188</v>
          </cell>
          <cell r="I107">
            <v>65.67</v>
          </cell>
          <cell r="J107">
            <v>65.67</v>
          </cell>
          <cell r="L107">
            <v>2.85</v>
          </cell>
          <cell r="M107">
            <v>1.9900500000000001</v>
          </cell>
          <cell r="N107">
            <v>5.6716425000000008</v>
          </cell>
          <cell r="O107">
            <v>2.85</v>
          </cell>
          <cell r="Q107">
            <v>3.2140372981047522</v>
          </cell>
          <cell r="S107">
            <v>3.2230443730885217</v>
          </cell>
          <cell r="U107">
            <v>3.4072975644977479</v>
          </cell>
        </row>
        <row r="108">
          <cell r="D108">
            <v>39189</v>
          </cell>
          <cell r="E108" t="e">
            <v>#N/A</v>
          </cell>
          <cell r="H108">
            <v>39189</v>
          </cell>
          <cell r="I108">
            <v>64.459999999999994</v>
          </cell>
          <cell r="J108">
            <v>64.459999999999994</v>
          </cell>
          <cell r="L108">
            <v>2.84</v>
          </cell>
          <cell r="M108">
            <v>2.0053000000000001</v>
          </cell>
          <cell r="N108">
            <v>5.6950519999999996</v>
          </cell>
          <cell r="O108">
            <v>2.84</v>
          </cell>
          <cell r="Q108">
            <v>3.1901511530202593</v>
          </cell>
          <cell r="S108">
            <v>3.2057187887007395</v>
          </cell>
          <cell r="U108">
            <v>3.3671454366540354</v>
          </cell>
        </row>
        <row r="109">
          <cell r="D109">
            <v>39190</v>
          </cell>
          <cell r="E109" t="e">
            <v>#N/A</v>
          </cell>
          <cell r="H109">
            <v>39190</v>
          </cell>
          <cell r="I109">
            <v>64.38</v>
          </cell>
          <cell r="J109">
            <v>64.38</v>
          </cell>
          <cell r="L109">
            <v>2.8175000000000003</v>
          </cell>
          <cell r="M109">
            <v>2.0055499999999999</v>
          </cell>
          <cell r="N109">
            <v>5.6506371250000003</v>
          </cell>
          <cell r="O109">
            <v>2.8174999999999999</v>
          </cell>
          <cell r="Q109">
            <v>3.176242087573522</v>
          </cell>
          <cell r="S109">
            <v>3.1797466757137585</v>
          </cell>
          <cell r="U109">
            <v>3.3367422874571009</v>
          </cell>
        </row>
        <row r="110">
          <cell r="D110">
            <v>39191</v>
          </cell>
          <cell r="E110" t="e">
            <v>#N/A</v>
          </cell>
          <cell r="H110">
            <v>39191</v>
          </cell>
          <cell r="I110">
            <v>63.32</v>
          </cell>
          <cell r="J110">
            <v>63.32</v>
          </cell>
          <cell r="L110">
            <v>2.8000000000000003</v>
          </cell>
          <cell r="M110">
            <v>2.0025500000000003</v>
          </cell>
          <cell r="N110">
            <v>5.6071400000000011</v>
          </cell>
          <cell r="O110">
            <v>2.8</v>
          </cell>
          <cell r="Q110">
            <v>3.15602044627019</v>
          </cell>
          <cell r="S110">
            <v>3.1849019159722904</v>
          </cell>
          <cell r="U110">
            <v>3.3264348726571682</v>
          </cell>
        </row>
        <row r="111">
          <cell r="D111">
            <v>39192</v>
          </cell>
          <cell r="E111" t="e">
            <v>#N/A</v>
          </cell>
          <cell r="H111">
            <v>39192</v>
          </cell>
          <cell r="I111">
            <v>64.11</v>
          </cell>
          <cell r="J111">
            <v>64.11</v>
          </cell>
          <cell r="L111">
            <v>2.82</v>
          </cell>
          <cell r="M111">
            <v>2.00345</v>
          </cell>
          <cell r="N111">
            <v>5.6497289999999998</v>
          </cell>
          <cell r="O111">
            <v>2.82</v>
          </cell>
          <cell r="Q111">
            <v>3.1831966202968913</v>
          </cell>
          <cell r="S111">
            <v>3.2119163742497983</v>
          </cell>
          <cell r="U111">
            <v>3.3465827701925068</v>
          </cell>
        </row>
        <row r="112">
          <cell r="D112">
            <v>39195</v>
          </cell>
          <cell r="E112" t="e">
            <v>#N/A</v>
          </cell>
          <cell r="H112">
            <v>39195</v>
          </cell>
          <cell r="I112">
            <v>65.89</v>
          </cell>
          <cell r="J112">
            <v>65.89</v>
          </cell>
          <cell r="L112">
            <v>2.82</v>
          </cell>
          <cell r="M112">
            <v>2.0003500000000001</v>
          </cell>
          <cell r="N112">
            <v>5.640987</v>
          </cell>
          <cell r="O112">
            <v>2.82</v>
          </cell>
          <cell r="Q112">
            <v>3.1895359443562694</v>
          </cell>
          <cell r="S112">
            <v>3.2117268186180263</v>
          </cell>
          <cell r="U112">
            <v>3.3674300643198505</v>
          </cell>
        </row>
        <row r="113">
          <cell r="D113">
            <v>39196</v>
          </cell>
          <cell r="E113" t="e">
            <v>#N/A</v>
          </cell>
          <cell r="H113">
            <v>39196</v>
          </cell>
          <cell r="I113">
            <v>64.58</v>
          </cell>
          <cell r="J113">
            <v>64.58</v>
          </cell>
          <cell r="L113">
            <v>2.8025000000000002</v>
          </cell>
          <cell r="M113">
            <v>2.0027500000000003</v>
          </cell>
          <cell r="N113">
            <v>5.6127068750000015</v>
          </cell>
          <cell r="O113">
            <v>2.8025000000000002</v>
          </cell>
          <cell r="Q113">
            <v>3.1608083745682016</v>
          </cell>
          <cell r="S113">
            <v>3.1821296999972257</v>
          </cell>
          <cell r="U113">
            <v>3.3602113024041977</v>
          </cell>
        </row>
        <row r="114">
          <cell r="D114">
            <v>39197</v>
          </cell>
          <cell r="E114" t="e">
            <v>#N/A</v>
          </cell>
          <cell r="H114">
            <v>39197</v>
          </cell>
          <cell r="I114">
            <v>65.84</v>
          </cell>
          <cell r="J114">
            <v>65.84</v>
          </cell>
          <cell r="L114">
            <v>2.81</v>
          </cell>
          <cell r="M114">
            <v>2.0057500000000004</v>
          </cell>
          <cell r="N114">
            <v>5.6361575000000013</v>
          </cell>
          <cell r="O114">
            <v>2.81</v>
          </cell>
          <cell r="Q114">
            <v>3.1841595555970499</v>
          </cell>
          <cell r="S114">
            <v>3.2009750903605196</v>
          </cell>
          <cell r="U114">
            <v>3.3732489582764185</v>
          </cell>
        </row>
        <row r="115">
          <cell r="D115">
            <v>39198</v>
          </cell>
          <cell r="E115" t="e">
            <v>#N/A</v>
          </cell>
          <cell r="H115">
            <v>39198</v>
          </cell>
          <cell r="I115">
            <v>65.06</v>
          </cell>
          <cell r="J115">
            <v>65.06</v>
          </cell>
          <cell r="L115">
            <v>2.82</v>
          </cell>
          <cell r="M115">
            <v>1.9918500000000001</v>
          </cell>
          <cell r="N115">
            <v>5.6170169999999997</v>
          </cell>
          <cell r="O115">
            <v>2.82</v>
          </cell>
          <cell r="Q115">
            <v>3.1939761460181124</v>
          </cell>
          <cell r="S115">
            <v>3.2199888184275691</v>
          </cell>
          <cell r="U115">
            <v>3.3575261795674596</v>
          </cell>
        </row>
        <row r="116">
          <cell r="D116">
            <v>39199</v>
          </cell>
          <cell r="E116" t="e">
            <v>#N/A</v>
          </cell>
          <cell r="H116">
            <v>39199</v>
          </cell>
          <cell r="I116">
            <v>66.459999999999994</v>
          </cell>
          <cell r="J116">
            <v>66.459999999999994</v>
          </cell>
          <cell r="L116">
            <v>2.8574999999999999</v>
          </cell>
          <cell r="M116">
            <v>2.0020500000000001</v>
          </cell>
          <cell r="N116">
            <v>5.7208578750000001</v>
          </cell>
          <cell r="O116">
            <v>2.8574999999999999</v>
          </cell>
          <cell r="Q116">
            <v>3.1839723181775743</v>
          </cell>
          <cell r="S116">
            <v>3.2021634964256496</v>
          </cell>
          <cell r="U116">
            <v>3.3470906610275653</v>
          </cell>
        </row>
        <row r="117">
          <cell r="D117">
            <v>39202</v>
          </cell>
          <cell r="E117" t="e">
            <v>#N/A</v>
          </cell>
          <cell r="H117">
            <v>39202</v>
          </cell>
          <cell r="I117">
            <v>65.709999999999994</v>
          </cell>
          <cell r="J117">
            <v>65.709999999999994</v>
          </cell>
          <cell r="L117">
            <v>2.8450000000000002</v>
          </cell>
          <cell r="M117">
            <v>1.9998500000000001</v>
          </cell>
          <cell r="N117">
            <v>5.6895732500000005</v>
          </cell>
          <cell r="O117">
            <v>2.8450000000000002</v>
          </cell>
          <cell r="Q117">
            <v>3.1909001026981616</v>
          </cell>
          <cell r="S117">
            <v>3.2135506865382437</v>
          </cell>
          <cell r="U117">
            <v>3.3378084674908139</v>
          </cell>
        </row>
        <row r="118">
          <cell r="D118">
            <v>39203</v>
          </cell>
          <cell r="E118" t="e">
            <v>#N/A</v>
          </cell>
          <cell r="H118">
            <v>39203</v>
          </cell>
          <cell r="I118">
            <v>64.400000000000006</v>
          </cell>
          <cell r="J118">
            <v>64.400000000000006</v>
          </cell>
          <cell r="L118">
            <v>2.8425000000000002</v>
          </cell>
          <cell r="M118">
            <v>1.9991500000000002</v>
          </cell>
          <cell r="N118">
            <v>5.6825838750000015</v>
          </cell>
          <cell r="O118">
            <v>2.8424999999999998</v>
          </cell>
          <cell r="Q118">
            <v>3.1860854261973675</v>
          </cell>
          <cell r="S118">
            <v>3.1960283142749173</v>
          </cell>
          <cell r="U118">
            <v>3.343343692438884</v>
          </cell>
        </row>
        <row r="119">
          <cell r="D119">
            <v>39204</v>
          </cell>
          <cell r="E119" t="e">
            <v>#N/A</v>
          </cell>
          <cell r="H119">
            <v>39204</v>
          </cell>
          <cell r="I119">
            <v>63.68</v>
          </cell>
          <cell r="J119">
            <v>63.68</v>
          </cell>
          <cell r="L119">
            <v>2.82</v>
          </cell>
          <cell r="M119">
            <v>1.9902500000000001</v>
          </cell>
          <cell r="N119">
            <v>5.6125049999999996</v>
          </cell>
          <cell r="O119">
            <v>2.82</v>
          </cell>
          <cell r="Q119">
            <v>3.2149467369993463</v>
          </cell>
          <cell r="S119">
            <v>3.219382428237874</v>
          </cell>
          <cell r="U119">
            <v>3.3736571655881717</v>
          </cell>
        </row>
        <row r="120">
          <cell r="D120">
            <v>39205</v>
          </cell>
          <cell r="E120" t="e">
            <v>#N/A</v>
          </cell>
          <cell r="H120">
            <v>39205</v>
          </cell>
          <cell r="I120">
            <v>63.19</v>
          </cell>
          <cell r="J120">
            <v>63.19</v>
          </cell>
          <cell r="L120">
            <v>2.8050000000000002</v>
          </cell>
          <cell r="M120">
            <v>1.988</v>
          </cell>
          <cell r="N120">
            <v>5.5763400000000001</v>
          </cell>
          <cell r="O120">
            <v>2.8050000000000002</v>
          </cell>
          <cell r="Q120">
            <v>3.2221152553449728</v>
          </cell>
          <cell r="S120">
            <v>3.1667622545463807</v>
          </cell>
          <cell r="U120">
            <v>3.4195129449388744</v>
          </cell>
        </row>
        <row r="121">
          <cell r="D121">
            <v>39206</v>
          </cell>
          <cell r="E121" t="e">
            <v>#N/A</v>
          </cell>
          <cell r="H121">
            <v>39206</v>
          </cell>
          <cell r="I121">
            <v>61.93</v>
          </cell>
          <cell r="J121">
            <v>61.93</v>
          </cell>
          <cell r="L121">
            <v>2.81</v>
          </cell>
          <cell r="M121">
            <v>1.992</v>
          </cell>
          <cell r="N121">
            <v>5.5975200000000003</v>
          </cell>
          <cell r="O121">
            <v>2.81</v>
          </cell>
          <cell r="Q121">
            <v>3.2661695453272341</v>
          </cell>
          <cell r="S121">
            <v>3.152433143320966</v>
          </cell>
          <cell r="U121">
            <v>3.4682400705051011</v>
          </cell>
        </row>
        <row r="122">
          <cell r="D122">
            <v>39209</v>
          </cell>
          <cell r="E122" t="e">
            <v>#N/A</v>
          </cell>
          <cell r="H122">
            <v>39209</v>
          </cell>
          <cell r="I122">
            <v>61.47</v>
          </cell>
          <cell r="J122">
            <v>61.47</v>
          </cell>
          <cell r="L122">
            <v>2.81</v>
          </cell>
          <cell r="M122">
            <v>1.9958500000000001</v>
          </cell>
          <cell r="N122">
            <v>5.6083385000000003</v>
          </cell>
          <cell r="O122">
            <v>2.81</v>
          </cell>
          <cell r="Q122">
            <v>3.2661695453272341</v>
          </cell>
          <cell r="S122">
            <v>3.1640747470795163</v>
          </cell>
          <cell r="U122">
            <v>3.4680631139382059</v>
          </cell>
        </row>
        <row r="123">
          <cell r="D123">
            <v>39210</v>
          </cell>
          <cell r="E123" t="e">
            <v>#N/A</v>
          </cell>
          <cell r="H123">
            <v>39210</v>
          </cell>
          <cell r="I123">
            <v>62.26</v>
          </cell>
          <cell r="J123">
            <v>62.26</v>
          </cell>
          <cell r="L123">
            <v>2.8000000000000003</v>
          </cell>
          <cell r="M123">
            <v>1.9902500000000001</v>
          </cell>
          <cell r="N123">
            <v>5.5727000000000011</v>
          </cell>
          <cell r="O123">
            <v>2.8</v>
          </cell>
          <cell r="Q123">
            <v>3.2386456446643646</v>
          </cell>
          <cell r="S123">
            <v>3.1165623314763504</v>
          </cell>
          <cell r="U123">
            <v>3.4032507952826903</v>
          </cell>
        </row>
        <row r="124">
          <cell r="D124">
            <v>39211</v>
          </cell>
          <cell r="E124" t="e">
            <v>#N/A</v>
          </cell>
          <cell r="H124">
            <v>39211</v>
          </cell>
          <cell r="I124">
            <v>61.55</v>
          </cell>
          <cell r="J124">
            <v>61.55</v>
          </cell>
          <cell r="L124">
            <v>2.8000000000000003</v>
          </cell>
          <cell r="M124">
            <v>1.9970500000000002</v>
          </cell>
          <cell r="N124">
            <v>5.5917400000000015</v>
          </cell>
          <cell r="O124">
            <v>2.8</v>
          </cell>
          <cell r="Q124">
            <v>3.225057557651013</v>
          </cell>
          <cell r="S124">
            <v>3.1115596900827778</v>
          </cell>
          <cell r="U124">
            <v>3.4175406407329079</v>
          </cell>
        </row>
        <row r="125">
          <cell r="D125">
            <v>39212</v>
          </cell>
          <cell r="E125" t="e">
            <v>#N/A</v>
          </cell>
          <cell r="H125">
            <v>39212</v>
          </cell>
          <cell r="I125">
            <v>61.81</v>
          </cell>
          <cell r="J125">
            <v>61.81</v>
          </cell>
          <cell r="L125">
            <v>2.8050000000000002</v>
          </cell>
          <cell r="M125">
            <v>1.9828500000000002</v>
          </cell>
          <cell r="N125">
            <v>5.5618942500000008</v>
          </cell>
          <cell r="O125">
            <v>2.8050000000000002</v>
          </cell>
          <cell r="Q125">
            <v>3.2264752123984697</v>
          </cell>
          <cell r="S125">
            <v>3.1112394076427465</v>
          </cell>
          <cell r="U125">
            <v>3.4207686767155359</v>
          </cell>
        </row>
        <row r="126">
          <cell r="D126">
            <v>39213</v>
          </cell>
          <cell r="E126" t="e">
            <v>#N/A</v>
          </cell>
          <cell r="H126">
            <v>39213</v>
          </cell>
          <cell r="I126">
            <v>62.37</v>
          </cell>
          <cell r="J126">
            <v>62.37</v>
          </cell>
          <cell r="L126">
            <v>2.7850000000000001</v>
          </cell>
          <cell r="M126">
            <v>1.9824500000000003</v>
          </cell>
          <cell r="N126">
            <v>5.5211232500000014</v>
          </cell>
          <cell r="O126">
            <v>2.7850000000000001</v>
          </cell>
          <cell r="Q126">
            <v>3.2188252264027635</v>
          </cell>
          <cell r="S126">
            <v>3.1332144926962955</v>
          </cell>
          <cell r="U126">
            <v>3.4367345660914799</v>
          </cell>
        </row>
        <row r="127">
          <cell r="D127">
            <v>39216</v>
          </cell>
          <cell r="E127" t="e">
            <v>#N/A</v>
          </cell>
          <cell r="H127">
            <v>39216</v>
          </cell>
          <cell r="I127">
            <v>62.46</v>
          </cell>
          <cell r="J127">
            <v>62.46</v>
          </cell>
          <cell r="L127">
            <v>2.7949999999999999</v>
          </cell>
          <cell r="M127">
            <v>1.9804500000000003</v>
          </cell>
          <cell r="N127">
            <v>5.5353577500000002</v>
          </cell>
          <cell r="O127">
            <v>2.7949999999999999</v>
          </cell>
          <cell r="Q127">
            <v>3.2198416581084865</v>
          </cell>
          <cell r="S127">
            <v>3.0815185403314631</v>
          </cell>
          <cell r="U127">
            <v>3.4297005524520627</v>
          </cell>
        </row>
        <row r="128">
          <cell r="D128">
            <v>39217</v>
          </cell>
          <cell r="E128" t="e">
            <v>#N/A</v>
          </cell>
          <cell r="H128">
            <v>39217</v>
          </cell>
          <cell r="I128">
            <v>64.599999999999994</v>
          </cell>
          <cell r="J128">
            <v>64.599999999999994</v>
          </cell>
          <cell r="L128">
            <v>2.8050000000000002</v>
          </cell>
          <cell r="M128">
            <v>1.9840500000000001</v>
          </cell>
          <cell r="N128">
            <v>5.5652602500000006</v>
          </cell>
          <cell r="O128">
            <v>2.8050000000000002</v>
          </cell>
          <cell r="Q128">
            <v>3.2344461768275607</v>
          </cell>
          <cell r="S128">
            <v>3.0946142363831655</v>
          </cell>
          <cell r="U128">
            <v>3.4193543129175641</v>
          </cell>
        </row>
        <row r="129">
          <cell r="D129">
            <v>39218</v>
          </cell>
          <cell r="E129" t="e">
            <v>#N/A</v>
          </cell>
          <cell r="H129">
            <v>39218</v>
          </cell>
          <cell r="I129">
            <v>63.95</v>
          </cell>
          <cell r="J129">
            <v>63.95</v>
          </cell>
          <cell r="L129">
            <v>2.8000000000000003</v>
          </cell>
          <cell r="M129">
            <v>1.9827500000000002</v>
          </cell>
          <cell r="N129">
            <v>5.5517000000000012</v>
          </cell>
          <cell r="O129">
            <v>2.8</v>
          </cell>
          <cell r="Q129">
            <v>3.2372279899169074</v>
          </cell>
          <cell r="S129">
            <v>3.0693828975103101</v>
          </cell>
          <cell r="U129">
            <v>3.4343592084957297</v>
          </cell>
        </row>
        <row r="130">
          <cell r="D130">
            <v>39219</v>
          </cell>
          <cell r="E130" t="e">
            <v>#N/A</v>
          </cell>
          <cell r="H130">
            <v>39219</v>
          </cell>
          <cell r="I130">
            <v>65.92</v>
          </cell>
          <cell r="J130">
            <v>65.92</v>
          </cell>
          <cell r="L130">
            <v>2.82</v>
          </cell>
          <cell r="M130">
            <v>1.9750500000000002</v>
          </cell>
          <cell r="N130">
            <v>5.5696409999999998</v>
          </cell>
          <cell r="O130">
            <v>2.82</v>
          </cell>
          <cell r="Q130">
            <v>3.2481947530576041</v>
          </cell>
          <cell r="S130">
            <v>3.0948432385150126</v>
          </cell>
          <cell r="U130">
            <v>3.4392387204859842</v>
          </cell>
        </row>
        <row r="131">
          <cell r="D131">
            <v>39220</v>
          </cell>
          <cell r="E131" t="e">
            <v>#N/A</v>
          </cell>
          <cell r="H131">
            <v>39220</v>
          </cell>
          <cell r="I131">
            <v>65.98</v>
          </cell>
          <cell r="J131">
            <v>65.98</v>
          </cell>
          <cell r="L131">
            <v>2.84</v>
          </cell>
          <cell r="M131">
            <v>1.9743000000000002</v>
          </cell>
          <cell r="N131">
            <v>5.6070120000000001</v>
          </cell>
          <cell r="O131">
            <v>2.84</v>
          </cell>
          <cell r="Q131">
            <v>3.2640296891046585</v>
          </cell>
          <cell r="S131">
            <v>3.091912674197884</v>
          </cell>
          <cell r="U131">
            <v>3.4851649690334279</v>
          </cell>
        </row>
        <row r="132">
          <cell r="D132">
            <v>39223</v>
          </cell>
          <cell r="E132" t="e">
            <v>#N/A</v>
          </cell>
          <cell r="H132">
            <v>39223</v>
          </cell>
          <cell r="I132">
            <v>66.87</v>
          </cell>
          <cell r="J132">
            <v>66.87</v>
          </cell>
          <cell r="L132">
            <v>2.835</v>
          </cell>
          <cell r="M132">
            <v>1.9694</v>
          </cell>
          <cell r="N132">
            <v>5.5832490000000004</v>
          </cell>
          <cell r="O132">
            <v>2.835</v>
          </cell>
          <cell r="Q132">
            <v>3.2636819624684903</v>
          </cell>
          <cell r="S132">
            <v>3.1114568537520806</v>
          </cell>
          <cell r="U132">
            <v>3.48190299705275</v>
          </cell>
        </row>
        <row r="133">
          <cell r="D133">
            <v>39224</v>
          </cell>
          <cell r="E133" t="e">
            <v>#N/A</v>
          </cell>
          <cell r="H133">
            <v>39224</v>
          </cell>
          <cell r="I133">
            <v>65.510000000000005</v>
          </cell>
          <cell r="J133">
            <v>65.510000000000005</v>
          </cell>
          <cell r="L133">
            <v>2.835</v>
          </cell>
          <cell r="M133">
            <v>1.9746000000000001</v>
          </cell>
          <cell r="N133">
            <v>5.5979910000000004</v>
          </cell>
          <cell r="O133">
            <v>2.835</v>
          </cell>
          <cell r="Q133">
            <v>3.2569414153673795</v>
          </cell>
          <cell r="S133">
            <v>3.0858941734473846</v>
          </cell>
          <cell r="U133">
            <v>3.4919423217322549</v>
          </cell>
        </row>
        <row r="134">
          <cell r="D134">
            <v>39225</v>
          </cell>
          <cell r="E134" t="e">
            <v>#N/A</v>
          </cell>
          <cell r="H134">
            <v>39225</v>
          </cell>
          <cell r="I134">
            <v>65.77</v>
          </cell>
          <cell r="J134">
            <v>65.77</v>
          </cell>
          <cell r="L134">
            <v>2.84</v>
          </cell>
          <cell r="M134">
            <v>1.9890500000000002</v>
          </cell>
          <cell r="N134">
            <v>5.6489020000000005</v>
          </cell>
          <cell r="O134">
            <v>2.84</v>
          </cell>
          <cell r="Q134">
            <v>3.2686838763887596</v>
          </cell>
          <cell r="S134">
            <v>3.1228240500186049</v>
          </cell>
          <cell r="U134">
            <v>3.5026803135941447</v>
          </cell>
        </row>
        <row r="135">
          <cell r="D135">
            <v>39226</v>
          </cell>
          <cell r="E135" t="e">
            <v>#N/A</v>
          </cell>
          <cell r="H135">
            <v>39226</v>
          </cell>
          <cell r="I135">
            <v>64.180000000000007</v>
          </cell>
          <cell r="J135">
            <v>64.180000000000007</v>
          </cell>
          <cell r="L135">
            <v>2.83</v>
          </cell>
          <cell r="M135">
            <v>1.9855500000000001</v>
          </cell>
          <cell r="N135">
            <v>5.6191065000000009</v>
          </cell>
          <cell r="O135">
            <v>2.83</v>
          </cell>
          <cell r="Q135">
            <v>3.2446907384931376</v>
          </cell>
          <cell r="S135">
            <v>3.1144820734449183</v>
          </cell>
          <cell r="U135">
            <v>3.471220157860234</v>
          </cell>
        </row>
        <row r="136">
          <cell r="D136">
            <v>39227</v>
          </cell>
          <cell r="E136" t="e">
            <v>#N/A</v>
          </cell>
          <cell r="H136">
            <v>39227</v>
          </cell>
          <cell r="I136">
            <v>65.2</v>
          </cell>
          <cell r="J136">
            <v>65.2</v>
          </cell>
          <cell r="L136">
            <v>2.83</v>
          </cell>
          <cell r="M136">
            <v>1.9849500000000002</v>
          </cell>
          <cell r="N136">
            <v>5.6174085000000007</v>
          </cell>
          <cell r="O136">
            <v>2.83</v>
          </cell>
          <cell r="Q136">
            <v>3.225191298664924</v>
          </cell>
          <cell r="S136">
            <v>3.1162806138684198</v>
          </cell>
          <cell r="U136">
            <v>3.4840062895371045</v>
          </cell>
        </row>
        <row r="137">
          <cell r="D137">
            <v>39231</v>
          </cell>
          <cell r="E137" t="e">
            <v>#N/A</v>
          </cell>
          <cell r="H137">
            <v>39231</v>
          </cell>
          <cell r="I137">
            <v>63.15</v>
          </cell>
          <cell r="J137">
            <v>63.15</v>
          </cell>
          <cell r="L137">
            <v>2.8425000000000002</v>
          </cell>
          <cell r="M137">
            <v>1.9817</v>
          </cell>
          <cell r="N137">
            <v>5.6329822500000004</v>
          </cell>
          <cell r="O137">
            <v>2.8424999999999998</v>
          </cell>
          <cell r="Q137">
            <v>3.2383246662309779</v>
          </cell>
          <cell r="S137">
            <v>3.1649109302360467</v>
          </cell>
          <cell r="U137">
            <v>3.5010888086525309</v>
          </cell>
        </row>
        <row r="138">
          <cell r="D138">
            <v>39232</v>
          </cell>
          <cell r="E138" t="e">
            <v>#N/A</v>
          </cell>
          <cell r="H138">
            <v>39232</v>
          </cell>
          <cell r="I138">
            <v>63.49</v>
          </cell>
          <cell r="J138">
            <v>63.49</v>
          </cell>
          <cell r="L138">
            <v>2.8250000000000002</v>
          </cell>
          <cell r="M138">
            <v>1.9748500000000002</v>
          </cell>
          <cell r="N138">
            <v>5.5789512500000011</v>
          </cell>
          <cell r="O138">
            <v>2.8250000000000002</v>
          </cell>
          <cell r="Q138">
            <v>3.2159899169078523</v>
          </cell>
          <cell r="S138">
            <v>3.1275496280237189</v>
          </cell>
          <cell r="U138">
            <v>3.4739391332476988</v>
          </cell>
        </row>
        <row r="139">
          <cell r="D139">
            <v>39233</v>
          </cell>
          <cell r="E139" t="e">
            <v>#N/A</v>
          </cell>
          <cell r="H139">
            <v>39233</v>
          </cell>
          <cell r="I139">
            <v>64.010000000000005</v>
          </cell>
          <cell r="J139">
            <v>64.010000000000005</v>
          </cell>
          <cell r="L139">
            <v>2.8475000000000001</v>
          </cell>
          <cell r="M139">
            <v>1.9781000000000002</v>
          </cell>
          <cell r="N139">
            <v>5.6326397500000009</v>
          </cell>
          <cell r="O139">
            <v>2.8475000000000001</v>
          </cell>
          <cell r="Q139">
            <v>3.2395015871533941</v>
          </cell>
          <cell r="S139">
            <v>3.1486954862548777</v>
          </cell>
          <cell r="U139">
            <v>3.4914274154442744</v>
          </cell>
        </row>
        <row r="140">
          <cell r="D140">
            <v>39234</v>
          </cell>
          <cell r="E140" t="e">
            <v>#N/A</v>
          </cell>
          <cell r="H140">
            <v>39234</v>
          </cell>
          <cell r="I140">
            <v>65.08</v>
          </cell>
          <cell r="J140">
            <v>65.08</v>
          </cell>
          <cell r="L140">
            <v>2.87</v>
          </cell>
          <cell r="M140">
            <v>1.9790500000000002</v>
          </cell>
          <cell r="N140">
            <v>5.6798735000000011</v>
          </cell>
          <cell r="O140">
            <v>2.87</v>
          </cell>
          <cell r="Q140">
            <v>3.2623980487349455</v>
          </cell>
          <cell r="S140">
            <v>3.1586376262858638</v>
          </cell>
          <cell r="U140">
            <v>3.5173861197375604</v>
          </cell>
        </row>
        <row r="141">
          <cell r="D141">
            <v>39237</v>
          </cell>
          <cell r="E141" t="e">
            <v>#N/A</v>
          </cell>
          <cell r="H141">
            <v>39237</v>
          </cell>
          <cell r="I141">
            <v>66.209999999999994</v>
          </cell>
          <cell r="J141">
            <v>66.209999999999994</v>
          </cell>
          <cell r="L141">
            <v>2.8475000000000001</v>
          </cell>
          <cell r="M141">
            <v>1.9910500000000002</v>
          </cell>
          <cell r="N141">
            <v>5.6695148750000008</v>
          </cell>
          <cell r="O141">
            <v>2.8475000000000001</v>
          </cell>
          <cell r="Q141">
            <v>3.2460014004294653</v>
          </cell>
          <cell r="S141">
            <v>3.1472673613862145</v>
          </cell>
          <cell r="U141">
            <v>3.5260536564207801</v>
          </cell>
        </row>
        <row r="142">
          <cell r="D142">
            <v>39238</v>
          </cell>
          <cell r="E142" t="e">
            <v>#N/A</v>
          </cell>
          <cell r="H142">
            <v>39238</v>
          </cell>
          <cell r="I142">
            <v>65.61</v>
          </cell>
          <cell r="J142">
            <v>65.61</v>
          </cell>
          <cell r="L142">
            <v>2.8149999999999999</v>
          </cell>
          <cell r="M142">
            <v>1.9928500000000002</v>
          </cell>
          <cell r="N142">
            <v>5.609872750000001</v>
          </cell>
          <cell r="O142">
            <v>2.8149999999999999</v>
          </cell>
          <cell r="Q142">
            <v>3.2274916441041928</v>
          </cell>
          <cell r="S142">
            <v>3.0972390802378436</v>
          </cell>
          <cell r="U142">
            <v>3.5448129132558592</v>
          </cell>
        </row>
        <row r="143">
          <cell r="D143">
            <v>39239</v>
          </cell>
          <cell r="E143" t="e">
            <v>#N/A</v>
          </cell>
          <cell r="H143">
            <v>39239</v>
          </cell>
          <cell r="I143">
            <v>65.959999999999994</v>
          </cell>
          <cell r="J143">
            <v>65.959999999999994</v>
          </cell>
          <cell r="L143">
            <v>2.7375000000000003</v>
          </cell>
          <cell r="M143">
            <v>1.9916500000000001</v>
          </cell>
          <cell r="N143">
            <v>5.4521418750000006</v>
          </cell>
          <cell r="O143">
            <v>2.7374999999999998</v>
          </cell>
          <cell r="Q143">
            <v>3.1515802446083465</v>
          </cell>
          <cell r="S143">
            <v>3.0188420025681206</v>
          </cell>
          <cell r="U143">
            <v>3.4874417762586689</v>
          </cell>
        </row>
        <row r="144">
          <cell r="D144">
            <v>39240</v>
          </cell>
          <cell r="E144" t="e">
            <v>#N/A</v>
          </cell>
          <cell r="H144">
            <v>39240</v>
          </cell>
          <cell r="I144">
            <v>66.930000000000007</v>
          </cell>
          <cell r="J144">
            <v>66.930000000000007</v>
          </cell>
          <cell r="L144">
            <v>2.7225000000000001</v>
          </cell>
          <cell r="M144">
            <v>1.9805500000000003</v>
          </cell>
          <cell r="N144">
            <v>5.3920473750000006</v>
          </cell>
          <cell r="O144">
            <v>2.7225000000000001</v>
          </cell>
          <cell r="Q144">
            <v>3.109826300065353</v>
          </cell>
          <cell r="S144">
            <v>2.9889221297867961</v>
          </cell>
          <cell r="U144">
            <v>3.4464222339781103</v>
          </cell>
        </row>
        <row r="145">
          <cell r="D145">
            <v>39241</v>
          </cell>
          <cell r="E145" t="e">
            <v>#N/A</v>
          </cell>
          <cell r="H145">
            <v>39241</v>
          </cell>
          <cell r="I145">
            <v>64.760000000000005</v>
          </cell>
          <cell r="J145">
            <v>64.760000000000005</v>
          </cell>
          <cell r="L145">
            <v>2.6675</v>
          </cell>
          <cell r="M145">
            <v>1.9674500000000001</v>
          </cell>
          <cell r="N145">
            <v>5.2481728750000007</v>
          </cell>
          <cell r="O145">
            <v>2.6675</v>
          </cell>
          <cell r="Q145">
            <v>3.0984048174773595</v>
          </cell>
          <cell r="S145">
            <v>2.9564056587266818</v>
          </cell>
          <cell r="U145">
            <v>3.4112458926316411</v>
          </cell>
        </row>
        <row r="146">
          <cell r="D146">
            <v>39244</v>
          </cell>
          <cell r="E146" t="e">
            <v>#N/A</v>
          </cell>
          <cell r="H146">
            <v>39244</v>
          </cell>
          <cell r="I146">
            <v>65.97</v>
          </cell>
          <cell r="J146">
            <v>65.97</v>
          </cell>
          <cell r="L146">
            <v>2.7149999999999999</v>
          </cell>
          <cell r="M146">
            <v>1.9672500000000002</v>
          </cell>
          <cell r="N146">
            <v>5.3410837500000001</v>
          </cell>
          <cell r="O146">
            <v>2.7149999999999999</v>
          </cell>
          <cell r="Q146">
            <v>3.1122871347213148</v>
          </cell>
          <cell r="S146">
            <v>2.9938093218708945</v>
          </cell>
          <cell r="U146">
            <v>3.442407205740273</v>
          </cell>
        </row>
        <row r="147">
          <cell r="D147">
            <v>39245</v>
          </cell>
          <cell r="E147" t="e">
            <v>#N/A</v>
          </cell>
          <cell r="H147">
            <v>39245</v>
          </cell>
          <cell r="I147">
            <v>65.349999999999994</v>
          </cell>
          <cell r="J147">
            <v>65.349999999999994</v>
          </cell>
          <cell r="L147">
            <v>2.6825000000000001</v>
          </cell>
          <cell r="M147">
            <v>1.9734500000000001</v>
          </cell>
          <cell r="N147">
            <v>5.2937796250000009</v>
          </cell>
          <cell r="O147">
            <v>2.6825000000000001</v>
          </cell>
          <cell r="Q147">
            <v>3.0978431052189337</v>
          </cell>
          <cell r="S147">
            <v>2.9638857794620059</v>
          </cell>
          <cell r="U147">
            <v>3.4623351274320147</v>
          </cell>
        </row>
        <row r="148">
          <cell r="D148">
            <v>39246</v>
          </cell>
          <cell r="E148" t="e">
            <v>#N/A</v>
          </cell>
          <cell r="H148">
            <v>39246</v>
          </cell>
          <cell r="I148">
            <v>66.930000000000007</v>
          </cell>
          <cell r="J148">
            <v>66.930000000000007</v>
          </cell>
          <cell r="L148">
            <v>2.72</v>
          </cell>
          <cell r="M148">
            <v>1.9729500000000002</v>
          </cell>
          <cell r="N148">
            <v>5.3664240000000012</v>
          </cell>
          <cell r="O148">
            <v>2.72</v>
          </cell>
          <cell r="Q148">
            <v>3.1021763140696481</v>
          </cell>
          <cell r="S148">
            <v>2.9668936408689728</v>
          </cell>
          <cell r="U148">
            <v>3.5031831479857054</v>
          </cell>
        </row>
        <row r="149">
          <cell r="D149">
            <v>39247</v>
          </cell>
          <cell r="E149" t="e">
            <v>#N/A</v>
          </cell>
          <cell r="H149">
            <v>39247</v>
          </cell>
          <cell r="I149">
            <v>68.14</v>
          </cell>
          <cell r="J149">
            <v>68.14</v>
          </cell>
          <cell r="L149">
            <v>2.8050000000000002</v>
          </cell>
          <cell r="M149">
            <v>1.9694500000000001</v>
          </cell>
          <cell r="N149">
            <v>5.5243072500000006</v>
          </cell>
          <cell r="O149">
            <v>2.8050000000000002</v>
          </cell>
          <cell r="Q149">
            <v>3.1587487629539726</v>
          </cell>
          <cell r="S149">
            <v>3.0280092467874642</v>
          </cell>
          <cell r="U149">
            <v>3.5674997096293226</v>
          </cell>
        </row>
        <row r="150">
          <cell r="D150">
            <v>39248</v>
          </cell>
          <cell r="E150" t="e">
            <v>#N/A</v>
          </cell>
          <cell r="H150">
            <v>39248</v>
          </cell>
          <cell r="I150">
            <v>68.540000000000006</v>
          </cell>
          <cell r="J150">
            <v>68.540000000000006</v>
          </cell>
          <cell r="L150">
            <v>2.83</v>
          </cell>
          <cell r="M150">
            <v>1.9768500000000002</v>
          </cell>
          <cell r="N150">
            <v>5.5944855000000011</v>
          </cell>
          <cell r="O150">
            <v>2.83</v>
          </cell>
          <cell r="Q150">
            <v>3.2096773410512558</v>
          </cell>
          <cell r="S150">
            <v>3.0852935639588566</v>
          </cell>
          <cell r="U150">
            <v>3.5955939924426628</v>
          </cell>
        </row>
        <row r="151">
          <cell r="D151">
            <v>39251</v>
          </cell>
          <cell r="E151" t="e">
            <v>#N/A</v>
          </cell>
          <cell r="H151">
            <v>39251</v>
          </cell>
          <cell r="I151">
            <v>69.62</v>
          </cell>
          <cell r="J151">
            <v>69.62</v>
          </cell>
          <cell r="L151">
            <v>2.8375000000000004</v>
          </cell>
          <cell r="M151">
            <v>1.9809500000000002</v>
          </cell>
          <cell r="N151">
            <v>5.6209456250000009</v>
          </cell>
          <cell r="O151">
            <v>2.8374999999999999</v>
          </cell>
          <cell r="Q151">
            <v>3.1957415274017364</v>
          </cell>
          <cell r="S151">
            <v>3.0705213806207663</v>
          </cell>
          <cell r="U151">
            <v>3.5997218361468573</v>
          </cell>
        </row>
        <row r="152">
          <cell r="D152">
            <v>39252</v>
          </cell>
          <cell r="E152" t="e">
            <v>#N/A</v>
          </cell>
          <cell r="H152">
            <v>39252</v>
          </cell>
          <cell r="I152">
            <v>69.540000000000006</v>
          </cell>
          <cell r="J152">
            <v>69.540000000000006</v>
          </cell>
          <cell r="L152">
            <v>2.7800000000000002</v>
          </cell>
          <cell r="M152">
            <v>1.9874500000000002</v>
          </cell>
          <cell r="N152">
            <v>5.5251110000000008</v>
          </cell>
          <cell r="O152">
            <v>2.78</v>
          </cell>
          <cell r="Q152">
            <v>3.1608886191765477</v>
          </cell>
          <cell r="S152">
            <v>3.0361100458279764</v>
          </cell>
          <cell r="U152">
            <v>3.5801868548087641</v>
          </cell>
        </row>
        <row r="153">
          <cell r="D153">
            <v>39253</v>
          </cell>
          <cell r="E153" t="e">
            <v>#N/A</v>
          </cell>
          <cell r="H153">
            <v>39253</v>
          </cell>
          <cell r="I153">
            <v>68.86</v>
          </cell>
          <cell r="J153">
            <v>68.86</v>
          </cell>
          <cell r="L153">
            <v>2.7850000000000001</v>
          </cell>
          <cell r="M153">
            <v>1.9928500000000002</v>
          </cell>
          <cell r="N153">
            <v>5.5500872500000007</v>
          </cell>
          <cell r="O153">
            <v>2.7850000000000001</v>
          </cell>
          <cell r="Q153">
            <v>3.1556192232284563</v>
          </cell>
          <cell r="S153">
            <v>3.0425470866976467</v>
          </cell>
          <cell r="U153">
            <v>3.5882133250466461</v>
          </cell>
        </row>
        <row r="154">
          <cell r="D154">
            <v>39254</v>
          </cell>
          <cell r="E154" t="e">
            <v>#N/A</v>
          </cell>
          <cell r="H154">
            <v>39254</v>
          </cell>
          <cell r="I154">
            <v>68.650000000000006</v>
          </cell>
          <cell r="J154">
            <v>68.650000000000006</v>
          </cell>
          <cell r="L154">
            <v>2.7349999999999999</v>
          </cell>
          <cell r="M154">
            <v>1.9925500000000003</v>
          </cell>
          <cell r="N154">
            <v>5.4496242500000003</v>
          </cell>
          <cell r="O154">
            <v>2.7349999999999999</v>
          </cell>
          <cell r="Q154">
            <v>3.1073654654093925</v>
          </cell>
          <cell r="S154">
            <v>3.0114594248410267</v>
          </cell>
          <cell r="U154">
            <v>3.5568970216172939</v>
          </cell>
        </row>
        <row r="155">
          <cell r="D155">
            <v>39255</v>
          </cell>
          <cell r="E155" t="e">
            <v>#N/A</v>
          </cell>
          <cell r="H155">
            <v>39255</v>
          </cell>
          <cell r="I155">
            <v>69.14</v>
          </cell>
          <cell r="J155">
            <v>69.14</v>
          </cell>
          <cell r="L155">
            <v>2.71</v>
          </cell>
          <cell r="M155">
            <v>1.9957</v>
          </cell>
          <cell r="N155">
            <v>5.408347</v>
          </cell>
          <cell r="O155">
            <v>2.71</v>
          </cell>
          <cell r="Q155">
            <v>3.0998759686303803</v>
          </cell>
          <cell r="S155">
            <v>2.9941544828663798</v>
          </cell>
          <cell r="U155">
            <v>3.5473627701696722</v>
          </cell>
        </row>
        <row r="156">
          <cell r="D156">
            <v>39258</v>
          </cell>
          <cell r="E156" t="e">
            <v>#N/A</v>
          </cell>
          <cell r="H156">
            <v>39258</v>
          </cell>
          <cell r="I156">
            <v>69.180000000000007</v>
          </cell>
          <cell r="J156">
            <v>69.180000000000007</v>
          </cell>
          <cell r="L156">
            <v>2.7275</v>
          </cell>
          <cell r="M156">
            <v>1.9966000000000002</v>
          </cell>
          <cell r="N156">
            <v>5.4457265000000001</v>
          </cell>
          <cell r="O156">
            <v>2.7275</v>
          </cell>
          <cell r="Q156">
            <v>3.0967464289048645</v>
          </cell>
          <cell r="S156">
            <v>3.030449632363664</v>
          </cell>
          <cell r="U156">
            <v>3.5387638839288047</v>
          </cell>
        </row>
        <row r="157">
          <cell r="D157">
            <v>39259</v>
          </cell>
          <cell r="E157" t="e">
            <v>#N/A</v>
          </cell>
          <cell r="H157">
            <v>39259</v>
          </cell>
          <cell r="I157">
            <v>67.77</v>
          </cell>
          <cell r="J157">
            <v>67.77</v>
          </cell>
          <cell r="L157">
            <v>2.71</v>
          </cell>
          <cell r="M157">
            <v>1.9994500000000002</v>
          </cell>
          <cell r="N157">
            <v>5.4185095000000008</v>
          </cell>
          <cell r="O157">
            <v>2.71</v>
          </cell>
          <cell r="Q157">
            <v>3.0859669031836425</v>
          </cell>
          <cell r="S157">
            <v>3.0073440316559923</v>
          </cell>
          <cell r="U157">
            <v>3.4800257892183426</v>
          </cell>
        </row>
        <row r="158">
          <cell r="D158">
            <v>39260</v>
          </cell>
          <cell r="E158" t="e">
            <v>#N/A</v>
          </cell>
          <cell r="H158">
            <v>39260</v>
          </cell>
          <cell r="I158">
            <v>68.97</v>
          </cell>
          <cell r="J158">
            <v>68.97</v>
          </cell>
          <cell r="L158">
            <v>2.7</v>
          </cell>
          <cell r="M158">
            <v>1.9969500000000002</v>
          </cell>
          <cell r="N158">
            <v>5.3917650000000013</v>
          </cell>
          <cell r="O158">
            <v>2.7</v>
          </cell>
          <cell r="Q158">
            <v>3.0471285127439085</v>
          </cell>
          <cell r="S158">
            <v>2.9816910306515929</v>
          </cell>
          <cell r="U158">
            <v>3.4761033263019443</v>
          </cell>
        </row>
        <row r="159">
          <cell r="D159">
            <v>39261</v>
          </cell>
          <cell r="E159" t="e">
            <v>#N/A</v>
          </cell>
          <cell r="H159">
            <v>39261</v>
          </cell>
          <cell r="I159">
            <v>69.569999999999993</v>
          </cell>
          <cell r="J159">
            <v>69.569999999999993</v>
          </cell>
          <cell r="L159">
            <v>2.7275</v>
          </cell>
          <cell r="M159">
            <v>2.0025500000000003</v>
          </cell>
          <cell r="N159">
            <v>5.4619551250000011</v>
          </cell>
          <cell r="O159">
            <v>2.7275</v>
          </cell>
          <cell r="Q159">
            <v>3.0811789748856317</v>
          </cell>
          <cell r="S159">
            <v>3.0067186976408351</v>
          </cell>
          <cell r="U159">
            <v>3.4920832384904861</v>
          </cell>
        </row>
        <row r="160">
          <cell r="D160">
            <v>39262</v>
          </cell>
          <cell r="E160" t="e">
            <v>#N/A</v>
          </cell>
          <cell r="H160">
            <v>39262</v>
          </cell>
          <cell r="I160">
            <v>70.680000000000007</v>
          </cell>
          <cell r="J160">
            <v>70.680000000000007</v>
          </cell>
          <cell r="L160">
            <v>2.7275</v>
          </cell>
          <cell r="M160">
            <v>2.0063500000000003</v>
          </cell>
          <cell r="N160">
            <v>5.4723196250000008</v>
          </cell>
          <cell r="O160">
            <v>2.7275</v>
          </cell>
          <cell r="Q160">
            <v>3.0834258239193355</v>
          </cell>
          <cell r="S160">
            <v>3.0162096492362154</v>
          </cell>
          <cell r="U160">
            <v>3.5125221255243493</v>
          </cell>
        </row>
        <row r="161">
          <cell r="D161">
            <v>39265</v>
          </cell>
          <cell r="E161" t="e">
            <v>#N/A</v>
          </cell>
          <cell r="H161">
            <v>39265</v>
          </cell>
          <cell r="I161">
            <v>71.09</v>
          </cell>
          <cell r="J161">
            <v>71.09</v>
          </cell>
          <cell r="L161">
            <v>2.7149999999999999</v>
          </cell>
          <cell r="M161">
            <v>2.0136500000000002</v>
          </cell>
          <cell r="N161">
            <v>5.4670597499999998</v>
          </cell>
          <cell r="O161">
            <v>2.7149999999999999</v>
          </cell>
          <cell r="Q161">
            <v>3.0852179535057416</v>
          </cell>
          <cell r="S161">
            <v>3.0220042352214103</v>
          </cell>
          <cell r="U161">
            <v>3.502234779075363</v>
          </cell>
        </row>
        <row r="162">
          <cell r="D162">
            <v>39266</v>
          </cell>
          <cell r="E162" t="e">
            <v>#N/A</v>
          </cell>
          <cell r="H162">
            <v>39266</v>
          </cell>
          <cell r="I162">
            <v>71.41</v>
          </cell>
          <cell r="J162">
            <v>71.41</v>
          </cell>
          <cell r="L162">
            <v>2.74</v>
          </cell>
          <cell r="M162">
            <v>2.0164500000000003</v>
          </cell>
          <cell r="N162">
            <v>5.5250730000000017</v>
          </cell>
          <cell r="O162">
            <v>2.74</v>
          </cell>
          <cell r="Q162">
            <v>3.1422718700401457</v>
          </cell>
          <cell r="S162">
            <v>3.0670706958211786</v>
          </cell>
          <cell r="U162">
            <v>3.537215033568716</v>
          </cell>
        </row>
        <row r="163">
          <cell r="D163">
            <v>39268</v>
          </cell>
          <cell r="E163" t="e">
            <v>#N/A</v>
          </cell>
          <cell r="H163">
            <v>39268</v>
          </cell>
          <cell r="I163">
            <v>71.81</v>
          </cell>
          <cell r="J163">
            <v>71.81</v>
          </cell>
          <cell r="L163">
            <v>2.7225000000000001</v>
          </cell>
          <cell r="M163">
            <v>2.0104500000000001</v>
          </cell>
          <cell r="N163">
            <v>5.4734501250000003</v>
          </cell>
          <cell r="O163">
            <v>2.7225000000000001</v>
          </cell>
          <cell r="Q163">
            <v>3.1570368779759135</v>
          </cell>
          <cell r="S163">
            <v>3.1219708695526269</v>
          </cell>
          <cell r="U163">
            <v>3.5330965933753253</v>
          </cell>
        </row>
        <row r="164">
          <cell r="D164">
            <v>39269</v>
          </cell>
          <cell r="E164" t="e">
            <v>#N/A</v>
          </cell>
          <cell r="H164">
            <v>39269</v>
          </cell>
          <cell r="I164">
            <v>72.81</v>
          </cell>
          <cell r="J164">
            <v>72.81</v>
          </cell>
          <cell r="L164">
            <v>2.7275</v>
          </cell>
          <cell r="M164">
            <v>2.0130500000000002</v>
          </cell>
          <cell r="N164">
            <v>5.490593875000001</v>
          </cell>
          <cell r="O164">
            <v>2.7275</v>
          </cell>
          <cell r="Q164">
            <v>3.1742894687704233</v>
          </cell>
          <cell r="S164">
            <v>3.1292708934676314</v>
          </cell>
          <cell r="U164">
            <v>3.5477605856675543</v>
          </cell>
        </row>
        <row r="165">
          <cell r="D165">
            <v>39272</v>
          </cell>
          <cell r="E165" t="e">
            <v>#N/A</v>
          </cell>
          <cell r="H165">
            <v>39272</v>
          </cell>
          <cell r="I165">
            <v>72.19</v>
          </cell>
          <cell r="J165">
            <v>72.19</v>
          </cell>
          <cell r="L165">
            <v>2.71</v>
          </cell>
          <cell r="M165">
            <v>2.0149500000000002</v>
          </cell>
          <cell r="N165">
            <v>5.4605145000000004</v>
          </cell>
          <cell r="O165">
            <v>2.71</v>
          </cell>
          <cell r="Q165">
            <v>3.1722298571561947</v>
          </cell>
          <cell r="S165">
            <v>3.1711893584677084</v>
          </cell>
          <cell r="U165">
            <v>3.588044782574014</v>
          </cell>
        </row>
        <row r="166">
          <cell r="D166">
            <v>39273</v>
          </cell>
          <cell r="E166" t="e">
            <v>#N/A</v>
          </cell>
          <cell r="H166">
            <v>39273</v>
          </cell>
          <cell r="I166">
            <v>72.81</v>
          </cell>
          <cell r="J166">
            <v>72.81</v>
          </cell>
          <cell r="L166">
            <v>2.6875</v>
          </cell>
          <cell r="M166">
            <v>2.0239000000000003</v>
          </cell>
          <cell r="N166">
            <v>5.4392312500000006</v>
          </cell>
          <cell r="O166">
            <v>2.6875</v>
          </cell>
          <cell r="Q166">
            <v>3.1381258986089069</v>
          </cell>
          <cell r="S166">
            <v>3.12625981459697</v>
          </cell>
          <cell r="U166">
            <v>3.557092460203394</v>
          </cell>
        </row>
        <row r="167">
          <cell r="D167">
            <v>39274</v>
          </cell>
          <cell r="E167" t="e">
            <v>#N/A</v>
          </cell>
          <cell r="H167">
            <v>39274</v>
          </cell>
          <cell r="I167">
            <v>72.56</v>
          </cell>
          <cell r="J167">
            <v>72.56</v>
          </cell>
          <cell r="L167">
            <v>2.6</v>
          </cell>
          <cell r="M167">
            <v>2.0342500000000001</v>
          </cell>
          <cell r="N167">
            <v>5.2890500000000005</v>
          </cell>
          <cell r="O167">
            <v>2.6</v>
          </cell>
          <cell r="Q167">
            <v>3.1206593221921395</v>
          </cell>
          <cell r="S167">
            <v>3.1301167624253456</v>
          </cell>
          <cell r="U167">
            <v>3.5370423644500892</v>
          </cell>
        </row>
        <row r="168">
          <cell r="D168">
            <v>39275</v>
          </cell>
          <cell r="E168" t="e">
            <v>#N/A</v>
          </cell>
          <cell r="H168">
            <v>39275</v>
          </cell>
          <cell r="I168">
            <v>72.5</v>
          </cell>
          <cell r="J168">
            <v>72.5</v>
          </cell>
          <cell r="L168">
            <v>2.6550000000000002</v>
          </cell>
          <cell r="M168">
            <v>2.0287999999999999</v>
          </cell>
          <cell r="N168">
            <v>5.3864640000000001</v>
          </cell>
          <cell r="O168">
            <v>2.6549999999999998</v>
          </cell>
          <cell r="Q168">
            <v>3.158695266548408</v>
          </cell>
          <cell r="S168">
            <v>3.1786021713972317</v>
          </cell>
          <cell r="U168">
            <v>3.6174325487556533</v>
          </cell>
        </row>
        <row r="169">
          <cell r="D169">
            <v>39276</v>
          </cell>
          <cell r="E169" t="e">
            <v>#N/A</v>
          </cell>
          <cell r="H169">
            <v>39276</v>
          </cell>
          <cell r="I169">
            <v>74.13</v>
          </cell>
          <cell r="J169">
            <v>74.13</v>
          </cell>
          <cell r="L169">
            <v>2.6375000000000002</v>
          </cell>
          <cell r="M169">
            <v>2.0326500000000003</v>
          </cell>
          <cell r="N169">
            <v>5.3611143750000014</v>
          </cell>
          <cell r="O169">
            <v>2.6375000000000002</v>
          </cell>
          <cell r="Q169">
            <v>3.1891614695173187</v>
          </cell>
          <cell r="S169">
            <v>3.1867616576377533</v>
          </cell>
          <cell r="U169">
            <v>3.6166693298076602</v>
          </cell>
        </row>
        <row r="170">
          <cell r="D170">
            <v>39279</v>
          </cell>
          <cell r="E170" t="e">
            <v>#N/A</v>
          </cell>
          <cell r="H170">
            <v>39279</v>
          </cell>
          <cell r="I170">
            <v>74.23</v>
          </cell>
          <cell r="J170">
            <v>74.23</v>
          </cell>
          <cell r="L170">
            <v>2.64</v>
          </cell>
          <cell r="M170">
            <v>2.0362500000000003</v>
          </cell>
          <cell r="N170">
            <v>5.375700000000001</v>
          </cell>
          <cell r="O170">
            <v>2.64</v>
          </cell>
          <cell r="Q170">
            <v>3.1876635701615168</v>
          </cell>
          <cell r="S170">
            <v>3.1801984052720229</v>
          </cell>
          <cell r="U170">
            <v>3.5990151847149008</v>
          </cell>
        </row>
        <row r="171">
          <cell r="D171">
            <v>39280</v>
          </cell>
          <cell r="E171" t="e">
            <v>#N/A</v>
          </cell>
          <cell r="H171">
            <v>39280</v>
          </cell>
          <cell r="I171">
            <v>74.11</v>
          </cell>
          <cell r="J171">
            <v>74.11</v>
          </cell>
          <cell r="L171">
            <v>2.6074999999999999</v>
          </cell>
          <cell r="M171">
            <v>2.0445500000000001</v>
          </cell>
          <cell r="N171">
            <v>5.3311641249999999</v>
          </cell>
          <cell r="O171">
            <v>2.6074999999999999</v>
          </cell>
          <cell r="Q171">
            <v>3.1565554103258338</v>
          </cell>
          <cell r="S171">
            <v>3.1643374296706419</v>
          </cell>
          <cell r="U171">
            <v>3.546625439503178</v>
          </cell>
        </row>
        <row r="172">
          <cell r="D172">
            <v>39281</v>
          </cell>
          <cell r="E172" t="e">
            <v>#N/A</v>
          </cell>
          <cell r="H172">
            <v>39281</v>
          </cell>
          <cell r="I172">
            <v>75.3</v>
          </cell>
          <cell r="J172">
            <v>75.3</v>
          </cell>
          <cell r="L172">
            <v>2.5874999999999999</v>
          </cell>
          <cell r="M172">
            <v>2.0524500000000003</v>
          </cell>
          <cell r="N172">
            <v>5.3107143750000008</v>
          </cell>
          <cell r="O172">
            <v>2.5874999999999999</v>
          </cell>
          <cell r="Q172">
            <v>3.1364942582391935</v>
          </cell>
          <cell r="S172">
            <v>3.1494580804738841</v>
          </cell>
          <cell r="U172">
            <v>3.485992132645801</v>
          </cell>
        </row>
        <row r="173">
          <cell r="D173">
            <v>39282</v>
          </cell>
          <cell r="E173" t="e">
            <v>#N/A</v>
          </cell>
          <cell r="H173">
            <v>39282</v>
          </cell>
          <cell r="I173">
            <v>76.069999999999993</v>
          </cell>
          <cell r="J173">
            <v>76.069999999999993</v>
          </cell>
          <cell r="L173">
            <v>2.6</v>
          </cell>
          <cell r="M173">
            <v>2.0498500000000002</v>
          </cell>
          <cell r="N173">
            <v>5.3296100000000006</v>
          </cell>
          <cell r="O173">
            <v>2.6</v>
          </cell>
          <cell r="Q173">
            <v>3.1777399869293248</v>
          </cell>
          <cell r="S173">
            <v>3.1697279065488404</v>
          </cell>
          <cell r="U173">
            <v>3.5297079431601639</v>
          </cell>
        </row>
        <row r="174">
          <cell r="D174">
            <v>39283</v>
          </cell>
          <cell r="E174" t="e">
            <v>#N/A</v>
          </cell>
          <cell r="H174">
            <v>39283</v>
          </cell>
          <cell r="I174">
            <v>75.790000000000006</v>
          </cell>
          <cell r="J174">
            <v>75.790000000000006</v>
          </cell>
          <cell r="L174">
            <v>2.5750000000000002</v>
          </cell>
          <cell r="M174">
            <v>2.05525</v>
          </cell>
          <cell r="N174">
            <v>5.2922687500000007</v>
          </cell>
          <cell r="O174">
            <v>2.5750000000000002</v>
          </cell>
          <cell r="Q174">
            <v>3.161477079637756</v>
          </cell>
          <cell r="S174">
            <v>3.1564983319768896</v>
          </cell>
          <cell r="U174">
            <v>3.5173409117494412</v>
          </cell>
        </row>
        <row r="175">
          <cell r="D175">
            <v>39286</v>
          </cell>
          <cell r="E175" t="e">
            <v>#N/A</v>
          </cell>
          <cell r="H175">
            <v>39286</v>
          </cell>
          <cell r="I175">
            <v>74.89</v>
          </cell>
          <cell r="J175">
            <v>74.89</v>
          </cell>
          <cell r="L175">
            <v>2.5625</v>
          </cell>
          <cell r="M175">
            <v>2.0580500000000002</v>
          </cell>
          <cell r="N175">
            <v>5.2737531250000007</v>
          </cell>
          <cell r="O175">
            <v>2.5625</v>
          </cell>
          <cell r="Q175">
            <v>3.151526748202782</v>
          </cell>
          <cell r="S175">
            <v>3.1625336891072529</v>
          </cell>
          <cell r="U175">
            <v>3.4970721240165754</v>
          </cell>
        </row>
        <row r="176">
          <cell r="D176">
            <v>39287</v>
          </cell>
          <cell r="E176" t="e">
            <v>#N/A</v>
          </cell>
          <cell r="H176">
            <v>39287</v>
          </cell>
          <cell r="I176">
            <v>73.56</v>
          </cell>
          <cell r="J176">
            <v>73.56</v>
          </cell>
          <cell r="L176">
            <v>2.52</v>
          </cell>
          <cell r="M176">
            <v>2.0613999999999999</v>
          </cell>
          <cell r="N176">
            <v>5.1947279999999996</v>
          </cell>
          <cell r="O176">
            <v>2.52</v>
          </cell>
          <cell r="Q176">
            <v>3.0985118102884881</v>
          </cell>
          <cell r="S176">
            <v>3.1059312916050521</v>
          </cell>
          <cell r="U176">
            <v>3.4586724999548641</v>
          </cell>
        </row>
        <row r="177">
          <cell r="D177">
            <v>39288</v>
          </cell>
          <cell r="E177" t="e">
            <v>#N/A</v>
          </cell>
          <cell r="H177">
            <v>39288</v>
          </cell>
          <cell r="I177">
            <v>75.88</v>
          </cell>
          <cell r="J177">
            <v>75.88</v>
          </cell>
          <cell r="L177">
            <v>2.4575</v>
          </cell>
          <cell r="M177">
            <v>2.04955</v>
          </cell>
          <cell r="N177">
            <v>5.0367691250000002</v>
          </cell>
          <cell r="O177">
            <v>2.4575</v>
          </cell>
          <cell r="Q177">
            <v>3.0535480814116336</v>
          </cell>
          <cell r="S177">
            <v>3.0849748066609699</v>
          </cell>
          <cell r="U177">
            <v>3.4452992824356237</v>
          </cell>
        </row>
        <row r="178">
          <cell r="D178">
            <v>39289</v>
          </cell>
          <cell r="E178" t="e">
            <v>#N/A</v>
          </cell>
          <cell r="H178">
            <v>39289</v>
          </cell>
          <cell r="I178">
            <v>74.95</v>
          </cell>
          <cell r="J178">
            <v>74.95</v>
          </cell>
          <cell r="L178">
            <v>2.3650000000000002</v>
          </cell>
          <cell r="M178">
            <v>2.0463500000000003</v>
          </cell>
          <cell r="N178">
            <v>4.8396177500000013</v>
          </cell>
          <cell r="O178">
            <v>2.3650000000000002</v>
          </cell>
          <cell r="Q178">
            <v>2.9512362057697699</v>
          </cell>
          <cell r="S178">
            <v>2.9912171162109593</v>
          </cell>
          <cell r="U178">
            <v>3.3102270034028392</v>
          </cell>
        </row>
        <row r="179">
          <cell r="D179">
            <v>39290</v>
          </cell>
          <cell r="E179" t="e">
            <v>#N/A</v>
          </cell>
          <cell r="H179">
            <v>39290</v>
          </cell>
          <cell r="I179">
            <v>77.02</v>
          </cell>
          <cell r="J179">
            <v>77.02</v>
          </cell>
          <cell r="L179">
            <v>2.4025000000000003</v>
          </cell>
          <cell r="M179">
            <v>2.0307500000000003</v>
          </cell>
          <cell r="N179">
            <v>4.8788768750000013</v>
          </cell>
          <cell r="O179">
            <v>2.4024999999999999</v>
          </cell>
          <cell r="Q179">
            <v>2.9381563346092801</v>
          </cell>
          <cell r="S179">
            <v>2.9736396459893619</v>
          </cell>
          <cell r="U179">
            <v>3.3620963104066584</v>
          </cell>
        </row>
        <row r="180">
          <cell r="D180">
            <v>39293</v>
          </cell>
          <cell r="E180" t="e">
            <v>#N/A</v>
          </cell>
          <cell r="H180">
            <v>39293</v>
          </cell>
          <cell r="I180">
            <v>76.83</v>
          </cell>
          <cell r="J180">
            <v>76.83</v>
          </cell>
          <cell r="L180">
            <v>2.41</v>
          </cell>
          <cell r="M180">
            <v>2.0242500000000003</v>
          </cell>
          <cell r="N180">
            <v>4.8784425000000011</v>
          </cell>
          <cell r="O180">
            <v>2.41</v>
          </cell>
          <cell r="Q180">
            <v>2.9614807674353467</v>
          </cell>
          <cell r="S180">
            <v>2.9778033922432905</v>
          </cell>
          <cell r="U180">
            <v>3.3667800436085855</v>
          </cell>
        </row>
        <row r="181">
          <cell r="D181">
            <v>39294</v>
          </cell>
          <cell r="E181" t="e">
            <v>#N/A</v>
          </cell>
          <cell r="H181">
            <v>39294</v>
          </cell>
          <cell r="I181">
            <v>78.209999999999994</v>
          </cell>
          <cell r="J181">
            <v>78.209999999999994</v>
          </cell>
          <cell r="L181">
            <v>2.4649999999999999</v>
          </cell>
          <cell r="M181">
            <v>2.0320500000000004</v>
          </cell>
          <cell r="N181">
            <v>5.009003250000001</v>
          </cell>
          <cell r="O181">
            <v>2.4649999999999999</v>
          </cell>
          <cell r="Q181">
            <v>3.0325774904303984</v>
          </cell>
          <cell r="S181">
            <v>3.0746595204378995</v>
          </cell>
          <cell r="U181">
            <v>3.3926158980641539</v>
          </cell>
        </row>
        <row r="182">
          <cell r="D182">
            <v>39295</v>
          </cell>
          <cell r="E182" t="e">
            <v>#N/A</v>
          </cell>
          <cell r="H182">
            <v>39295</v>
          </cell>
          <cell r="I182">
            <v>76.53</v>
          </cell>
          <cell r="J182">
            <v>76.53</v>
          </cell>
          <cell r="L182">
            <v>2.4075000000000002</v>
          </cell>
          <cell r="M182">
            <v>2.0292500000000002</v>
          </cell>
          <cell r="N182">
            <v>4.8854193750000006</v>
          </cell>
          <cell r="O182">
            <v>2.4075000000000002</v>
          </cell>
          <cell r="Q182">
            <v>2.9928296610960698</v>
          </cell>
          <cell r="S182">
            <v>3.0297477046907137</v>
          </cell>
          <cell r="U182">
            <v>3.3807360993862763</v>
          </cell>
        </row>
        <row r="183">
          <cell r="D183">
            <v>39296</v>
          </cell>
          <cell r="E183" t="e">
            <v>#N/A</v>
          </cell>
          <cell r="H183">
            <v>39296</v>
          </cell>
          <cell r="I183">
            <v>76.86</v>
          </cell>
          <cell r="J183">
            <v>76.86</v>
          </cell>
          <cell r="L183">
            <v>2.4250000000000003</v>
          </cell>
          <cell r="M183">
            <v>2.0326500000000003</v>
          </cell>
          <cell r="N183">
            <v>4.9291762500000011</v>
          </cell>
          <cell r="O183">
            <v>2.4249999999999998</v>
          </cell>
          <cell r="Q183">
            <v>3.0046256185230136</v>
          </cell>
          <cell r="S183">
            <v>3.073759606578907</v>
          </cell>
          <cell r="U183">
            <v>3.4157588859708663</v>
          </cell>
        </row>
        <row r="184">
          <cell r="D184">
            <v>39297</v>
          </cell>
          <cell r="E184" t="e">
            <v>#N/A</v>
          </cell>
          <cell r="H184">
            <v>39297</v>
          </cell>
          <cell r="I184">
            <v>75.48</v>
          </cell>
          <cell r="J184">
            <v>75.48</v>
          </cell>
          <cell r="L184">
            <v>2.415</v>
          </cell>
          <cell r="M184">
            <v>2.0389500000000003</v>
          </cell>
          <cell r="N184">
            <v>4.9240642500000007</v>
          </cell>
          <cell r="O184">
            <v>2.415</v>
          </cell>
          <cell r="Q184">
            <v>2.9920004668098215</v>
          </cell>
          <cell r="S184">
            <v>3.0470184950609429</v>
          </cell>
          <cell r="U184">
            <v>3.3958125580635565</v>
          </cell>
        </row>
        <row r="185">
          <cell r="D185">
            <v>39300</v>
          </cell>
          <cell r="E185" t="e">
            <v>#N/A</v>
          </cell>
          <cell r="H185">
            <v>39300</v>
          </cell>
          <cell r="I185">
            <v>72.06</v>
          </cell>
          <cell r="J185">
            <v>72.06</v>
          </cell>
          <cell r="L185">
            <v>2.395</v>
          </cell>
          <cell r="M185">
            <v>2.0312999999999999</v>
          </cell>
          <cell r="N185">
            <v>4.8649635</v>
          </cell>
          <cell r="O185">
            <v>2.395</v>
          </cell>
          <cell r="Q185">
            <v>2.9419813276071327</v>
          </cell>
          <cell r="S185">
            <v>3.0028649279370514</v>
          </cell>
          <cell r="U185">
            <v>3.3581327845229323</v>
          </cell>
        </row>
        <row r="186">
          <cell r="D186">
            <v>39301</v>
          </cell>
          <cell r="E186" t="e">
            <v>#N/A</v>
          </cell>
          <cell r="H186">
            <v>39301</v>
          </cell>
          <cell r="I186">
            <v>72.42</v>
          </cell>
          <cell r="J186">
            <v>72.42</v>
          </cell>
          <cell r="L186">
            <v>2.4300000000000002</v>
          </cell>
          <cell r="M186">
            <v>2.02115</v>
          </cell>
          <cell r="N186">
            <v>4.9113945000000001</v>
          </cell>
          <cell r="O186">
            <v>2.4300000000000002</v>
          </cell>
          <cell r="Q186">
            <v>3.0052140789842219</v>
          </cell>
          <cell r="S186">
            <v>3.0268497711585498</v>
          </cell>
          <cell r="U186">
            <v>3.3963800263506645</v>
          </cell>
        </row>
        <row r="187">
          <cell r="D187">
            <v>39302</v>
          </cell>
          <cell r="E187" t="e">
            <v>#N/A</v>
          </cell>
          <cell r="H187">
            <v>39302</v>
          </cell>
          <cell r="I187">
            <v>72.150000000000006</v>
          </cell>
          <cell r="J187">
            <v>72.150000000000006</v>
          </cell>
          <cell r="L187">
            <v>2.4425000000000003</v>
          </cell>
          <cell r="M187">
            <v>2.0386000000000002</v>
          </cell>
          <cell r="N187">
            <v>4.9792805000000016</v>
          </cell>
          <cell r="O187">
            <v>2.4424999999999999</v>
          </cell>
          <cell r="Q187">
            <v>3.0640066286994676</v>
          </cell>
          <cell r="S187">
            <v>3.0735636669931869</v>
          </cell>
          <cell r="U187">
            <v>3.3915699085790116</v>
          </cell>
        </row>
        <row r="188">
          <cell r="D188">
            <v>39303</v>
          </cell>
          <cell r="E188" t="e">
            <v>#N/A</v>
          </cell>
          <cell r="H188">
            <v>39303</v>
          </cell>
          <cell r="I188">
            <v>71.59</v>
          </cell>
          <cell r="J188">
            <v>71.59</v>
          </cell>
          <cell r="L188">
            <v>2.3850000000000002</v>
          </cell>
          <cell r="M188">
            <v>2.0297500000000004</v>
          </cell>
          <cell r="N188">
            <v>4.8409537500000015</v>
          </cell>
          <cell r="O188">
            <v>2.3849999999999998</v>
          </cell>
          <cell r="Q188">
            <v>2.9990352441415364</v>
          </cell>
          <cell r="S188">
            <v>2.9962004358791585</v>
          </cell>
          <cell r="U188">
            <v>3.3308458052116801</v>
          </cell>
        </row>
        <row r="189">
          <cell r="D189">
            <v>39304</v>
          </cell>
          <cell r="E189" t="e">
            <v>#N/A</v>
          </cell>
          <cell r="H189">
            <v>39304</v>
          </cell>
          <cell r="I189">
            <v>71.47</v>
          </cell>
          <cell r="J189">
            <v>71.47</v>
          </cell>
          <cell r="L189">
            <v>2.3199999999999998</v>
          </cell>
          <cell r="M189">
            <v>2.0197000000000003</v>
          </cell>
          <cell r="N189">
            <v>4.6857040000000003</v>
          </cell>
          <cell r="O189">
            <v>2.3199999999999998</v>
          </cell>
          <cell r="Q189">
            <v>2.9127455419662027</v>
          </cell>
          <cell r="S189">
            <v>2.9289506236063505</v>
          </cell>
          <cell r="U189">
            <v>3.2623269882925148</v>
          </cell>
        </row>
        <row r="190">
          <cell r="D190">
            <v>39307</v>
          </cell>
          <cell r="E190" t="e">
            <v>#N/A</v>
          </cell>
          <cell r="H190">
            <v>39307</v>
          </cell>
          <cell r="I190">
            <v>71.62</v>
          </cell>
          <cell r="J190">
            <v>71.62</v>
          </cell>
          <cell r="L190">
            <v>2.3650000000000002</v>
          </cell>
          <cell r="M190">
            <v>2.0117000000000003</v>
          </cell>
          <cell r="N190">
            <v>4.7576705000000015</v>
          </cell>
          <cell r="O190">
            <v>2.3650000000000002</v>
          </cell>
          <cell r="Q190">
            <v>2.9872125385118102</v>
          </cell>
          <cell r="S190">
            <v>2.9967769499376224</v>
          </cell>
          <cell r="U190">
            <v>3.3419928225873412</v>
          </cell>
        </row>
        <row r="191">
          <cell r="D191">
            <v>39308</v>
          </cell>
          <cell r="E191" t="e">
            <v>#N/A</v>
          </cell>
          <cell r="H191">
            <v>39308</v>
          </cell>
          <cell r="I191">
            <v>72.02</v>
          </cell>
          <cell r="J191">
            <v>72.02</v>
          </cell>
          <cell r="L191">
            <v>2.3525</v>
          </cell>
          <cell r="M191">
            <v>1.9999500000000001</v>
          </cell>
          <cell r="N191">
            <v>4.7048823750000004</v>
          </cell>
          <cell r="O191">
            <v>2.3525</v>
          </cell>
          <cell r="Q191">
            <v>2.9419278312015682</v>
          </cell>
          <cell r="S191">
            <v>2.9885049357955706</v>
          </cell>
          <cell r="U191">
            <v>3.3171818454638879</v>
          </cell>
        </row>
        <row r="192">
          <cell r="D192">
            <v>39309</v>
          </cell>
          <cell r="E192" t="e">
            <v>#N/A</v>
          </cell>
          <cell r="H192">
            <v>39309</v>
          </cell>
          <cell r="I192">
            <v>73.209999999999994</v>
          </cell>
          <cell r="J192">
            <v>73.209999999999994</v>
          </cell>
          <cell r="L192">
            <v>2.3425000000000002</v>
          </cell>
          <cell r="M192">
            <v>1.9909500000000002</v>
          </cell>
          <cell r="N192">
            <v>4.663800375000001</v>
          </cell>
          <cell r="O192">
            <v>2.3424999999999998</v>
          </cell>
          <cell r="Q192">
            <v>2.9127187937634211</v>
          </cell>
          <cell r="S192">
            <v>2.9467513553480011</v>
          </cell>
          <cell r="U192">
            <v>3.2665176707237471</v>
          </cell>
        </row>
        <row r="193">
          <cell r="D193">
            <v>39310</v>
          </cell>
          <cell r="E193" t="e">
            <v>#N/A</v>
          </cell>
          <cell r="H193">
            <v>39310</v>
          </cell>
          <cell r="I193">
            <v>70.87</v>
          </cell>
          <cell r="J193">
            <v>70.87</v>
          </cell>
          <cell r="L193">
            <v>2.2200000000000002</v>
          </cell>
          <cell r="M193">
            <v>1.9813000000000001</v>
          </cell>
          <cell r="N193">
            <v>4.3984860000000001</v>
          </cell>
          <cell r="O193">
            <v>2.2200000000000002</v>
          </cell>
          <cell r="Q193">
            <v>2.7985574642890487</v>
          </cell>
          <cell r="S193">
            <v>2.8091661998097273</v>
          </cell>
          <cell r="U193">
            <v>3.1255762330667176</v>
          </cell>
        </row>
        <row r="194">
          <cell r="D194">
            <v>39311</v>
          </cell>
          <cell r="E194" t="e">
            <v>#N/A</v>
          </cell>
          <cell r="H194">
            <v>39311</v>
          </cell>
          <cell r="I194">
            <v>71.819999999999993</v>
          </cell>
          <cell r="J194">
            <v>71.819999999999993</v>
          </cell>
          <cell r="L194">
            <v>2.2650000000000001</v>
          </cell>
          <cell r="M194">
            <v>1.9866500000000002</v>
          </cell>
          <cell r="N194">
            <v>4.4997622500000007</v>
          </cell>
          <cell r="O194">
            <v>2.2650000000000001</v>
          </cell>
          <cell r="Q194">
            <v>2.858366445710018</v>
          </cell>
          <cell r="S194">
            <v>2.8406892991399335</v>
          </cell>
          <cell r="U194">
            <v>3.1473510373569251</v>
          </cell>
        </row>
        <row r="195">
          <cell r="D195">
            <v>39314</v>
          </cell>
          <cell r="E195" t="e">
            <v>#N/A</v>
          </cell>
          <cell r="H195">
            <v>39314</v>
          </cell>
          <cell r="I195">
            <v>70.959999999999994</v>
          </cell>
          <cell r="J195">
            <v>70.959999999999994</v>
          </cell>
          <cell r="L195">
            <v>2.2749999999999999</v>
          </cell>
          <cell r="M195">
            <v>1.9857</v>
          </cell>
          <cell r="N195">
            <v>4.5174674999999995</v>
          </cell>
          <cell r="O195">
            <v>2.2749999999999999</v>
          </cell>
          <cell r="Q195">
            <v>2.8630741293996831</v>
          </cell>
          <cell r="S195">
            <v>2.8756665242758253</v>
          </cell>
          <cell r="U195">
            <v>3.1973247707000025</v>
          </cell>
        </row>
        <row r="196">
          <cell r="D196">
            <v>39315</v>
          </cell>
          <cell r="E196" t="e">
            <v>#N/A</v>
          </cell>
          <cell r="H196">
            <v>39315</v>
          </cell>
          <cell r="I196">
            <v>69.569999999999993</v>
          </cell>
          <cell r="J196">
            <v>69.569999999999993</v>
          </cell>
          <cell r="L196">
            <v>2.25</v>
          </cell>
          <cell r="M196">
            <v>1.9833000000000001</v>
          </cell>
          <cell r="N196">
            <v>4.4624250000000005</v>
          </cell>
          <cell r="O196">
            <v>2.25</v>
          </cell>
          <cell r="Q196">
            <v>2.8458215386051724</v>
          </cell>
          <cell r="S196">
            <v>2.8896489313166001</v>
          </cell>
          <cell r="U196">
            <v>3.2027700197188471</v>
          </cell>
        </row>
        <row r="197">
          <cell r="D197">
            <v>39316</v>
          </cell>
          <cell r="E197" t="e">
            <v>#N/A</v>
          </cell>
          <cell r="H197">
            <v>39316</v>
          </cell>
          <cell r="I197">
            <v>69.260000000000005</v>
          </cell>
          <cell r="J197">
            <v>69.260000000000005</v>
          </cell>
          <cell r="L197">
            <v>2.3199999999999998</v>
          </cell>
          <cell r="M197">
            <v>1.9912500000000002</v>
          </cell>
          <cell r="N197">
            <v>4.6196999999999999</v>
          </cell>
          <cell r="O197">
            <v>2.3199999999999998</v>
          </cell>
          <cell r="Q197">
            <v>2.9184161609560264</v>
          </cell>
          <cell r="S197">
            <v>3.0037179318624281</v>
          </cell>
          <cell r="U197">
            <v>3.2981152572846684</v>
          </cell>
        </row>
        <row r="198">
          <cell r="D198">
            <v>39317</v>
          </cell>
          <cell r="E198" t="e">
            <v>#N/A</v>
          </cell>
          <cell r="H198">
            <v>39317</v>
          </cell>
          <cell r="I198">
            <v>69.83</v>
          </cell>
          <cell r="J198">
            <v>69.83</v>
          </cell>
          <cell r="L198">
            <v>2.3075000000000001</v>
          </cell>
          <cell r="M198">
            <v>2.0057500000000004</v>
          </cell>
          <cell r="N198">
            <v>4.6282681250000008</v>
          </cell>
          <cell r="O198">
            <v>2.3075000000000001</v>
          </cell>
          <cell r="Q198">
            <v>2.9277780319297921</v>
          </cell>
          <cell r="S198">
            <v>2.998869186083192</v>
          </cell>
          <cell r="U198">
            <v>3.2910094785401509</v>
          </cell>
        </row>
        <row r="199">
          <cell r="D199">
            <v>39318</v>
          </cell>
          <cell r="E199" t="e">
            <v>#N/A</v>
          </cell>
          <cell r="H199">
            <v>39318</v>
          </cell>
          <cell r="I199">
            <v>71.09</v>
          </cell>
          <cell r="J199">
            <v>71.09</v>
          </cell>
          <cell r="L199">
            <v>2.34</v>
          </cell>
          <cell r="M199">
            <v>2.0096000000000003</v>
          </cell>
          <cell r="N199">
            <v>4.702464</v>
          </cell>
          <cell r="O199">
            <v>2.34</v>
          </cell>
          <cell r="Q199">
            <v>2.9341441041919523</v>
          </cell>
          <cell r="S199">
            <v>2.9946611081606607</v>
          </cell>
          <cell r="U199">
            <v>3.3074487751544619</v>
          </cell>
        </row>
        <row r="200">
          <cell r="D200">
            <v>39321</v>
          </cell>
          <cell r="E200" t="e">
            <v>#N/A</v>
          </cell>
          <cell r="H200">
            <v>39321</v>
          </cell>
          <cell r="I200">
            <v>71.97</v>
          </cell>
          <cell r="J200">
            <v>71.97</v>
          </cell>
          <cell r="L200">
            <v>2.34</v>
          </cell>
          <cell r="M200">
            <v>2.0144000000000002</v>
          </cell>
          <cell r="N200">
            <v>4.7136960000000006</v>
          </cell>
          <cell r="O200">
            <v>2.34</v>
          </cell>
          <cell r="Q200">
            <v>2.9341441041919523</v>
          </cell>
          <cell r="S200">
            <v>3.0107387332823277</v>
          </cell>
          <cell r="U200">
            <v>3.3159567027657073</v>
          </cell>
        </row>
        <row r="201">
          <cell r="D201">
            <v>39322</v>
          </cell>
          <cell r="E201" t="e">
            <v>#N/A</v>
          </cell>
          <cell r="H201">
            <v>39322</v>
          </cell>
          <cell r="I201">
            <v>71.73</v>
          </cell>
          <cell r="J201">
            <v>71.73</v>
          </cell>
          <cell r="L201">
            <v>2.29</v>
          </cell>
          <cell r="M201">
            <v>2.0096500000000002</v>
          </cell>
          <cell r="N201">
            <v>4.6020985000000003</v>
          </cell>
          <cell r="O201">
            <v>2.29</v>
          </cell>
          <cell r="Q201">
            <v>2.8871475119036507</v>
          </cell>
          <cell r="S201">
            <v>2.9697446796153253</v>
          </cell>
          <cell r="U201">
            <v>3.2756796019587813</v>
          </cell>
        </row>
        <row r="202">
          <cell r="D202">
            <v>39323</v>
          </cell>
          <cell r="E202" t="e">
            <v>#N/A</v>
          </cell>
          <cell r="H202">
            <v>39323</v>
          </cell>
          <cell r="I202">
            <v>73.510000000000005</v>
          </cell>
          <cell r="J202">
            <v>73.510000000000005</v>
          </cell>
          <cell r="L202">
            <v>2.3075000000000001</v>
          </cell>
          <cell r="M202">
            <v>2.0142000000000002</v>
          </cell>
          <cell r="N202">
            <v>4.6477665000000004</v>
          </cell>
          <cell r="O202">
            <v>2.3075000000000001</v>
          </cell>
          <cell r="Q202">
            <v>2.9133874988329764</v>
          </cell>
          <cell r="S202">
            <v>2.9933426248887893</v>
          </cell>
          <cell r="U202">
            <v>3.2747709448315101</v>
          </cell>
        </row>
        <row r="203">
          <cell r="D203">
            <v>39324</v>
          </cell>
          <cell r="E203" t="e">
            <v>#N/A</v>
          </cell>
          <cell r="H203">
            <v>39324</v>
          </cell>
          <cell r="I203">
            <v>73.36</v>
          </cell>
          <cell r="J203">
            <v>73.36</v>
          </cell>
          <cell r="L203">
            <v>2.3675000000000002</v>
          </cell>
          <cell r="M203">
            <v>2.0153000000000003</v>
          </cell>
          <cell r="N203">
            <v>4.7712227500000006</v>
          </cell>
          <cell r="O203">
            <v>2.3675000000000002</v>
          </cell>
          <cell r="Q203">
            <v>2.9689167678087949</v>
          </cell>
          <cell r="S203">
            <v>3.0447989195703773</v>
          </cell>
          <cell r="U203">
            <v>3.3218091374615066</v>
          </cell>
        </row>
        <row r="204">
          <cell r="D204">
            <v>39325</v>
          </cell>
          <cell r="E204" t="e">
            <v>#N/A</v>
          </cell>
          <cell r="H204">
            <v>39325</v>
          </cell>
          <cell r="I204">
            <v>74.040000000000006</v>
          </cell>
          <cell r="J204">
            <v>74.040000000000006</v>
          </cell>
          <cell r="L204">
            <v>2.41</v>
          </cell>
          <cell r="M204">
            <v>2.0170500000000002</v>
          </cell>
          <cell r="N204">
            <v>4.8610905000000004</v>
          </cell>
          <cell r="O204">
            <v>2.41</v>
          </cell>
          <cell r="Q204">
            <v>3.02500774904304</v>
          </cell>
          <cell r="S204">
            <v>3.0818588169529151</v>
          </cell>
          <cell r="U204">
            <v>3.3580525097372913</v>
          </cell>
        </row>
        <row r="205">
          <cell r="D205">
            <v>39329</v>
          </cell>
          <cell r="E205" t="e">
            <v>#N/A</v>
          </cell>
          <cell r="H205">
            <v>39329</v>
          </cell>
          <cell r="I205">
            <v>75.08</v>
          </cell>
          <cell r="J205">
            <v>75.08</v>
          </cell>
          <cell r="L205">
            <v>2.5500000000000003</v>
          </cell>
          <cell r="M205">
            <v>2.0101500000000003</v>
          </cell>
          <cell r="N205">
            <v>5.1258825000000012</v>
          </cell>
          <cell r="O205">
            <v>2.5499999999999998</v>
          </cell>
          <cell r="Q205">
            <v>3.0789321258519275</v>
          </cell>
          <cell r="S205">
            <v>3.1228813127397785</v>
          </cell>
          <cell r="U205">
            <v>3.3561571963218166</v>
          </cell>
        </row>
        <row r="206">
          <cell r="D206">
            <v>39330</v>
          </cell>
          <cell r="E206" t="e">
            <v>#N/A</v>
          </cell>
          <cell r="H206">
            <v>39330</v>
          </cell>
          <cell r="I206">
            <v>75.73</v>
          </cell>
          <cell r="J206">
            <v>75.73</v>
          </cell>
          <cell r="L206">
            <v>2.5</v>
          </cell>
          <cell r="M206">
            <v>2.0198500000000004</v>
          </cell>
          <cell r="N206">
            <v>5.0496250000000007</v>
          </cell>
          <cell r="O206">
            <v>2.5</v>
          </cell>
          <cell r="Q206">
            <v>3.0227341518065538</v>
          </cell>
          <cell r="S206">
            <v>3.0742388641332541</v>
          </cell>
          <cell r="U206">
            <v>3.2796113441197652</v>
          </cell>
        </row>
        <row r="207">
          <cell r="D207">
            <v>39331</v>
          </cell>
          <cell r="E207" t="e">
            <v>#N/A</v>
          </cell>
          <cell r="H207">
            <v>39331</v>
          </cell>
          <cell r="I207">
            <v>76.3</v>
          </cell>
          <cell r="J207">
            <v>76.3</v>
          </cell>
          <cell r="L207">
            <v>2.5175000000000001</v>
          </cell>
          <cell r="M207">
            <v>2.0214500000000002</v>
          </cell>
          <cell r="N207">
            <v>5.0890003750000004</v>
          </cell>
          <cell r="O207">
            <v>2.5175000000000001</v>
          </cell>
          <cell r="Q207">
            <v>3.0307853608439927</v>
          </cell>
          <cell r="S207">
            <v>3.1059400081544477</v>
          </cell>
          <cell r="U207">
            <v>3.3128643541929672</v>
          </cell>
        </row>
        <row r="208">
          <cell r="D208">
            <v>39332</v>
          </cell>
          <cell r="E208" t="e">
            <v>#N/A</v>
          </cell>
          <cell r="H208">
            <v>39332</v>
          </cell>
          <cell r="I208">
            <v>76.7</v>
          </cell>
          <cell r="J208">
            <v>76.7</v>
          </cell>
          <cell r="L208">
            <v>2.4550000000000001</v>
          </cell>
          <cell r="M208">
            <v>2.0251999999999999</v>
          </cell>
          <cell r="N208">
            <v>4.9718659999999995</v>
          </cell>
          <cell r="O208">
            <v>2.4550000000000001</v>
          </cell>
          <cell r="Q208">
            <v>2.9711101204369341</v>
          </cell>
          <cell r="S208">
            <v>3.0286123466832318</v>
          </cell>
          <cell r="U208">
            <v>3.2445710203647811</v>
          </cell>
        </row>
        <row r="209">
          <cell r="D209">
            <v>39335</v>
          </cell>
          <cell r="E209" t="e">
            <v>#N/A</v>
          </cell>
          <cell r="H209">
            <v>39335</v>
          </cell>
          <cell r="I209">
            <v>77.489999999999995</v>
          </cell>
          <cell r="J209">
            <v>77.489999999999995</v>
          </cell>
          <cell r="L209">
            <v>2.4649999999999999</v>
          </cell>
          <cell r="M209">
            <v>2.0284</v>
          </cell>
          <cell r="N209">
            <v>5.000006</v>
          </cell>
          <cell r="O209">
            <v>2.4649999999999999</v>
          </cell>
          <cell r="Q209">
            <v>2.9355617589394085</v>
          </cell>
          <cell r="S209">
            <v>2.9903350572249887</v>
          </cell>
          <cell r="U209">
            <v>3.2158363149949714</v>
          </cell>
        </row>
        <row r="210">
          <cell r="D210">
            <v>39336</v>
          </cell>
          <cell r="E210" t="e">
            <v>#N/A</v>
          </cell>
          <cell r="H210">
            <v>39336</v>
          </cell>
          <cell r="I210">
            <v>78.23</v>
          </cell>
          <cell r="J210">
            <v>78.23</v>
          </cell>
          <cell r="L210">
            <v>2.48</v>
          </cell>
          <cell r="M210">
            <v>2.0298500000000002</v>
          </cell>
          <cell r="N210">
            <v>5.0340280000000002</v>
          </cell>
          <cell r="O210">
            <v>2.48</v>
          </cell>
          <cell r="Q210">
            <v>2.999088740547101</v>
          </cell>
          <cell r="S210">
            <v>3.0544078900039016</v>
          </cell>
          <cell r="U210">
            <v>3.2549325916136564</v>
          </cell>
        </row>
        <row r="211">
          <cell r="D211">
            <v>39337</v>
          </cell>
          <cell r="E211" t="e">
            <v>#N/A</v>
          </cell>
          <cell r="H211">
            <v>39337</v>
          </cell>
          <cell r="I211">
            <v>79.91</v>
          </cell>
          <cell r="J211">
            <v>79.91</v>
          </cell>
          <cell r="L211">
            <v>2.4300000000000002</v>
          </cell>
          <cell r="M211">
            <v>2.0304500000000001</v>
          </cell>
          <cell r="N211">
            <v>4.9339935000000006</v>
          </cell>
          <cell r="O211">
            <v>2.4300000000000002</v>
          </cell>
          <cell r="Q211">
            <v>3.0010681075529835</v>
          </cell>
          <cell r="S211">
            <v>3.0509476491938972</v>
          </cell>
          <cell r="U211">
            <v>3.2723776122978108</v>
          </cell>
        </row>
        <row r="212">
          <cell r="D212">
            <v>39338</v>
          </cell>
          <cell r="E212" t="e">
            <v>#N/A</v>
          </cell>
          <cell r="H212">
            <v>39338</v>
          </cell>
          <cell r="I212">
            <v>78.78</v>
          </cell>
          <cell r="J212">
            <v>78.78</v>
          </cell>
          <cell r="L212">
            <v>2.4025000000000003</v>
          </cell>
          <cell r="M212">
            <v>2.0273500000000002</v>
          </cell>
          <cell r="N212">
            <v>4.8707083750000013</v>
          </cell>
          <cell r="O212">
            <v>2.4024999999999999</v>
          </cell>
          <cell r="Q212">
            <v>2.9884162076370093</v>
          </cell>
          <cell r="S212">
            <v>3.0452358228202665</v>
          </cell>
          <cell r="U212">
            <v>3.2890941704707863</v>
          </cell>
        </row>
        <row r="213">
          <cell r="D213">
            <v>39339</v>
          </cell>
          <cell r="E213" t="e">
            <v>#N/A</v>
          </cell>
          <cell r="H213">
            <v>39339</v>
          </cell>
          <cell r="I213">
            <v>78.09</v>
          </cell>
          <cell r="J213">
            <v>78.09</v>
          </cell>
          <cell r="L213">
            <v>2.4000000000000004</v>
          </cell>
          <cell r="M213">
            <v>2.0115500000000002</v>
          </cell>
          <cell r="N213">
            <v>4.8277200000000011</v>
          </cell>
          <cell r="O213">
            <v>2.4</v>
          </cell>
          <cell r="Q213">
            <v>2.9299981327607134</v>
          </cell>
          <cell r="S213">
            <v>3.0108263162719986</v>
          </cell>
          <cell r="U213">
            <v>3.2771323625037803</v>
          </cell>
        </row>
        <row r="214">
          <cell r="D214">
            <v>39342</v>
          </cell>
          <cell r="E214" t="e">
            <v>#N/A</v>
          </cell>
          <cell r="H214">
            <v>39342</v>
          </cell>
          <cell r="I214">
            <v>79.38</v>
          </cell>
          <cell r="J214">
            <v>79.38</v>
          </cell>
          <cell r="L214">
            <v>2.3675000000000002</v>
          </cell>
          <cell r="M214">
            <v>2.0001500000000001</v>
          </cell>
          <cell r="N214">
            <v>4.7353551250000008</v>
          </cell>
          <cell r="O214">
            <v>2.3675000000000002</v>
          </cell>
          <cell r="Q214">
            <v>2.8741746335542899</v>
          </cell>
          <cell r="S214">
            <v>2.9839130211727563</v>
          </cell>
          <cell r="U214">
            <v>3.2613223543948204</v>
          </cell>
        </row>
        <row r="215">
          <cell r="D215">
            <v>39343</v>
          </cell>
          <cell r="E215" t="e">
            <v>#N/A</v>
          </cell>
          <cell r="H215">
            <v>39343</v>
          </cell>
          <cell r="I215">
            <v>80.23</v>
          </cell>
          <cell r="J215">
            <v>80.23</v>
          </cell>
          <cell r="L215">
            <v>2.375</v>
          </cell>
          <cell r="M215">
            <v>1.9967500000000002</v>
          </cell>
          <cell r="N215">
            <v>4.7422812500000004</v>
          </cell>
          <cell r="O215">
            <v>2.375</v>
          </cell>
          <cell r="Q215">
            <v>2.8895548501540476</v>
          </cell>
          <cell r="S215">
            <v>3.0189529720981043</v>
          </cell>
          <cell r="U215">
            <v>3.3332616528780585</v>
          </cell>
        </row>
        <row r="216">
          <cell r="D216">
            <v>39344</v>
          </cell>
          <cell r="E216" t="e">
            <v>#N/A</v>
          </cell>
          <cell r="H216">
            <v>39344</v>
          </cell>
          <cell r="I216">
            <v>80.849999999999994</v>
          </cell>
          <cell r="J216">
            <v>80.849999999999994</v>
          </cell>
          <cell r="L216">
            <v>2.4000000000000004</v>
          </cell>
          <cell r="M216">
            <v>1.9993000000000001</v>
          </cell>
          <cell r="N216">
            <v>4.7983200000000013</v>
          </cell>
          <cell r="O216">
            <v>2.4</v>
          </cell>
          <cell r="Q216">
            <v>2.9787601064326394</v>
          </cell>
          <cell r="S216">
            <v>3.0670689126687294</v>
          </cell>
          <cell r="U216">
            <v>3.3648283638311267</v>
          </cell>
        </row>
        <row r="217">
          <cell r="D217">
            <v>39345</v>
          </cell>
          <cell r="E217" t="e">
            <v>#N/A</v>
          </cell>
          <cell r="H217">
            <v>39345</v>
          </cell>
          <cell r="I217">
            <v>81.78</v>
          </cell>
          <cell r="J217">
            <v>81.78</v>
          </cell>
          <cell r="L217">
            <v>2.34</v>
          </cell>
          <cell r="M217">
            <v>2.0139500000000004</v>
          </cell>
          <cell r="N217">
            <v>4.7126430000000008</v>
          </cell>
          <cell r="O217">
            <v>2.34</v>
          </cell>
          <cell r="Q217">
            <v>2.9459935580244614</v>
          </cell>
          <cell r="S217">
            <v>3.0066765998463811</v>
          </cell>
          <cell r="U217">
            <v>3.3300809204462682</v>
          </cell>
        </row>
        <row r="218">
          <cell r="D218">
            <v>39346</v>
          </cell>
          <cell r="E218" t="e">
            <v>#N/A</v>
          </cell>
          <cell r="H218">
            <v>39346</v>
          </cell>
          <cell r="I218">
            <v>81.62</v>
          </cell>
          <cell r="J218">
            <v>81.62</v>
          </cell>
          <cell r="L218">
            <v>2.3225000000000002</v>
          </cell>
          <cell r="M218">
            <v>2.0205500000000001</v>
          </cell>
          <cell r="N218">
            <v>4.6927273750000005</v>
          </cell>
          <cell r="O218">
            <v>2.3224999999999998</v>
          </cell>
          <cell r="Q218">
            <v>2.9676328540752501</v>
          </cell>
          <cell r="S218">
            <v>2.9934470064301046</v>
          </cell>
          <cell r="U218">
            <v>3.3500678390950269</v>
          </cell>
        </row>
        <row r="219">
          <cell r="D219">
            <v>39349</v>
          </cell>
          <cell r="E219" t="e">
            <v>#N/A</v>
          </cell>
          <cell r="H219">
            <v>39349</v>
          </cell>
          <cell r="I219">
            <v>80.95</v>
          </cell>
          <cell r="J219">
            <v>80.95</v>
          </cell>
          <cell r="L219">
            <v>2.3225000000000002</v>
          </cell>
          <cell r="M219">
            <v>2.0220500000000001</v>
          </cell>
          <cell r="N219">
            <v>4.6962111250000005</v>
          </cell>
          <cell r="O219">
            <v>2.3224999999999998</v>
          </cell>
          <cell r="Q219">
            <v>2.9532155727756515</v>
          </cell>
          <cell r="S219">
            <v>2.986782650767994</v>
          </cell>
          <cell r="U219">
            <v>3.3391462467223234</v>
          </cell>
        </row>
        <row r="220">
          <cell r="D220">
            <v>39350</v>
          </cell>
          <cell r="E220" t="e">
            <v>#N/A</v>
          </cell>
          <cell r="H220">
            <v>39350</v>
          </cell>
          <cell r="I220">
            <v>79.53</v>
          </cell>
          <cell r="J220">
            <v>79.53</v>
          </cell>
          <cell r="L220">
            <v>2.2775000000000003</v>
          </cell>
          <cell r="M220">
            <v>2.0159500000000001</v>
          </cell>
          <cell r="N220">
            <v>4.591326125000001</v>
          </cell>
          <cell r="O220">
            <v>2.2774999999999999</v>
          </cell>
          <cell r="Q220">
            <v>2.9030359443562697</v>
          </cell>
          <cell r="S220">
            <v>2.9605196577801411</v>
          </cell>
          <cell r="U220">
            <v>3.3360900563110367</v>
          </cell>
        </row>
        <row r="221">
          <cell r="D221">
            <v>39351</v>
          </cell>
          <cell r="E221" t="e">
            <v>#N/A</v>
          </cell>
          <cell r="H221">
            <v>39351</v>
          </cell>
          <cell r="I221">
            <v>80.3</v>
          </cell>
          <cell r="J221">
            <v>80.3</v>
          </cell>
          <cell r="L221">
            <v>2.2949999999999999</v>
          </cell>
          <cell r="M221">
            <v>2.0153500000000002</v>
          </cell>
          <cell r="N221">
            <v>4.6252282500000002</v>
          </cell>
          <cell r="O221">
            <v>2.2949999999999999</v>
          </cell>
          <cell r="Q221">
            <v>2.9126920455606387</v>
          </cell>
          <cell r="S221">
            <v>3.0073397360097274</v>
          </cell>
          <cell r="U221">
            <v>3.3680352983730786</v>
          </cell>
        </row>
        <row r="222">
          <cell r="D222">
            <v>39352</v>
          </cell>
          <cell r="E222" t="e">
            <v>#N/A</v>
          </cell>
          <cell r="H222">
            <v>39352</v>
          </cell>
          <cell r="I222">
            <v>82.88</v>
          </cell>
          <cell r="J222">
            <v>82.88</v>
          </cell>
          <cell r="L222">
            <v>2.2825000000000002</v>
          </cell>
          <cell r="M222">
            <v>2.0239500000000001</v>
          </cell>
          <cell r="N222">
            <v>4.6196658750000008</v>
          </cell>
          <cell r="O222">
            <v>2.2825000000000002</v>
          </cell>
          <cell r="Q222">
            <v>2.9528678461394828</v>
          </cell>
          <cell r="S222">
            <v>3.0415901799321796</v>
          </cell>
          <cell r="U222">
            <v>3.3899190447444028</v>
          </cell>
        </row>
        <row r="223">
          <cell r="D223">
            <v>39353</v>
          </cell>
          <cell r="E223" t="e">
            <v>#N/A</v>
          </cell>
          <cell r="H223">
            <v>39353</v>
          </cell>
          <cell r="I223">
            <v>81.66</v>
          </cell>
          <cell r="J223">
            <v>81.66</v>
          </cell>
          <cell r="L223">
            <v>2.2850000000000001</v>
          </cell>
          <cell r="M223">
            <v>2.03735</v>
          </cell>
          <cell r="N223">
            <v>4.6553447500000003</v>
          </cell>
          <cell r="O223">
            <v>2.2850000000000001</v>
          </cell>
          <cell r="Q223">
            <v>2.9523061338810574</v>
          </cell>
          <cell r="S223">
            <v>3.0399331107363619</v>
          </cell>
          <cell r="U223">
            <v>3.3661330949803046</v>
          </cell>
        </row>
        <row r="224">
          <cell r="D224">
            <v>39356</v>
          </cell>
          <cell r="E224" t="e">
            <v>#N/A</v>
          </cell>
          <cell r="H224">
            <v>39356</v>
          </cell>
          <cell r="I224">
            <v>80.239999999999995</v>
          </cell>
          <cell r="J224">
            <v>80.239999999999995</v>
          </cell>
          <cell r="L224">
            <v>2.2875000000000001</v>
          </cell>
          <cell r="M224">
            <v>2.0430999999999999</v>
          </cell>
          <cell r="N224">
            <v>4.6735912500000003</v>
          </cell>
          <cell r="O224">
            <v>2.2875000000000001</v>
          </cell>
          <cell r="Q224">
            <v>2.9641020913080012</v>
          </cell>
          <cell r="S224">
            <v>3.0778978359158158</v>
          </cell>
          <cell r="U224">
            <v>3.3801902461673219</v>
          </cell>
        </row>
        <row r="225">
          <cell r="D225">
            <v>39357</v>
          </cell>
          <cell r="E225" t="e">
            <v>#N/A</v>
          </cell>
          <cell r="H225">
            <v>39357</v>
          </cell>
          <cell r="I225">
            <v>80.05</v>
          </cell>
          <cell r="J225">
            <v>80.05</v>
          </cell>
          <cell r="L225">
            <v>2.3199999999999998</v>
          </cell>
          <cell r="M225">
            <v>2.0410500000000003</v>
          </cell>
          <cell r="N225">
            <v>4.7352360000000004</v>
          </cell>
          <cell r="O225">
            <v>2.3199999999999998</v>
          </cell>
          <cell r="Q225">
            <v>3.0041976472784988</v>
          </cell>
          <cell r="S225">
            <v>3.0833073608459256</v>
          </cell>
          <cell r="U225">
            <v>3.415017585179748</v>
          </cell>
        </row>
        <row r="226">
          <cell r="D226">
            <v>39358</v>
          </cell>
          <cell r="E226" t="e">
            <v>#N/A</v>
          </cell>
          <cell r="H226">
            <v>39358</v>
          </cell>
          <cell r="I226">
            <v>79.94</v>
          </cell>
          <cell r="J226">
            <v>79.94</v>
          </cell>
          <cell r="L226">
            <v>2.31</v>
          </cell>
          <cell r="M226">
            <v>2.0369999999999999</v>
          </cell>
          <cell r="N226">
            <v>4.70547</v>
          </cell>
          <cell r="O226">
            <v>2.31</v>
          </cell>
          <cell r="Q226">
            <v>3.0386493324619552</v>
          </cell>
          <cell r="S226">
            <v>3.1064231671199911</v>
          </cell>
          <cell r="U226">
            <v>3.453681409076939</v>
          </cell>
        </row>
        <row r="227">
          <cell r="D227">
            <v>39359</v>
          </cell>
          <cell r="E227" t="e">
            <v>#N/A</v>
          </cell>
          <cell r="H227">
            <v>39359</v>
          </cell>
          <cell r="I227">
            <v>81.44</v>
          </cell>
          <cell r="J227">
            <v>81.44</v>
          </cell>
          <cell r="L227">
            <v>2.3250000000000002</v>
          </cell>
          <cell r="M227">
            <v>2.0413000000000001</v>
          </cell>
          <cell r="N227">
            <v>4.7460225000000005</v>
          </cell>
          <cell r="O227">
            <v>2.3250000000000002</v>
          </cell>
          <cell r="Q227">
            <v>3.0414043973485203</v>
          </cell>
          <cell r="S227">
            <v>3.1115086529958114</v>
          </cell>
          <cell r="U227">
            <v>3.459281104592983</v>
          </cell>
        </row>
        <row r="228">
          <cell r="D228">
            <v>39360</v>
          </cell>
          <cell r="E228" t="e">
            <v>#N/A</v>
          </cell>
          <cell r="H228">
            <v>39360</v>
          </cell>
          <cell r="I228">
            <v>81.22</v>
          </cell>
          <cell r="J228">
            <v>81.22</v>
          </cell>
          <cell r="L228">
            <v>2.3025000000000002</v>
          </cell>
          <cell r="M228">
            <v>2.04175</v>
          </cell>
          <cell r="N228">
            <v>4.7011293750000007</v>
          </cell>
          <cell r="O228">
            <v>2.3025000000000002</v>
          </cell>
          <cell r="Q228">
            <v>3.0467272897021758</v>
          </cell>
          <cell r="S228">
            <v>3.0974294915424134</v>
          </cell>
          <cell r="U228">
            <v>3.4808043836304803</v>
          </cell>
        </row>
        <row r="229">
          <cell r="D229">
            <v>39363</v>
          </cell>
          <cell r="E229" t="e">
            <v>#N/A</v>
          </cell>
          <cell r="H229">
            <v>39363</v>
          </cell>
          <cell r="I229">
            <v>79.02</v>
          </cell>
          <cell r="J229">
            <v>79.02</v>
          </cell>
          <cell r="L229">
            <v>2.2949999999999999</v>
          </cell>
          <cell r="M229">
            <v>2.0376500000000002</v>
          </cell>
          <cell r="N229">
            <v>4.6764067499999999</v>
          </cell>
          <cell r="O229">
            <v>2.2949999999999999</v>
          </cell>
          <cell r="Q229">
            <v>3.0302236485855669</v>
          </cell>
          <cell r="S229">
            <v>3.0841068878079327</v>
          </cell>
          <cell r="U229">
            <v>3.4508828194915298</v>
          </cell>
        </row>
        <row r="230">
          <cell r="D230">
            <v>39364</v>
          </cell>
          <cell r="E230" t="e">
            <v>#N/A</v>
          </cell>
          <cell r="H230">
            <v>39364</v>
          </cell>
          <cell r="I230">
            <v>80.260000000000005</v>
          </cell>
          <cell r="J230">
            <v>80.260000000000005</v>
          </cell>
          <cell r="L230">
            <v>2.3149999999999999</v>
          </cell>
          <cell r="M230">
            <v>2.0335000000000001</v>
          </cell>
          <cell r="N230">
            <v>4.7075525000000003</v>
          </cell>
          <cell r="O230">
            <v>2.3149999999999999</v>
          </cell>
          <cell r="Q230">
            <v>3.0567311175427134</v>
          </cell>
          <cell r="S230">
            <v>3.1204745510509273</v>
          </cell>
          <cell r="U230">
            <v>3.5036542473794823</v>
          </cell>
        </row>
        <row r="231">
          <cell r="D231">
            <v>39365</v>
          </cell>
          <cell r="E231" t="e">
            <v>#N/A</v>
          </cell>
          <cell r="H231">
            <v>39365</v>
          </cell>
          <cell r="I231">
            <v>81.3</v>
          </cell>
          <cell r="J231">
            <v>81.3</v>
          </cell>
          <cell r="L231">
            <v>2.3174999999999999</v>
          </cell>
          <cell r="M231">
            <v>2.0437500000000002</v>
          </cell>
          <cell r="N231">
            <v>4.7363906250000003</v>
          </cell>
          <cell r="O231">
            <v>2.3174999999999999</v>
          </cell>
          <cell r="Q231">
            <v>3.0792798524880967</v>
          </cell>
          <cell r="S231">
            <v>3.1638087959851555</v>
          </cell>
          <cell r="U231">
            <v>3.5108063251023549</v>
          </cell>
        </row>
        <row r="232">
          <cell r="D232">
            <v>39366</v>
          </cell>
          <cell r="E232" t="e">
            <v>#N/A</v>
          </cell>
          <cell r="H232">
            <v>39366</v>
          </cell>
          <cell r="I232">
            <v>83.08</v>
          </cell>
          <cell r="J232">
            <v>83.08</v>
          </cell>
          <cell r="L232">
            <v>2.3475000000000001</v>
          </cell>
          <cell r="M232">
            <v>2.0386000000000002</v>
          </cell>
          <cell r="N232">
            <v>4.7856135000000011</v>
          </cell>
          <cell r="O232">
            <v>2.3475000000000001</v>
          </cell>
          <cell r="Q232">
            <v>3.1089168611707589</v>
          </cell>
          <cell r="S232">
            <v>3.2068150541521501</v>
          </cell>
          <cell r="U232">
            <v>3.5722262799684072</v>
          </cell>
        </row>
        <row r="233">
          <cell r="D233">
            <v>39367</v>
          </cell>
          <cell r="E233" t="e">
            <v>#N/A</v>
          </cell>
          <cell r="H233">
            <v>39367</v>
          </cell>
          <cell r="I233">
            <v>83.69</v>
          </cell>
          <cell r="J233">
            <v>83.69</v>
          </cell>
          <cell r="L233">
            <v>2.3250000000000002</v>
          </cell>
          <cell r="M233">
            <v>2.0348000000000002</v>
          </cell>
          <cell r="N233">
            <v>4.7309100000000006</v>
          </cell>
          <cell r="O233">
            <v>2.3250000000000002</v>
          </cell>
          <cell r="Q233">
            <v>3.0964521986742604</v>
          </cell>
          <cell r="S233">
            <v>3.1662455848075273</v>
          </cell>
          <cell r="U233">
            <v>3.5614128139087762</v>
          </cell>
        </row>
        <row r="234">
          <cell r="D234">
            <v>39370</v>
          </cell>
          <cell r="E234" t="e">
            <v>#N/A</v>
          </cell>
          <cell r="H234">
            <v>39370</v>
          </cell>
          <cell r="I234">
            <v>85.13</v>
          </cell>
          <cell r="J234">
            <v>85.13</v>
          </cell>
          <cell r="L234">
            <v>2.2949999999999999</v>
          </cell>
          <cell r="M234">
            <v>2.0423</v>
          </cell>
          <cell r="N234">
            <v>4.6870785000000001</v>
          </cell>
          <cell r="O234">
            <v>2.2949999999999999</v>
          </cell>
          <cell r="Q234">
            <v>3.0599676500793578</v>
          </cell>
          <cell r="S234">
            <v>3.1533055505956167</v>
          </cell>
          <cell r="U234">
            <v>3.5128390007196209</v>
          </cell>
        </row>
        <row r="235">
          <cell r="D235">
            <v>39371</v>
          </cell>
          <cell r="E235" t="e">
            <v>#N/A</v>
          </cell>
          <cell r="H235">
            <v>39371</v>
          </cell>
          <cell r="I235">
            <v>86.58</v>
          </cell>
          <cell r="J235">
            <v>86.58</v>
          </cell>
          <cell r="L235">
            <v>2.2925</v>
          </cell>
          <cell r="M235">
            <v>2.0319000000000003</v>
          </cell>
          <cell r="N235">
            <v>4.6581307500000007</v>
          </cell>
          <cell r="O235">
            <v>2.2925</v>
          </cell>
          <cell r="Q235">
            <v>3.0402542246288862</v>
          </cell>
          <cell r="S235">
            <v>3.1329879211787635</v>
          </cell>
          <cell r="U235">
            <v>3.5059675704411313</v>
          </cell>
        </row>
        <row r="236">
          <cell r="D236">
            <v>39372</v>
          </cell>
          <cell r="E236" t="e">
            <v>#N/A</v>
          </cell>
          <cell r="H236">
            <v>39372</v>
          </cell>
          <cell r="I236">
            <v>86.19</v>
          </cell>
          <cell r="J236">
            <v>86.19</v>
          </cell>
          <cell r="L236">
            <v>2.4000000000000004</v>
          </cell>
          <cell r="M236">
            <v>2.0379</v>
          </cell>
          <cell r="N236">
            <v>4.8909600000000006</v>
          </cell>
          <cell r="O236">
            <v>2.4</v>
          </cell>
          <cell r="Q236">
            <v>3.0862076370086826</v>
          </cell>
          <cell r="S236">
            <v>3.1731597786643619</v>
          </cell>
          <cell r="U236">
            <v>3.5888926401219488</v>
          </cell>
        </row>
        <row r="237">
          <cell r="D237">
            <v>39373</v>
          </cell>
          <cell r="E237" t="e">
            <v>#N/A</v>
          </cell>
          <cell r="H237">
            <v>39373</v>
          </cell>
          <cell r="I237">
            <v>88.04</v>
          </cell>
          <cell r="J237">
            <v>88.04</v>
          </cell>
          <cell r="L237">
            <v>2.3650000000000002</v>
          </cell>
          <cell r="M237">
            <v>2.0463500000000003</v>
          </cell>
          <cell r="N237">
            <v>4.8396177500000013</v>
          </cell>
          <cell r="O237">
            <v>2.3650000000000002</v>
          </cell>
          <cell r="Q237">
            <v>3.052397908691999</v>
          </cell>
          <cell r="S237">
            <v>3.1358529680539933</v>
          </cell>
          <cell r="U237">
            <v>3.5167065195431864</v>
          </cell>
        </row>
        <row r="238">
          <cell r="D238">
            <v>39374</v>
          </cell>
          <cell r="E238" t="e">
            <v>#N/A</v>
          </cell>
          <cell r="H238">
            <v>39374</v>
          </cell>
          <cell r="I238">
            <v>86.95</v>
          </cell>
          <cell r="J238">
            <v>86.95</v>
          </cell>
          <cell r="L238">
            <v>2.3425000000000002</v>
          </cell>
          <cell r="M238">
            <v>2.0463500000000003</v>
          </cell>
          <cell r="N238">
            <v>4.7935748750000009</v>
          </cell>
          <cell r="O238">
            <v>2.3424999999999998</v>
          </cell>
          <cell r="Q238">
            <v>3.0223596769676031</v>
          </cell>
          <cell r="S238">
            <v>3.0950340828317264</v>
          </cell>
          <cell r="U238">
            <v>3.4771181679491154</v>
          </cell>
        </row>
        <row r="239">
          <cell r="D239">
            <v>39377</v>
          </cell>
          <cell r="E239" t="e">
            <v>#N/A</v>
          </cell>
          <cell r="H239">
            <v>39377</v>
          </cell>
          <cell r="I239">
            <v>86.02</v>
          </cell>
          <cell r="J239">
            <v>86.02</v>
          </cell>
          <cell r="L239">
            <v>2.2975000000000003</v>
          </cell>
          <cell r="M239">
            <v>2.0277000000000003</v>
          </cell>
          <cell r="N239">
            <v>4.6586407500000009</v>
          </cell>
          <cell r="O239">
            <v>2.2974999999999999</v>
          </cell>
          <cell r="Q239">
            <v>2.9898873587900296</v>
          </cell>
          <cell r="S239">
            <v>3.0449062206523156</v>
          </cell>
          <cell r="U239">
            <v>3.4222107807119029</v>
          </cell>
        </row>
        <row r="240">
          <cell r="D240">
            <v>39378</v>
          </cell>
          <cell r="E240" t="e">
            <v>#N/A</v>
          </cell>
          <cell r="H240">
            <v>39378</v>
          </cell>
          <cell r="I240">
            <v>85.27</v>
          </cell>
          <cell r="J240">
            <v>85.27</v>
          </cell>
          <cell r="L240">
            <v>2.3525</v>
          </cell>
          <cell r="M240">
            <v>2.0483000000000002</v>
          </cell>
          <cell r="N240">
            <v>4.8186257500000007</v>
          </cell>
          <cell r="O240">
            <v>2.3525</v>
          </cell>
          <cell r="Q240">
            <v>3.0383551022313515</v>
          </cell>
          <cell r="S240">
            <v>3.0961489804015256</v>
          </cell>
          <cell r="U240">
            <v>3.4822871790665983</v>
          </cell>
        </row>
        <row r="241">
          <cell r="D241">
            <v>39379</v>
          </cell>
          <cell r="E241" t="e">
            <v>#N/A</v>
          </cell>
          <cell r="H241">
            <v>39379</v>
          </cell>
          <cell r="I241">
            <v>87.1</v>
          </cell>
          <cell r="J241">
            <v>87.1</v>
          </cell>
          <cell r="L241">
            <v>2.3374999999999999</v>
          </cell>
          <cell r="M241">
            <v>2.0468999999999999</v>
          </cell>
          <cell r="N241">
            <v>4.7846287499999995</v>
          </cell>
          <cell r="O241">
            <v>2.3374999999999999</v>
          </cell>
          <cell r="Q241">
            <v>3.0167960507889084</v>
          </cell>
          <cell r="S241">
            <v>3.0650179369097557</v>
          </cell>
          <cell r="U241">
            <v>3.497924782662666</v>
          </cell>
        </row>
        <row r="242">
          <cell r="D242">
            <v>39380</v>
          </cell>
          <cell r="E242" t="e">
            <v>#N/A</v>
          </cell>
          <cell r="H242">
            <v>39380</v>
          </cell>
          <cell r="I242">
            <v>90.46</v>
          </cell>
          <cell r="J242">
            <v>90.46</v>
          </cell>
          <cell r="L242">
            <v>2.39</v>
          </cell>
          <cell r="M242">
            <v>2.0496000000000003</v>
          </cell>
          <cell r="N242">
            <v>4.8985440000000011</v>
          </cell>
          <cell r="O242">
            <v>2.39</v>
          </cell>
          <cell r="Q242">
            <v>3.0708274204089254</v>
          </cell>
          <cell r="S242">
            <v>3.1125427667076804</v>
          </cell>
          <cell r="U242">
            <v>3.5487517969309699</v>
          </cell>
        </row>
        <row r="243">
          <cell r="D243">
            <v>39381</v>
          </cell>
          <cell r="E243" t="e">
            <v>#N/A</v>
          </cell>
          <cell r="H243">
            <v>39381</v>
          </cell>
          <cell r="I243">
            <v>91.86</v>
          </cell>
          <cell r="J243">
            <v>91.86</v>
          </cell>
          <cell r="L243">
            <v>2.3875000000000002</v>
          </cell>
          <cell r="M243">
            <v>2.0521500000000001</v>
          </cell>
          <cell r="N243">
            <v>4.8995081250000005</v>
          </cell>
          <cell r="O243">
            <v>2.3875000000000002</v>
          </cell>
          <cell r="Q243">
            <v>3.0786111474185418</v>
          </cell>
          <cell r="S243">
            <v>3.1442553077511786</v>
          </cell>
          <cell r="U243">
            <v>3.529031151725643</v>
          </cell>
        </row>
        <row r="244">
          <cell r="D244">
            <v>39384</v>
          </cell>
          <cell r="E244" t="e">
            <v>#N/A</v>
          </cell>
          <cell r="H244">
            <v>39384</v>
          </cell>
          <cell r="I244">
            <v>93.53</v>
          </cell>
          <cell r="J244">
            <v>93.53</v>
          </cell>
          <cell r="L244">
            <v>2.4050000000000002</v>
          </cell>
          <cell r="M244">
            <v>2.0608500000000003</v>
          </cell>
          <cell r="N244">
            <v>4.9563442500000008</v>
          </cell>
          <cell r="O244">
            <v>2.4049999999999998</v>
          </cell>
          <cell r="Q244">
            <v>3.0901663710204463</v>
          </cell>
          <cell r="S244">
            <v>3.1397222190463454</v>
          </cell>
          <cell r="U244">
            <v>3.5430180777010225</v>
          </cell>
        </row>
        <row r="245">
          <cell r="D245">
            <v>39385</v>
          </cell>
          <cell r="E245" t="e">
            <v>#N/A</v>
          </cell>
          <cell r="H245">
            <v>39385</v>
          </cell>
          <cell r="I245">
            <v>90.38</v>
          </cell>
          <cell r="J245">
            <v>90.38</v>
          </cell>
          <cell r="L245">
            <v>2.3625000000000003</v>
          </cell>
          <cell r="M245">
            <v>2.0670500000000001</v>
          </cell>
          <cell r="N245">
            <v>4.8834056250000009</v>
          </cell>
          <cell r="O245">
            <v>2.3624999999999998</v>
          </cell>
          <cell r="Q245">
            <v>3.0704529455699747</v>
          </cell>
          <cell r="S245">
            <v>3.1347868998874602</v>
          </cell>
          <cell r="U245">
            <v>3.5067448553812204</v>
          </cell>
        </row>
        <row r="246">
          <cell r="D246">
            <v>39386</v>
          </cell>
          <cell r="E246" t="e">
            <v>#N/A</v>
          </cell>
          <cell r="H246">
            <v>39386</v>
          </cell>
          <cell r="I246">
            <v>94.53</v>
          </cell>
          <cell r="J246">
            <v>94.53</v>
          </cell>
          <cell r="L246">
            <v>2.4125000000000001</v>
          </cell>
          <cell r="M246">
            <v>2.07735</v>
          </cell>
          <cell r="N246">
            <v>5.011606875</v>
          </cell>
          <cell r="O246">
            <v>2.4125000000000001</v>
          </cell>
          <cell r="Q246">
            <v>3.1204453365698814</v>
          </cell>
          <cell r="S246">
            <v>3.1856989991725082</v>
          </cell>
          <cell r="U246">
            <v>3.5188975112617999</v>
          </cell>
        </row>
        <row r="247">
          <cell r="D247">
            <v>39387</v>
          </cell>
          <cell r="E247" t="e">
            <v>#N/A</v>
          </cell>
          <cell r="H247">
            <v>39387</v>
          </cell>
          <cell r="I247">
            <v>93.49</v>
          </cell>
          <cell r="J247">
            <v>93.49</v>
          </cell>
          <cell r="L247">
            <v>2.415</v>
          </cell>
          <cell r="M247">
            <v>2.0817000000000001</v>
          </cell>
          <cell r="N247">
            <v>5.0273055000000006</v>
          </cell>
          <cell r="O247">
            <v>2.415</v>
          </cell>
          <cell r="Q247">
            <v>3.0830780972831668</v>
          </cell>
          <cell r="S247">
            <v>3.1326809035753742</v>
          </cell>
          <cell r="U247">
            <v>3.4619655055311971</v>
          </cell>
        </row>
        <row r="248">
          <cell r="D248">
            <v>39388</v>
          </cell>
          <cell r="E248" t="e">
            <v>#N/A</v>
          </cell>
          <cell r="H248">
            <v>39388</v>
          </cell>
          <cell r="I248">
            <v>95.93</v>
          </cell>
          <cell r="J248">
            <v>95.93</v>
          </cell>
          <cell r="L248">
            <v>2.3475000000000001</v>
          </cell>
          <cell r="M248">
            <v>2.0819000000000001</v>
          </cell>
          <cell r="N248">
            <v>4.8872602500000006</v>
          </cell>
          <cell r="O248">
            <v>2.3475000000000001</v>
          </cell>
          <cell r="Q248">
            <v>3.0607165997572587</v>
          </cell>
          <cell r="S248">
            <v>3.1285335420337153</v>
          </cell>
          <cell r="U248">
            <v>3.4646605327441788</v>
          </cell>
        </row>
        <row r="249">
          <cell r="D249">
            <v>39391</v>
          </cell>
          <cell r="E249" t="e">
            <v>#N/A</v>
          </cell>
          <cell r="H249">
            <v>39391</v>
          </cell>
          <cell r="I249">
            <v>93.98</v>
          </cell>
          <cell r="J249">
            <v>93.98</v>
          </cell>
          <cell r="L249">
            <v>2.37</v>
          </cell>
          <cell r="M249">
            <v>2.0806</v>
          </cell>
          <cell r="N249">
            <v>4.9310220000000005</v>
          </cell>
          <cell r="O249">
            <v>2.37</v>
          </cell>
          <cell r="Q249">
            <v>3.0263986555877138</v>
          </cell>
          <cell r="S249">
            <v>3.0876808002011611</v>
          </cell>
          <cell r="U249">
            <v>3.4047880494735057</v>
          </cell>
        </row>
        <row r="250">
          <cell r="D250">
            <v>39392</v>
          </cell>
          <cell r="E250" t="e">
            <v>#N/A</v>
          </cell>
          <cell r="H250">
            <v>39392</v>
          </cell>
          <cell r="I250">
            <v>96.7</v>
          </cell>
          <cell r="J250">
            <v>96.7</v>
          </cell>
          <cell r="L250">
            <v>2.3374999999999999</v>
          </cell>
          <cell r="M250">
            <v>2.0875500000000002</v>
          </cell>
          <cell r="N250">
            <v>4.8796481250000001</v>
          </cell>
          <cell r="O250">
            <v>2.3374999999999999</v>
          </cell>
          <cell r="Q250">
            <v>3.0318820371580619</v>
          </cell>
          <cell r="S250">
            <v>3.0898437724195018</v>
          </cell>
          <cell r="U250">
            <v>3.3911315590403781</v>
          </cell>
        </row>
        <row r="251">
          <cell r="D251">
            <v>39393</v>
          </cell>
          <cell r="E251" t="e">
            <v>#N/A</v>
          </cell>
          <cell r="H251">
            <v>39393</v>
          </cell>
          <cell r="I251">
            <v>96.37</v>
          </cell>
          <cell r="J251">
            <v>96.37</v>
          </cell>
          <cell r="L251">
            <v>2.2625000000000002</v>
          </cell>
          <cell r="M251">
            <v>2.1040000000000001</v>
          </cell>
          <cell r="N251">
            <v>4.7603000000000009</v>
          </cell>
          <cell r="O251">
            <v>2.2625000000000002</v>
          </cell>
          <cell r="Q251">
            <v>2.9782786387825606</v>
          </cell>
          <cell r="S251">
            <v>3.0090354479090498</v>
          </cell>
          <cell r="U251">
            <v>3.3752695025269639</v>
          </cell>
        </row>
        <row r="252">
          <cell r="D252">
            <v>39394</v>
          </cell>
          <cell r="E252" t="e">
            <v>#N/A</v>
          </cell>
          <cell r="H252">
            <v>39394</v>
          </cell>
          <cell r="I252">
            <v>95.46</v>
          </cell>
          <cell r="J252">
            <v>95.46</v>
          </cell>
          <cell r="L252">
            <v>2.2575000000000003</v>
          </cell>
          <cell r="M252">
            <v>2.1082000000000001</v>
          </cell>
          <cell r="N252">
            <v>4.7592615000000009</v>
          </cell>
          <cell r="O252">
            <v>2.2574999999999998</v>
          </cell>
          <cell r="Q252">
            <v>2.9508617309308187</v>
          </cell>
          <cell r="S252">
            <v>2.9799103925470418</v>
          </cell>
          <cell r="U252">
            <v>3.368611065086164</v>
          </cell>
        </row>
        <row r="253">
          <cell r="D253">
            <v>39395</v>
          </cell>
          <cell r="E253" t="e">
            <v>#N/A</v>
          </cell>
          <cell r="H253">
            <v>39395</v>
          </cell>
          <cell r="I253">
            <v>96.32</v>
          </cell>
          <cell r="J253">
            <v>96.32</v>
          </cell>
          <cell r="L253">
            <v>2.1750000000000003</v>
          </cell>
          <cell r="M253">
            <v>2.0947</v>
          </cell>
          <cell r="N253">
            <v>4.5559725000000002</v>
          </cell>
          <cell r="O253">
            <v>2.1749999999999998</v>
          </cell>
          <cell r="Q253">
            <v>2.9046140883204186</v>
          </cell>
          <cell r="S253">
            <v>2.9833748497884875</v>
          </cell>
          <cell r="U253">
            <v>3.3566463164390012</v>
          </cell>
        </row>
        <row r="254">
          <cell r="D254">
            <v>39398</v>
          </cell>
          <cell r="E254" t="e">
            <v>#N/A</v>
          </cell>
          <cell r="H254">
            <v>39398</v>
          </cell>
          <cell r="I254">
            <v>94.62</v>
          </cell>
          <cell r="J254">
            <v>94.62</v>
          </cell>
          <cell r="L254">
            <v>2.2050000000000001</v>
          </cell>
          <cell r="M254">
            <v>2.05905</v>
          </cell>
          <cell r="N254">
            <v>4.5402052500000005</v>
          </cell>
          <cell r="O254">
            <v>2.2050000000000001</v>
          </cell>
          <cell r="Q254">
            <v>2.9140294556997488</v>
          </cell>
          <cell r="S254">
            <v>2.9848811551906289</v>
          </cell>
          <cell r="U254">
            <v>3.4001063596927237</v>
          </cell>
        </row>
        <row r="255">
          <cell r="D255">
            <v>39399</v>
          </cell>
          <cell r="E255" t="e">
            <v>#N/A</v>
          </cell>
          <cell r="H255">
            <v>39399</v>
          </cell>
          <cell r="I255">
            <v>91.17</v>
          </cell>
          <cell r="J255">
            <v>91.17</v>
          </cell>
          <cell r="L255">
            <v>2.2575000000000003</v>
          </cell>
          <cell r="M255">
            <v>2.0725500000000001</v>
          </cell>
          <cell r="N255">
            <v>4.6787816250000009</v>
          </cell>
          <cell r="O255">
            <v>2.2574999999999998</v>
          </cell>
          <cell r="Q255">
            <v>2.9209572402203348</v>
          </cell>
          <cell r="S255">
            <v>2.9927665712591884</v>
          </cell>
          <cell r="U255">
            <v>3.4258241130877822</v>
          </cell>
        </row>
        <row r="256">
          <cell r="D256">
            <v>39400</v>
          </cell>
          <cell r="E256" t="e">
            <v>#N/A</v>
          </cell>
          <cell r="H256">
            <v>39400</v>
          </cell>
          <cell r="I256">
            <v>92.83</v>
          </cell>
          <cell r="J256">
            <v>92.83</v>
          </cell>
          <cell r="L256">
            <v>2.23</v>
          </cell>
          <cell r="M256">
            <v>2.0654500000000002</v>
          </cell>
          <cell r="N256">
            <v>4.6059535</v>
          </cell>
          <cell r="O256">
            <v>2.23</v>
          </cell>
          <cell r="Q256">
            <v>2.9612667818130891</v>
          </cell>
          <cell r="S256">
            <v>3.0257656872425849</v>
          </cell>
          <cell r="U256">
            <v>3.4556932029565308</v>
          </cell>
        </row>
        <row r="257">
          <cell r="D257">
            <v>39401</v>
          </cell>
          <cell r="E257" t="e">
            <v>#N/A</v>
          </cell>
          <cell r="H257">
            <v>39401</v>
          </cell>
          <cell r="I257">
            <v>92.07</v>
          </cell>
          <cell r="J257">
            <v>92.07</v>
          </cell>
          <cell r="L257">
            <v>2.1750000000000003</v>
          </cell>
          <cell r="M257">
            <v>2.0454500000000002</v>
          </cell>
          <cell r="N257">
            <v>4.4488537500000014</v>
          </cell>
          <cell r="O257">
            <v>2.1749999999999998</v>
          </cell>
          <cell r="Q257">
            <v>2.9159820745028475</v>
          </cell>
          <cell r="S257">
            <v>3.001225203914978</v>
          </cell>
          <cell r="U257">
            <v>3.414456412205352</v>
          </cell>
        </row>
        <row r="258">
          <cell r="D258">
            <v>39402</v>
          </cell>
          <cell r="E258" t="e">
            <v>#N/A</v>
          </cell>
          <cell r="H258">
            <v>39402</v>
          </cell>
          <cell r="I258">
            <v>93.84</v>
          </cell>
          <cell r="J258">
            <v>93.84</v>
          </cell>
          <cell r="L258">
            <v>2.1175000000000002</v>
          </cell>
          <cell r="M258">
            <v>2.0458000000000003</v>
          </cell>
          <cell r="N258">
            <v>4.3319815000000013</v>
          </cell>
          <cell r="O258">
            <v>2.1175000000000002</v>
          </cell>
          <cell r="Q258">
            <v>2.8797650079357671</v>
          </cell>
          <cell r="S258">
            <v>2.9366728833699063</v>
          </cell>
          <cell r="U258">
            <v>3.3568543065656957</v>
          </cell>
        </row>
        <row r="259">
          <cell r="D259">
            <v>39405</v>
          </cell>
          <cell r="E259" t="e">
            <v>#N/A</v>
          </cell>
          <cell r="H259">
            <v>39405</v>
          </cell>
          <cell r="I259">
            <v>93.58</v>
          </cell>
          <cell r="J259">
            <v>93.58</v>
          </cell>
          <cell r="L259">
            <v>2.0699999999999998</v>
          </cell>
          <cell r="M259">
            <v>2.0519500000000002</v>
          </cell>
          <cell r="N259">
            <v>4.2475364999999998</v>
          </cell>
          <cell r="O259">
            <v>2.0699999999999998</v>
          </cell>
          <cell r="Q259">
            <v>2.7830167584725984</v>
          </cell>
          <cell r="S259">
            <v>2.8314037191820414</v>
          </cell>
          <cell r="U259">
            <v>3.2396401049769867</v>
          </cell>
        </row>
        <row r="260">
          <cell r="D260">
            <v>39406</v>
          </cell>
          <cell r="E260" t="e">
            <v>#N/A</v>
          </cell>
          <cell r="H260">
            <v>39406</v>
          </cell>
          <cell r="I260">
            <v>96.89</v>
          </cell>
          <cell r="J260">
            <v>96.89</v>
          </cell>
          <cell r="L260">
            <v>2.145</v>
          </cell>
          <cell r="M260">
            <v>2.0646</v>
          </cell>
          <cell r="N260">
            <v>4.4285670000000001</v>
          </cell>
          <cell r="O260">
            <v>2.145</v>
          </cell>
          <cell r="Q260">
            <v>2.8085345439268048</v>
          </cell>
          <cell r="S260">
            <v>2.8162789366328651</v>
          </cell>
          <cell r="U260">
            <v>3.2915705914229196</v>
          </cell>
        </row>
        <row r="261">
          <cell r="D261">
            <v>39407</v>
          </cell>
          <cell r="E261" t="e">
            <v>#N/A</v>
          </cell>
          <cell r="H261">
            <v>39407</v>
          </cell>
          <cell r="I261">
            <v>96.18</v>
          </cell>
          <cell r="J261">
            <v>96.18</v>
          </cell>
          <cell r="L261">
            <v>2.0100000000000002</v>
          </cell>
          <cell r="M261">
            <v>2.05505</v>
          </cell>
          <cell r="N261">
            <v>4.1306505000000007</v>
          </cell>
          <cell r="O261">
            <v>2.0099999999999998</v>
          </cell>
          <cell r="Q261">
            <v>2.731767201941929</v>
          </cell>
          <cell r="S261">
            <v>2.7164139260414544</v>
          </cell>
          <cell r="U261">
            <v>3.1787121977841339</v>
          </cell>
        </row>
        <row r="262">
          <cell r="D262">
            <v>39409</v>
          </cell>
          <cell r="E262" t="e">
            <v>#N/A</v>
          </cell>
          <cell r="H262">
            <v>39409</v>
          </cell>
          <cell r="I262">
            <v>97.13</v>
          </cell>
          <cell r="J262">
            <v>97.13</v>
          </cell>
          <cell r="L262">
            <v>2.06</v>
          </cell>
          <cell r="M262">
            <v>2.0545</v>
          </cell>
          <cell r="N262">
            <v>4.2322699999999998</v>
          </cell>
          <cell r="O262">
            <v>2.06</v>
          </cell>
          <cell r="Q262">
            <v>2.816906731397629</v>
          </cell>
          <cell r="S262">
            <v>2.8409742192275349</v>
          </cell>
          <cell r="U262">
            <v>3.2707636275911227</v>
          </cell>
        </row>
        <row r="263">
          <cell r="D263">
            <v>39412</v>
          </cell>
          <cell r="E263" t="e">
            <v>#N/A</v>
          </cell>
          <cell r="H263">
            <v>39412</v>
          </cell>
          <cell r="I263">
            <v>96.76</v>
          </cell>
          <cell r="J263">
            <v>96.76</v>
          </cell>
          <cell r="L263">
            <v>2.0649999999999999</v>
          </cell>
          <cell r="M263">
            <v>2.06785</v>
          </cell>
          <cell r="N263">
            <v>4.2701102500000001</v>
          </cell>
          <cell r="O263">
            <v>2.0649999999999999</v>
          </cell>
          <cell r="Q263">
            <v>2.7959628886191767</v>
          </cell>
          <cell r="S263">
            <v>2.7866540103017376</v>
          </cell>
          <cell r="U263">
            <v>3.2524493503470775</v>
          </cell>
        </row>
        <row r="264">
          <cell r="D264">
            <v>39413</v>
          </cell>
          <cell r="E264" t="e">
            <v>#N/A</v>
          </cell>
          <cell r="H264">
            <v>39413</v>
          </cell>
          <cell r="I264">
            <v>93.63</v>
          </cell>
          <cell r="J264">
            <v>93.63</v>
          </cell>
          <cell r="L264">
            <v>2.0150000000000001</v>
          </cell>
          <cell r="M264">
            <v>2.0699000000000001</v>
          </cell>
          <cell r="N264">
            <v>4.1708485000000008</v>
          </cell>
          <cell r="O264">
            <v>2.0150000000000001</v>
          </cell>
          <cell r="Q264">
            <v>2.7527912893287279</v>
          </cell>
          <cell r="S264">
            <v>2.7339927998236697</v>
          </cell>
          <cell r="U264">
            <v>3.222907390153404</v>
          </cell>
        </row>
        <row r="265">
          <cell r="D265">
            <v>39414</v>
          </cell>
          <cell r="E265" t="e">
            <v>#N/A</v>
          </cell>
          <cell r="H265">
            <v>39414</v>
          </cell>
          <cell r="I265">
            <v>90.03</v>
          </cell>
          <cell r="J265">
            <v>90.03</v>
          </cell>
          <cell r="L265">
            <v>2.1175000000000002</v>
          </cell>
          <cell r="M265">
            <v>2.0712999999999999</v>
          </cell>
          <cell r="N265">
            <v>4.3859777500000003</v>
          </cell>
          <cell r="O265">
            <v>2.1175000000000002</v>
          </cell>
          <cell r="Q265">
            <v>2.8330358976752872</v>
          </cell>
          <cell r="S265">
            <v>2.8022979778066404</v>
          </cell>
          <cell r="U265">
            <v>3.2652653189438685</v>
          </cell>
        </row>
        <row r="266">
          <cell r="D266">
            <v>39415</v>
          </cell>
          <cell r="E266" t="e">
            <v>#N/A</v>
          </cell>
          <cell r="H266">
            <v>39415</v>
          </cell>
          <cell r="I266">
            <v>90.35</v>
          </cell>
          <cell r="J266">
            <v>90.35</v>
          </cell>
          <cell r="L266">
            <v>2.1425000000000001</v>
          </cell>
          <cell r="M266">
            <v>2.0626000000000002</v>
          </cell>
          <cell r="N266">
            <v>4.4191205000000009</v>
          </cell>
          <cell r="O266">
            <v>2.1425000000000001</v>
          </cell>
          <cell r="Q266">
            <v>2.8526155821118482</v>
          </cell>
          <cell r="S266">
            <v>2.8092741734115214</v>
          </cell>
          <cell r="U266">
            <v>3.2924903216420343</v>
          </cell>
        </row>
        <row r="267">
          <cell r="D267">
            <v>39416</v>
          </cell>
          <cell r="E267" t="e">
            <v>#N/A</v>
          </cell>
          <cell r="H267">
            <v>39416</v>
          </cell>
          <cell r="I267">
            <v>88.26</v>
          </cell>
          <cell r="J267">
            <v>88.26</v>
          </cell>
          <cell r="L267">
            <v>2.1850000000000001</v>
          </cell>
          <cell r="M267">
            <v>2.0561500000000001</v>
          </cell>
          <cell r="N267">
            <v>4.4926877500000009</v>
          </cell>
          <cell r="O267">
            <v>2.1850000000000001</v>
          </cell>
          <cell r="Q267">
            <v>2.8751108206516669</v>
          </cell>
          <cell r="S267">
            <v>2.840187728198893</v>
          </cell>
          <cell r="U267">
            <v>3.3004486322078974</v>
          </cell>
        </row>
        <row r="268">
          <cell r="D268">
            <v>39419</v>
          </cell>
          <cell r="E268" t="e">
            <v>#N/A</v>
          </cell>
          <cell r="H268">
            <v>39419</v>
          </cell>
          <cell r="I268">
            <v>89.04</v>
          </cell>
          <cell r="J268">
            <v>89.04</v>
          </cell>
          <cell r="L268">
            <v>2.125</v>
          </cell>
          <cell r="M268">
            <v>2.06725</v>
          </cell>
          <cell r="N268">
            <v>4.3929062500000002</v>
          </cell>
          <cell r="O268">
            <v>2.125</v>
          </cell>
          <cell r="Q268">
            <v>2.824610213798898</v>
          </cell>
          <cell r="S268">
            <v>2.8021942215802516</v>
          </cell>
          <cell r="U268">
            <v>3.2503787408648801</v>
          </cell>
        </row>
        <row r="269">
          <cell r="D269">
            <v>39420</v>
          </cell>
          <cell r="E269" t="e">
            <v>#N/A</v>
          </cell>
          <cell r="H269">
            <v>39420</v>
          </cell>
          <cell r="I269">
            <v>88.11</v>
          </cell>
          <cell r="J269">
            <v>88.11</v>
          </cell>
          <cell r="L269">
            <v>2.02</v>
          </cell>
          <cell r="M269">
            <v>2.0586500000000001</v>
          </cell>
          <cell r="N269">
            <v>4.1584729999999999</v>
          </cell>
          <cell r="O269">
            <v>2.02</v>
          </cell>
          <cell r="Q269">
            <v>2.7467461954999539</v>
          </cell>
          <cell r="S269">
            <v>2.7158432271443358</v>
          </cell>
          <cell r="U269">
            <v>3.2007898742587093</v>
          </cell>
        </row>
        <row r="270">
          <cell r="D270">
            <v>39421</v>
          </cell>
          <cell r="E270" t="e">
            <v>#N/A</v>
          </cell>
          <cell r="H270">
            <v>39421</v>
          </cell>
          <cell r="I270">
            <v>87.29</v>
          </cell>
          <cell r="J270">
            <v>87.29</v>
          </cell>
          <cell r="L270">
            <v>2.0625</v>
          </cell>
          <cell r="M270">
            <v>2.02765</v>
          </cell>
          <cell r="N270">
            <v>4.1820281249999995</v>
          </cell>
          <cell r="O270">
            <v>2.0625</v>
          </cell>
          <cell r="Q270">
            <v>2.8116373354495381</v>
          </cell>
          <cell r="S270">
            <v>2.7741385979056217</v>
          </cell>
          <cell r="U270">
            <v>3.2450140245974195</v>
          </cell>
        </row>
        <row r="271">
          <cell r="D271">
            <v>39422</v>
          </cell>
          <cell r="E271" t="e">
            <v>#N/A</v>
          </cell>
          <cell r="H271">
            <v>39422</v>
          </cell>
          <cell r="I271">
            <v>89.94</v>
          </cell>
          <cell r="J271">
            <v>89.94</v>
          </cell>
          <cell r="L271">
            <v>2.0674999999999999</v>
          </cell>
          <cell r="M271">
            <v>2.02535</v>
          </cell>
          <cell r="N271">
            <v>4.1874111249999997</v>
          </cell>
          <cell r="O271">
            <v>2.0674999999999999</v>
          </cell>
          <cell r="Q271">
            <v>2.8074378676127352</v>
          </cell>
          <cell r="S271">
            <v>2.7718739007426105</v>
          </cell>
          <cell r="U271">
            <v>3.2508163372966936</v>
          </cell>
        </row>
        <row r="272">
          <cell r="D272">
            <v>39423</v>
          </cell>
          <cell r="E272" t="e">
            <v>#N/A</v>
          </cell>
          <cell r="H272">
            <v>39423</v>
          </cell>
          <cell r="I272">
            <v>88.15</v>
          </cell>
          <cell r="J272">
            <v>88.15</v>
          </cell>
          <cell r="L272">
            <v>2.0625</v>
          </cell>
          <cell r="M272">
            <v>2.0294000000000003</v>
          </cell>
          <cell r="N272">
            <v>4.1856375000000003</v>
          </cell>
          <cell r="O272">
            <v>2.0625</v>
          </cell>
          <cell r="Q272">
            <v>2.8441096536271124</v>
          </cell>
          <cell r="S272">
            <v>2.7968875586920219</v>
          </cell>
          <cell r="U272">
            <v>3.297931202595354</v>
          </cell>
        </row>
        <row r="273">
          <cell r="D273">
            <v>39426</v>
          </cell>
          <cell r="E273" t="e">
            <v>#N/A</v>
          </cell>
          <cell r="H273">
            <v>39426</v>
          </cell>
          <cell r="I273">
            <v>87.77</v>
          </cell>
          <cell r="J273">
            <v>87.77</v>
          </cell>
          <cell r="L273">
            <v>2.0550000000000002</v>
          </cell>
          <cell r="M273">
            <v>2.0462000000000002</v>
          </cell>
          <cell r="N273">
            <v>4.2049410000000007</v>
          </cell>
          <cell r="O273">
            <v>2.0550000000000002</v>
          </cell>
          <cell r="Q273">
            <v>2.843414200354776</v>
          </cell>
          <cell r="S273">
            <v>2.7670111563055415</v>
          </cell>
          <cell r="U273">
            <v>3.3087351301746084</v>
          </cell>
        </row>
        <row r="274">
          <cell r="D274">
            <v>39427</v>
          </cell>
          <cell r="E274" t="e">
            <v>#N/A</v>
          </cell>
          <cell r="H274">
            <v>39427</v>
          </cell>
          <cell r="I274">
            <v>89.92</v>
          </cell>
          <cell r="J274">
            <v>89.92</v>
          </cell>
          <cell r="L274">
            <v>2.0375000000000001</v>
          </cell>
          <cell r="M274">
            <v>2.0389500000000003</v>
          </cell>
          <cell r="N274">
            <v>4.1543606250000007</v>
          </cell>
          <cell r="O274">
            <v>2.0375000000000001</v>
          </cell>
          <cell r="Q274">
            <v>2.8481218840444402</v>
          </cell>
          <cell r="S274">
            <v>2.787145387517016</v>
          </cell>
          <cell r="U274">
            <v>3.3196978646515873</v>
          </cell>
        </row>
        <row r="275">
          <cell r="D275">
            <v>39428</v>
          </cell>
          <cell r="E275" t="e">
            <v>#N/A</v>
          </cell>
          <cell r="H275">
            <v>39428</v>
          </cell>
          <cell r="I275">
            <v>94.28</v>
          </cell>
          <cell r="J275">
            <v>94.28</v>
          </cell>
          <cell r="L275">
            <v>2.0225</v>
          </cell>
          <cell r="M275">
            <v>2.04555</v>
          </cell>
          <cell r="N275">
            <v>4.1371248749999996</v>
          </cell>
          <cell r="O275">
            <v>2.0225</v>
          </cell>
          <cell r="Q275">
            <v>2.8468112221081134</v>
          </cell>
          <cell r="S275">
            <v>2.7990368039768527</v>
          </cell>
          <cell r="U275">
            <v>3.316780465249912</v>
          </cell>
        </row>
        <row r="276">
          <cell r="D276">
            <v>39429</v>
          </cell>
          <cell r="E276" t="e">
            <v>#N/A</v>
          </cell>
          <cell r="H276">
            <v>39429</v>
          </cell>
          <cell r="I276">
            <v>92.46</v>
          </cell>
          <cell r="J276">
            <v>92.46</v>
          </cell>
          <cell r="L276">
            <v>1.9475</v>
          </cell>
          <cell r="M276">
            <v>2.0376000000000003</v>
          </cell>
          <cell r="N276">
            <v>3.9682260000000005</v>
          </cell>
          <cell r="O276">
            <v>1.9475</v>
          </cell>
          <cell r="Q276">
            <v>2.7643465129306319</v>
          </cell>
          <cell r="S276">
            <v>2.7395697057069839</v>
          </cell>
          <cell r="U276">
            <v>3.2498606868237236</v>
          </cell>
        </row>
        <row r="277">
          <cell r="D277">
            <v>39430</v>
          </cell>
          <cell r="E277" t="e">
            <v>#N/A</v>
          </cell>
          <cell r="H277">
            <v>39430</v>
          </cell>
          <cell r="I277">
            <v>91.55</v>
          </cell>
          <cell r="J277">
            <v>91.55</v>
          </cell>
          <cell r="L277">
            <v>1.97</v>
          </cell>
          <cell r="M277">
            <v>2.0195500000000002</v>
          </cell>
          <cell r="N277">
            <v>3.9785135000000005</v>
          </cell>
          <cell r="O277">
            <v>1.97</v>
          </cell>
          <cell r="Q277">
            <v>2.7854508449257778</v>
          </cell>
          <cell r="S277">
            <v>2.7388648244214435</v>
          </cell>
          <cell r="U277">
            <v>3.2640489209801622</v>
          </cell>
        </row>
        <row r="278">
          <cell r="D278">
            <v>39433</v>
          </cell>
          <cell r="E278" t="e">
            <v>#N/A</v>
          </cell>
          <cell r="H278">
            <v>39433</v>
          </cell>
          <cell r="I278">
            <v>91.05</v>
          </cell>
          <cell r="J278">
            <v>91.05</v>
          </cell>
          <cell r="L278">
            <v>1.95</v>
          </cell>
          <cell r="M278">
            <v>2.0150999999999999</v>
          </cell>
          <cell r="N278">
            <v>3.9294449999999999</v>
          </cell>
          <cell r="O278">
            <v>1.95</v>
          </cell>
          <cell r="Q278">
            <v>2.712374754924844</v>
          </cell>
          <cell r="S278">
            <v>2.661391049927206</v>
          </cell>
          <cell r="U278">
            <v>3.2104536019573455</v>
          </cell>
        </row>
        <row r="279">
          <cell r="D279">
            <v>39434</v>
          </cell>
          <cell r="E279" t="e">
            <v>#N/A</v>
          </cell>
          <cell r="H279">
            <v>39434</v>
          </cell>
          <cell r="I279">
            <v>90.08</v>
          </cell>
          <cell r="J279">
            <v>90.08</v>
          </cell>
          <cell r="L279">
            <v>1.95</v>
          </cell>
          <cell r="M279">
            <v>2.0179</v>
          </cell>
          <cell r="N279">
            <v>3.9349050000000001</v>
          </cell>
          <cell r="O279">
            <v>1.95</v>
          </cell>
          <cell r="Q279">
            <v>2.7248929138269076</v>
          </cell>
          <cell r="S279">
            <v>2.6642661009445567</v>
          </cell>
          <cell r="U279">
            <v>3.2395138775518002</v>
          </cell>
        </row>
        <row r="280">
          <cell r="D280">
            <v>39435</v>
          </cell>
          <cell r="E280" t="e">
            <v>#N/A</v>
          </cell>
          <cell r="H280">
            <v>39435</v>
          </cell>
          <cell r="I280">
            <v>91.24</v>
          </cell>
          <cell r="J280">
            <v>91.24</v>
          </cell>
          <cell r="L280">
            <v>1.95</v>
          </cell>
          <cell r="M280">
            <v>2.0033500000000002</v>
          </cell>
          <cell r="N280">
            <v>3.9065325000000004</v>
          </cell>
          <cell r="O280">
            <v>1.95</v>
          </cell>
          <cell r="Q280">
            <v>2.7368493604705448</v>
          </cell>
          <cell r="S280">
            <v>2.6588334729949183</v>
          </cell>
          <cell r="U280">
            <v>3.2389084646484525</v>
          </cell>
        </row>
        <row r="281">
          <cell r="D281">
            <v>39436</v>
          </cell>
          <cell r="E281" t="e">
            <v>#N/A</v>
          </cell>
          <cell r="H281">
            <v>39436</v>
          </cell>
          <cell r="I281">
            <v>91.06</v>
          </cell>
          <cell r="J281">
            <v>91.06</v>
          </cell>
          <cell r="L281">
            <v>1.9975000000000001</v>
          </cell>
          <cell r="M281">
            <v>1.9814500000000002</v>
          </cell>
          <cell r="N281">
            <v>3.9579463750000006</v>
          </cell>
          <cell r="O281">
            <v>1.9975000000000001</v>
          </cell>
          <cell r="Q281">
            <v>2.7810641396694988</v>
          </cell>
          <cell r="S281">
            <v>2.7187959588558077</v>
          </cell>
          <cell r="U281">
            <v>3.2901196867816118</v>
          </cell>
        </row>
        <row r="282">
          <cell r="D282">
            <v>39437</v>
          </cell>
          <cell r="E282" t="e">
            <v>#N/A</v>
          </cell>
          <cell r="H282">
            <v>39437</v>
          </cell>
          <cell r="I282">
            <v>93.31</v>
          </cell>
          <cell r="J282">
            <v>93.31</v>
          </cell>
          <cell r="L282">
            <v>1.99</v>
          </cell>
          <cell r="M282">
            <v>1.9840500000000001</v>
          </cell>
          <cell r="N282">
            <v>3.9482595000000003</v>
          </cell>
          <cell r="O282">
            <v>1.99</v>
          </cell>
          <cell r="Q282">
            <v>2.8170137242087576</v>
          </cell>
          <cell r="S282">
            <v>2.7774539873174087</v>
          </cell>
          <cell r="U282">
            <v>3.3744107551007119</v>
          </cell>
        </row>
        <row r="283">
          <cell r="D283">
            <v>39440</v>
          </cell>
          <cell r="E283" t="e">
            <v>#N/A</v>
          </cell>
          <cell r="H283">
            <v>39440</v>
          </cell>
          <cell r="I283">
            <v>94.13</v>
          </cell>
          <cell r="J283">
            <v>94.13</v>
          </cell>
          <cell r="L283">
            <v>2.0100000000000002</v>
          </cell>
          <cell r="M283">
            <v>1.9766000000000001</v>
          </cell>
          <cell r="N283">
            <v>3.9729660000000009</v>
          </cell>
          <cell r="O283">
            <v>2.0099999999999998</v>
          </cell>
          <cell r="Q283">
            <v>2.8317519839417424</v>
          </cell>
          <cell r="S283">
            <v>2.7999241326953328</v>
          </cell>
          <cell r="U283">
            <v>3.3882419488536248</v>
          </cell>
        </row>
        <row r="284">
          <cell r="D284">
            <v>39442</v>
          </cell>
          <cell r="E284" t="e">
            <v>#N/A</v>
          </cell>
          <cell r="H284">
            <v>39442</v>
          </cell>
          <cell r="I284">
            <v>95.97</v>
          </cell>
          <cell r="J284">
            <v>95.97</v>
          </cell>
          <cell r="L284">
            <v>2.0100000000000002</v>
          </cell>
          <cell r="M284">
            <v>1.9831500000000002</v>
          </cell>
          <cell r="N284">
            <v>3.9861315000000008</v>
          </cell>
          <cell r="O284">
            <v>2.0099999999999998</v>
          </cell>
          <cell r="Q284">
            <v>2.8317519839417424</v>
          </cell>
          <cell r="S284">
            <v>2.8060999213954974</v>
          </cell>
          <cell r="U284">
            <v>3.3931352517611755</v>
          </cell>
        </row>
        <row r="285">
          <cell r="D285">
            <v>39443</v>
          </cell>
          <cell r="E285" t="e">
            <v>#N/A</v>
          </cell>
          <cell r="H285">
            <v>39443</v>
          </cell>
          <cell r="I285">
            <v>96.62</v>
          </cell>
          <cell r="J285">
            <v>96.62</v>
          </cell>
          <cell r="L285">
            <v>2.0325000000000002</v>
          </cell>
          <cell r="M285">
            <v>1.9884000000000002</v>
          </cell>
          <cell r="N285">
            <v>4.0414230000000009</v>
          </cell>
          <cell r="O285">
            <v>2.0325000000000002</v>
          </cell>
          <cell r="Q285">
            <v>2.8375295957426947</v>
          </cell>
          <cell r="S285">
            <v>2.7769657782357866</v>
          </cell>
          <cell r="U285">
            <v>3.4107657534037514</v>
          </cell>
        </row>
        <row r="286">
          <cell r="D286">
            <v>39444</v>
          </cell>
          <cell r="E286" t="e">
            <v>#N/A</v>
          </cell>
          <cell r="H286">
            <v>39444</v>
          </cell>
          <cell r="I286">
            <v>96</v>
          </cell>
          <cell r="J286">
            <v>96</v>
          </cell>
          <cell r="L286">
            <v>2.0699999999999998</v>
          </cell>
          <cell r="M286">
            <v>1.9929000000000001</v>
          </cell>
          <cell r="N286">
            <v>4.1253029999999997</v>
          </cell>
          <cell r="O286">
            <v>2.0699999999999998</v>
          </cell>
          <cell r="Q286">
            <v>2.8487638409112126</v>
          </cell>
          <cell r="S286">
            <v>2.8081453650251018</v>
          </cell>
          <cell r="U286">
            <v>3.4315637239315593</v>
          </cell>
        </row>
        <row r="287">
          <cell r="D287">
            <v>39447</v>
          </cell>
          <cell r="E287" t="e">
            <v>#N/A</v>
          </cell>
          <cell r="H287">
            <v>39447</v>
          </cell>
          <cell r="I287">
            <v>95.98</v>
          </cell>
          <cell r="J287">
            <v>95.98</v>
          </cell>
          <cell r="L287">
            <v>2.0525000000000002</v>
          </cell>
          <cell r="M287">
            <v>1.9906000000000001</v>
          </cell>
          <cell r="N287">
            <v>4.0857065000000006</v>
          </cell>
          <cell r="O287">
            <v>2.0525000000000002</v>
          </cell>
          <cell r="Q287">
            <v>2.8507699561198767</v>
          </cell>
          <cell r="S287">
            <v>2.7991734824061734</v>
          </cell>
          <cell r="U287">
            <v>3.4571078095407248</v>
          </cell>
        </row>
        <row r="288">
          <cell r="D288">
            <v>39449</v>
          </cell>
          <cell r="E288" t="e">
            <v>#N/A</v>
          </cell>
          <cell r="H288">
            <v>39449</v>
          </cell>
          <cell r="I288">
            <v>99.62</v>
          </cell>
          <cell r="J288">
            <v>99.62</v>
          </cell>
          <cell r="L288">
            <v>2.0550000000000002</v>
          </cell>
          <cell r="M288">
            <v>1.9795500000000001</v>
          </cell>
          <cell r="N288">
            <v>4.0679752500000008</v>
          </cell>
          <cell r="O288">
            <v>2.0550000000000002</v>
          </cell>
          <cell r="Q288">
            <v>2.8488708337223416</v>
          </cell>
          <cell r="S288">
            <v>2.8032666151900276</v>
          </cell>
          <cell r="U288">
            <v>3.4463086247310217</v>
          </cell>
        </row>
        <row r="289">
          <cell r="D289">
            <v>39450</v>
          </cell>
          <cell r="E289" t="e">
            <v>#N/A</v>
          </cell>
          <cell r="H289">
            <v>39450</v>
          </cell>
          <cell r="I289">
            <v>99.18</v>
          </cell>
          <cell r="J289">
            <v>99.18</v>
          </cell>
          <cell r="L289">
            <v>2.0350000000000001</v>
          </cell>
          <cell r="M289">
            <v>1.9714500000000001</v>
          </cell>
          <cell r="N289">
            <v>4.0119007500000006</v>
          </cell>
          <cell r="O289">
            <v>2.0350000000000001</v>
          </cell>
          <cell r="Q289">
            <v>2.819501307067501</v>
          </cell>
          <cell r="S289">
            <v>2.7481166323610955</v>
          </cell>
          <cell r="U289">
            <v>3.4241452156544336</v>
          </cell>
        </row>
        <row r="290">
          <cell r="D290">
            <v>39451</v>
          </cell>
          <cell r="E290" t="e">
            <v>#N/A</v>
          </cell>
          <cell r="H290">
            <v>39451</v>
          </cell>
          <cell r="I290">
            <v>97.91</v>
          </cell>
          <cell r="J290">
            <v>97.91</v>
          </cell>
          <cell r="L290">
            <v>1.9925000000000002</v>
          </cell>
          <cell r="M290">
            <v>1.9742000000000002</v>
          </cell>
          <cell r="N290">
            <v>3.9335935000000006</v>
          </cell>
          <cell r="O290">
            <v>1.9924999999999999</v>
          </cell>
          <cell r="Q290">
            <v>2.7457832601997949</v>
          </cell>
          <cell r="S290">
            <v>2.676064493121773</v>
          </cell>
          <cell r="U290">
            <v>3.3717819049221522</v>
          </cell>
        </row>
        <row r="291">
          <cell r="D291">
            <v>39454</v>
          </cell>
          <cell r="E291" t="e">
            <v>#N/A</v>
          </cell>
          <cell r="H291">
            <v>39454</v>
          </cell>
          <cell r="I291">
            <v>95.09</v>
          </cell>
          <cell r="J291">
            <v>95.09</v>
          </cell>
          <cell r="L291">
            <v>1.9100000000000001</v>
          </cell>
          <cell r="M291">
            <v>1.9755500000000001</v>
          </cell>
          <cell r="N291">
            <v>3.7733005000000004</v>
          </cell>
          <cell r="O291">
            <v>1.91</v>
          </cell>
          <cell r="Q291">
            <v>2.6997228550088699</v>
          </cell>
          <cell r="S291">
            <v>2.5974767409351802</v>
          </cell>
          <cell r="U291">
            <v>3.2727783877586361</v>
          </cell>
        </row>
        <row r="292">
          <cell r="D292">
            <v>39455</v>
          </cell>
          <cell r="E292" t="e">
            <v>#N/A</v>
          </cell>
          <cell r="H292">
            <v>39455</v>
          </cell>
          <cell r="I292">
            <v>96.33</v>
          </cell>
          <cell r="J292">
            <v>96.33</v>
          </cell>
          <cell r="L292">
            <v>1.905</v>
          </cell>
          <cell r="M292">
            <v>1.9735500000000001</v>
          </cell>
          <cell r="N292">
            <v>3.7596127500000005</v>
          </cell>
          <cell r="O292">
            <v>1.905</v>
          </cell>
          <cell r="Q292">
            <v>2.7180453739146673</v>
          </cell>
          <cell r="S292">
            <v>2.5529402958500733</v>
          </cell>
          <cell r="U292">
            <v>3.2801016728331627</v>
          </cell>
        </row>
        <row r="293">
          <cell r="D293">
            <v>39456</v>
          </cell>
          <cell r="E293" t="e">
            <v>#N/A</v>
          </cell>
          <cell r="H293">
            <v>39456</v>
          </cell>
          <cell r="I293">
            <v>95.67</v>
          </cell>
          <cell r="J293">
            <v>95.67</v>
          </cell>
          <cell r="L293">
            <v>1.8900000000000001</v>
          </cell>
          <cell r="M293">
            <v>1.9582500000000003</v>
          </cell>
          <cell r="N293">
            <v>3.7010925000000006</v>
          </cell>
          <cell r="O293">
            <v>1.89</v>
          </cell>
          <cell r="Q293">
            <v>2.6651909252170669</v>
          </cell>
          <cell r="S293">
            <v>2.4855126319808001</v>
          </cell>
          <cell r="U293">
            <v>3.2588291843052435</v>
          </cell>
        </row>
        <row r="294">
          <cell r="D294">
            <v>39457</v>
          </cell>
          <cell r="E294" t="e">
            <v>#N/A</v>
          </cell>
          <cell r="H294">
            <v>39457</v>
          </cell>
          <cell r="I294">
            <v>93.71</v>
          </cell>
          <cell r="J294">
            <v>93.71</v>
          </cell>
          <cell r="L294">
            <v>1.8775000000000002</v>
          </cell>
          <cell r="M294">
            <v>1.9574500000000001</v>
          </cell>
          <cell r="N294">
            <v>3.6751123750000008</v>
          </cell>
          <cell r="O294">
            <v>1.8774999999999999</v>
          </cell>
          <cell r="Q294">
            <v>2.6214843618709738</v>
          </cell>
          <cell r="S294">
            <v>2.4792331147193609</v>
          </cell>
          <cell r="U294">
            <v>3.2342849087219139</v>
          </cell>
        </row>
        <row r="295">
          <cell r="D295">
            <v>39458</v>
          </cell>
          <cell r="E295" t="e">
            <v>#N/A</v>
          </cell>
          <cell r="H295">
            <v>39458</v>
          </cell>
          <cell r="I295">
            <v>92.69</v>
          </cell>
          <cell r="J295">
            <v>92.69</v>
          </cell>
          <cell r="L295">
            <v>1.915</v>
          </cell>
          <cell r="M295">
            <v>1.9583000000000002</v>
          </cell>
          <cell r="N295">
            <v>3.7501445000000002</v>
          </cell>
          <cell r="O295">
            <v>1.915</v>
          </cell>
          <cell r="Q295">
            <v>2.6292948370833726</v>
          </cell>
          <cell r="S295">
            <v>2.4990576258619033</v>
          </cell>
          <cell r="U295">
            <v>3.2095457412311594</v>
          </cell>
        </row>
        <row r="296">
          <cell r="D296">
            <v>39461</v>
          </cell>
          <cell r="E296" t="e">
            <v>#N/A</v>
          </cell>
          <cell r="H296">
            <v>39461</v>
          </cell>
          <cell r="I296">
            <v>94.2</v>
          </cell>
          <cell r="J296">
            <v>94.2</v>
          </cell>
          <cell r="L296">
            <v>1.9225000000000001</v>
          </cell>
          <cell r="M296">
            <v>1.9584500000000002</v>
          </cell>
          <cell r="N296">
            <v>3.7651201250000006</v>
          </cell>
          <cell r="O296">
            <v>1.9225000000000001</v>
          </cell>
          <cell r="Q296">
            <v>2.6832727102978247</v>
          </cell>
          <cell r="S296">
            <v>2.5382455386833773</v>
          </cell>
          <cell r="U296">
            <v>3.2428332938604232</v>
          </cell>
        </row>
        <row r="297">
          <cell r="D297">
            <v>39462</v>
          </cell>
          <cell r="E297" t="e">
            <v>#N/A</v>
          </cell>
          <cell r="H297">
            <v>39462</v>
          </cell>
          <cell r="I297">
            <v>91.73</v>
          </cell>
          <cell r="J297">
            <v>91.73</v>
          </cell>
          <cell r="L297">
            <v>1.8525</v>
          </cell>
          <cell r="M297">
            <v>1.9714</v>
          </cell>
          <cell r="N297">
            <v>3.6520185000000001</v>
          </cell>
          <cell r="O297">
            <v>1.8525</v>
          </cell>
          <cell r="Q297">
            <v>2.612175987302773</v>
          </cell>
          <cell r="S297">
            <v>2.448953667564286</v>
          </cell>
          <cell r="U297">
            <v>3.1686999005426704</v>
          </cell>
        </row>
        <row r="298">
          <cell r="D298">
            <v>39463</v>
          </cell>
          <cell r="E298" t="e">
            <v>#N/A</v>
          </cell>
          <cell r="H298">
            <v>39463</v>
          </cell>
          <cell r="I298">
            <v>90.36</v>
          </cell>
          <cell r="J298">
            <v>90.36</v>
          </cell>
          <cell r="L298">
            <v>1.82</v>
          </cell>
          <cell r="M298">
            <v>1.9648000000000001</v>
          </cell>
          <cell r="N298">
            <v>3.5759360000000004</v>
          </cell>
          <cell r="O298">
            <v>1.82</v>
          </cell>
          <cell r="Q298">
            <v>2.5750227336383151</v>
          </cell>
          <cell r="S298">
            <v>2.4083727403361568</v>
          </cell>
          <cell r="U298">
            <v>3.0873319514257167</v>
          </cell>
        </row>
        <row r="299">
          <cell r="D299">
            <v>39464</v>
          </cell>
          <cell r="E299" t="e">
            <v>#N/A</v>
          </cell>
          <cell r="H299">
            <v>39464</v>
          </cell>
          <cell r="I299">
            <v>89.57</v>
          </cell>
          <cell r="J299">
            <v>89.57</v>
          </cell>
          <cell r="L299">
            <v>1.7450000000000001</v>
          </cell>
          <cell r="M299">
            <v>1.9769000000000001</v>
          </cell>
          <cell r="N299">
            <v>3.4496905000000004</v>
          </cell>
          <cell r="O299">
            <v>1.7450000000000001</v>
          </cell>
          <cell r="Q299">
            <v>2.5845718420315564</v>
          </cell>
          <cell r="S299">
            <v>2.4214118560762881</v>
          </cell>
          <cell r="U299">
            <v>3.0541121877294377</v>
          </cell>
        </row>
        <row r="300">
          <cell r="D300">
            <v>39465</v>
          </cell>
          <cell r="E300" t="e">
            <v>#N/A</v>
          </cell>
          <cell r="H300">
            <v>39465</v>
          </cell>
          <cell r="I300">
            <v>89.92</v>
          </cell>
          <cell r="J300">
            <v>89.92</v>
          </cell>
          <cell r="L300">
            <v>1.7575000000000001</v>
          </cell>
          <cell r="M300">
            <v>1.9541500000000001</v>
          </cell>
          <cell r="N300">
            <v>3.4344186250000002</v>
          </cell>
          <cell r="O300">
            <v>1.7575000000000001</v>
          </cell>
          <cell r="Q300">
            <v>2.5892527775184391</v>
          </cell>
          <cell r="S300">
            <v>2.4362805181381182</v>
          </cell>
          <cell r="U300">
            <v>3.0126416644312441</v>
          </cell>
        </row>
        <row r="301">
          <cell r="D301">
            <v>39469</v>
          </cell>
          <cell r="E301" t="e">
            <v>#N/A</v>
          </cell>
          <cell r="H301">
            <v>39469</v>
          </cell>
          <cell r="I301">
            <v>89.21</v>
          </cell>
          <cell r="J301">
            <v>89.21</v>
          </cell>
          <cell r="L301">
            <v>1.7525000000000002</v>
          </cell>
          <cell r="M301">
            <v>1.9606000000000001</v>
          </cell>
          <cell r="N301">
            <v>3.4359515000000007</v>
          </cell>
          <cell r="O301">
            <v>1.7524999999999999</v>
          </cell>
          <cell r="Q301">
            <v>2.5712512370460279</v>
          </cell>
          <cell r="S301">
            <v>2.462351246880623</v>
          </cell>
          <cell r="U301">
            <v>2.9576498546660543</v>
          </cell>
        </row>
        <row r="302">
          <cell r="D302">
            <v>39470</v>
          </cell>
          <cell r="E302" t="e">
            <v>#N/A</v>
          </cell>
          <cell r="H302">
            <v>39470</v>
          </cell>
          <cell r="I302">
            <v>86.99</v>
          </cell>
          <cell r="J302">
            <v>86.99</v>
          </cell>
          <cell r="L302">
            <v>1.7375</v>
          </cell>
          <cell r="M302">
            <v>1.9496500000000001</v>
          </cell>
          <cell r="N302">
            <v>3.3875168750000002</v>
          </cell>
          <cell r="O302">
            <v>1.7375</v>
          </cell>
          <cell r="Q302">
            <v>2.5393941275324434</v>
          </cell>
          <cell r="S302">
            <v>2.443769216537488</v>
          </cell>
          <cell r="U302">
            <v>2.8981773500860881</v>
          </cell>
        </row>
        <row r="303">
          <cell r="D303">
            <v>39471</v>
          </cell>
          <cell r="E303" t="e">
            <v>#N/A</v>
          </cell>
          <cell r="H303">
            <v>39471</v>
          </cell>
          <cell r="I303">
            <v>89.41</v>
          </cell>
          <cell r="J303">
            <v>89.41</v>
          </cell>
          <cell r="L303">
            <v>1.7625000000000002</v>
          </cell>
          <cell r="M303">
            <v>1.9717</v>
          </cell>
          <cell r="N303">
            <v>3.4751212500000004</v>
          </cell>
          <cell r="O303">
            <v>1.7625</v>
          </cell>
          <cell r="Q303">
            <v>2.6363831108206517</v>
          </cell>
          <cell r="S303">
            <v>2.508255678292362</v>
          </cell>
          <cell r="U303">
            <v>2.9516483427426592</v>
          </cell>
        </row>
        <row r="304">
          <cell r="D304">
            <v>39472</v>
          </cell>
          <cell r="E304" t="e">
            <v>#N/A</v>
          </cell>
          <cell r="H304">
            <v>39472</v>
          </cell>
          <cell r="I304">
            <v>90.71</v>
          </cell>
          <cell r="J304">
            <v>90.71</v>
          </cell>
          <cell r="L304">
            <v>1.7475000000000001</v>
          </cell>
          <cell r="M304">
            <v>1.9832000000000001</v>
          </cell>
          <cell r="N304">
            <v>3.4656420000000003</v>
          </cell>
          <cell r="O304">
            <v>1.7475000000000001</v>
          </cell>
          <cell r="Q304">
            <v>2.6048737279432355</v>
          </cell>
          <cell r="S304">
            <v>2.4878332359616393</v>
          </cell>
          <cell r="U304">
            <v>2.9932937996656399</v>
          </cell>
        </row>
        <row r="305">
          <cell r="D305">
            <v>39475</v>
          </cell>
          <cell r="E305" t="e">
            <v>#N/A</v>
          </cell>
          <cell r="H305">
            <v>39475</v>
          </cell>
          <cell r="I305">
            <v>90.99</v>
          </cell>
          <cell r="J305">
            <v>90.99</v>
          </cell>
          <cell r="L305">
            <v>1.75</v>
          </cell>
          <cell r="M305">
            <v>1.9875</v>
          </cell>
          <cell r="N305">
            <v>3.4781249999999999</v>
          </cell>
          <cell r="O305">
            <v>1.75</v>
          </cell>
          <cell r="Q305">
            <v>2.5786604892166931</v>
          </cell>
          <cell r="S305">
            <v>2.4553375345428363</v>
          </cell>
          <cell r="U305">
            <v>2.9730911980564634</v>
          </cell>
        </row>
        <row r="306">
          <cell r="D306">
            <v>39476</v>
          </cell>
          <cell r="E306" t="e">
            <v>#N/A</v>
          </cell>
          <cell r="H306">
            <v>39476</v>
          </cell>
          <cell r="I306">
            <v>91.64</v>
          </cell>
          <cell r="J306">
            <v>91.64</v>
          </cell>
          <cell r="L306">
            <v>1.835</v>
          </cell>
          <cell r="M306">
            <v>1.9872000000000001</v>
          </cell>
          <cell r="N306">
            <v>3.646512</v>
          </cell>
          <cell r="O306">
            <v>1.835</v>
          </cell>
          <cell r="Q306">
            <v>2.6495164783867056</v>
          </cell>
          <cell r="S306">
            <v>2.542912700650604</v>
          </cell>
          <cell r="U306">
            <v>3.0922387574401751</v>
          </cell>
        </row>
        <row r="307">
          <cell r="D307">
            <v>39477</v>
          </cell>
          <cell r="E307" t="e">
            <v>#N/A</v>
          </cell>
          <cell r="H307">
            <v>39477</v>
          </cell>
          <cell r="I307">
            <v>92.33</v>
          </cell>
          <cell r="J307">
            <v>92.33</v>
          </cell>
          <cell r="L307">
            <v>1.865</v>
          </cell>
          <cell r="M307">
            <v>1.9885000000000002</v>
          </cell>
          <cell r="N307">
            <v>3.7085525000000001</v>
          </cell>
          <cell r="O307">
            <v>1.865</v>
          </cell>
          <cell r="Q307">
            <v>2.6503456726729531</v>
          </cell>
          <cell r="S307">
            <v>2.5396345164604828</v>
          </cell>
          <cell r="U307">
            <v>3.079947419602358</v>
          </cell>
        </row>
        <row r="308">
          <cell r="D308">
            <v>39478</v>
          </cell>
          <cell r="E308" t="e">
            <v>#N/A</v>
          </cell>
          <cell r="H308">
            <v>39478</v>
          </cell>
          <cell r="I308">
            <v>91.75</v>
          </cell>
          <cell r="J308">
            <v>91.75</v>
          </cell>
          <cell r="L308">
            <v>1.855</v>
          </cell>
          <cell r="M308">
            <v>1.988</v>
          </cell>
          <cell r="N308">
            <v>3.6877399999999998</v>
          </cell>
          <cell r="O308">
            <v>1.855</v>
          </cell>
          <cell r="Q308">
            <v>2.6432039025301095</v>
          </cell>
          <cell r="S308">
            <v>2.5208955881335031</v>
          </cell>
          <cell r="U308">
            <v>3.0491475578141056</v>
          </cell>
        </row>
        <row r="309">
          <cell r="D309">
            <v>39479</v>
          </cell>
          <cell r="E309" t="e">
            <v>#N/A</v>
          </cell>
          <cell r="H309">
            <v>39479</v>
          </cell>
          <cell r="I309">
            <v>88.96</v>
          </cell>
          <cell r="J309">
            <v>88.96</v>
          </cell>
          <cell r="L309">
            <v>1.8800000000000001</v>
          </cell>
          <cell r="M309">
            <v>1.9686500000000002</v>
          </cell>
          <cell r="N309">
            <v>3.7010620000000007</v>
          </cell>
          <cell r="O309">
            <v>1.88</v>
          </cell>
          <cell r="Q309">
            <v>2.724732424610214</v>
          </cell>
          <cell r="S309">
            <v>2.5761601510167553</v>
          </cell>
          <cell r="U309">
            <v>3.1700523003808003</v>
          </cell>
        </row>
        <row r="310">
          <cell r="D310">
            <v>39482</v>
          </cell>
          <cell r="E310" t="e">
            <v>#N/A</v>
          </cell>
          <cell r="H310">
            <v>39482</v>
          </cell>
          <cell r="I310">
            <v>90.02</v>
          </cell>
          <cell r="J310">
            <v>90.02</v>
          </cell>
          <cell r="L310">
            <v>1.8725000000000001</v>
          </cell>
          <cell r="M310">
            <v>1.9757</v>
          </cell>
          <cell r="N310">
            <v>3.69949825</v>
          </cell>
          <cell r="O310">
            <v>1.8725000000000001</v>
          </cell>
          <cell r="Q310">
            <v>2.7449273177107649</v>
          </cell>
          <cell r="S310">
            <v>2.5981655565833233</v>
          </cell>
          <cell r="U310">
            <v>3.1692293783726662</v>
          </cell>
        </row>
        <row r="311">
          <cell r="D311">
            <v>39483</v>
          </cell>
          <cell r="E311" t="e">
            <v>#N/A</v>
          </cell>
          <cell r="H311">
            <v>39483</v>
          </cell>
          <cell r="I311">
            <v>88.41</v>
          </cell>
          <cell r="J311">
            <v>88.41</v>
          </cell>
          <cell r="L311">
            <v>1.835</v>
          </cell>
          <cell r="M311">
            <v>1.9646000000000001</v>
          </cell>
          <cell r="N311">
            <v>3.6050409999999999</v>
          </cell>
          <cell r="O311">
            <v>1.835</v>
          </cell>
          <cell r="Q311">
            <v>2.662863831575017</v>
          </cell>
          <cell r="S311">
            <v>2.4913958635861992</v>
          </cell>
          <cell r="U311">
            <v>3.0373815200450629</v>
          </cell>
        </row>
        <row r="312">
          <cell r="D312">
            <v>39484</v>
          </cell>
          <cell r="E312" t="e">
            <v>#N/A</v>
          </cell>
          <cell r="H312">
            <v>39484</v>
          </cell>
          <cell r="I312">
            <v>87.14</v>
          </cell>
          <cell r="J312">
            <v>87.14</v>
          </cell>
          <cell r="L312">
            <v>1.8149999999999999</v>
          </cell>
          <cell r="M312">
            <v>1.9603000000000002</v>
          </cell>
          <cell r="N312">
            <v>3.5579445000000001</v>
          </cell>
          <cell r="O312">
            <v>1.8149999999999999</v>
          </cell>
          <cell r="Q312">
            <v>2.6492757445616655</v>
          </cell>
          <cell r="S312">
            <v>2.5193029640497606</v>
          </cell>
          <cell r="U312">
            <v>3.0690999919614108</v>
          </cell>
        </row>
        <row r="313">
          <cell r="D313">
            <v>39485</v>
          </cell>
          <cell r="E313" t="e">
            <v>#N/A</v>
          </cell>
          <cell r="H313">
            <v>39485</v>
          </cell>
          <cell r="I313">
            <v>88.11</v>
          </cell>
          <cell r="J313">
            <v>88.11</v>
          </cell>
          <cell r="L313">
            <v>1.8025</v>
          </cell>
          <cell r="M313">
            <v>1.9418500000000001</v>
          </cell>
          <cell r="N313">
            <v>3.5001846250000002</v>
          </cell>
          <cell r="O313">
            <v>1.8025</v>
          </cell>
          <cell r="Q313">
            <v>2.6117480160582578</v>
          </cell>
          <cell r="S313">
            <v>2.4660634015825158</v>
          </cell>
          <cell r="U313">
            <v>2.9164912324274908</v>
          </cell>
        </row>
        <row r="314">
          <cell r="D314">
            <v>39486</v>
          </cell>
          <cell r="E314" t="e">
            <v>#N/A</v>
          </cell>
          <cell r="H314">
            <v>39486</v>
          </cell>
          <cell r="I314">
            <v>91.77</v>
          </cell>
          <cell r="J314">
            <v>91.77</v>
          </cell>
          <cell r="L314">
            <v>1.82</v>
          </cell>
          <cell r="M314">
            <v>1.9462500000000003</v>
          </cell>
          <cell r="N314">
            <v>3.5421750000000007</v>
          </cell>
          <cell r="O314">
            <v>1.82</v>
          </cell>
          <cell r="Q314">
            <v>2.6233299878629448</v>
          </cell>
          <cell r="S314">
            <v>2.4740566357478144</v>
          </cell>
          <cell r="U314">
            <v>2.8714549409209997</v>
          </cell>
        </row>
        <row r="315">
          <cell r="D315">
            <v>39489</v>
          </cell>
          <cell r="E315" t="e">
            <v>#N/A</v>
          </cell>
          <cell r="H315">
            <v>39489</v>
          </cell>
          <cell r="I315">
            <v>93.59</v>
          </cell>
          <cell r="J315">
            <v>93.59</v>
          </cell>
          <cell r="L315">
            <v>1.8225</v>
          </cell>
          <cell r="M315">
            <v>1.9476</v>
          </cell>
          <cell r="N315">
            <v>3.5495009999999998</v>
          </cell>
          <cell r="O315">
            <v>1.8225</v>
          </cell>
          <cell r="Q315">
            <v>2.6040445336569884</v>
          </cell>
          <cell r="S315">
            <v>2.4816769557363596</v>
          </cell>
          <cell r="U315">
            <v>2.8634158323704768</v>
          </cell>
        </row>
        <row r="316">
          <cell r="D316">
            <v>39490</v>
          </cell>
          <cell r="E316" t="e">
            <v>#N/A</v>
          </cell>
          <cell r="H316">
            <v>39490</v>
          </cell>
          <cell r="I316">
            <v>92.78</v>
          </cell>
          <cell r="J316">
            <v>92.78</v>
          </cell>
          <cell r="L316">
            <v>1.875</v>
          </cell>
          <cell r="M316">
            <v>1.9604000000000001</v>
          </cell>
          <cell r="N316">
            <v>3.6757500000000003</v>
          </cell>
          <cell r="O316">
            <v>1.875</v>
          </cell>
          <cell r="Q316">
            <v>2.6855730557370929</v>
          </cell>
          <cell r="S316">
            <v>2.5712657480777112</v>
          </cell>
          <cell r="U316">
            <v>2.9693981258211659</v>
          </cell>
        </row>
        <row r="317">
          <cell r="D317">
            <v>39491</v>
          </cell>
          <cell r="E317" t="e">
            <v>#N/A</v>
          </cell>
          <cell r="H317">
            <v>39491</v>
          </cell>
          <cell r="I317">
            <v>93.41</v>
          </cell>
          <cell r="J317">
            <v>93.41</v>
          </cell>
          <cell r="L317">
            <v>1.8625</v>
          </cell>
          <cell r="M317">
            <v>1.9627500000000002</v>
          </cell>
          <cell r="N317">
            <v>3.6556218750000005</v>
          </cell>
          <cell r="O317">
            <v>1.8625</v>
          </cell>
          <cell r="Q317">
            <v>2.6737770983101483</v>
          </cell>
          <cell r="S317">
            <v>2.5738375650580796</v>
          </cell>
          <cell r="U317">
            <v>2.9488972408599348</v>
          </cell>
        </row>
        <row r="318">
          <cell r="D318">
            <v>39492</v>
          </cell>
          <cell r="E318" t="e">
            <v>#N/A</v>
          </cell>
          <cell r="H318">
            <v>39492</v>
          </cell>
          <cell r="I318">
            <v>95.55</v>
          </cell>
          <cell r="J318">
            <v>95.55</v>
          </cell>
          <cell r="L318">
            <v>1.8525</v>
          </cell>
          <cell r="M318">
            <v>1.9718</v>
          </cell>
          <cell r="N318">
            <v>3.6527595000000002</v>
          </cell>
          <cell r="O318">
            <v>1.8525</v>
          </cell>
          <cell r="Q318">
            <v>2.6986796751003648</v>
          </cell>
          <cell r="S318">
            <v>2.5771924132185262</v>
          </cell>
          <cell r="U318">
            <v>3.0335310896400789</v>
          </cell>
        </row>
        <row r="319">
          <cell r="D319">
            <v>39493</v>
          </cell>
          <cell r="E319" t="e">
            <v>#N/A</v>
          </cell>
          <cell r="H319">
            <v>39493</v>
          </cell>
          <cell r="I319">
            <v>95.45</v>
          </cell>
          <cell r="J319">
            <v>95.45</v>
          </cell>
          <cell r="L319">
            <v>1.8</v>
          </cell>
          <cell r="M319">
            <v>1.9625500000000002</v>
          </cell>
          <cell r="N319">
            <v>3.5325900000000003</v>
          </cell>
          <cell r="O319">
            <v>1.8</v>
          </cell>
          <cell r="Q319">
            <v>2.6475103631780414</v>
          </cell>
          <cell r="S319">
            <v>2.4983139581959573</v>
          </cell>
          <cell r="U319">
            <v>3.0187709382402068</v>
          </cell>
        </row>
        <row r="320">
          <cell r="D320">
            <v>39497</v>
          </cell>
          <cell r="E320" t="e">
            <v>#N/A</v>
          </cell>
          <cell r="H320">
            <v>39497</v>
          </cell>
          <cell r="I320">
            <v>99.7</v>
          </cell>
          <cell r="J320">
            <v>99.7</v>
          </cell>
          <cell r="L320">
            <v>1.875</v>
          </cell>
          <cell r="M320">
            <v>1.9513500000000001</v>
          </cell>
          <cell r="N320">
            <v>3.6587812500000001</v>
          </cell>
          <cell r="O320">
            <v>1.875</v>
          </cell>
          <cell r="Q320">
            <v>2.7306170292222953</v>
          </cell>
          <cell r="S320">
            <v>2.5872160715993466</v>
          </cell>
          <cell r="U320">
            <v>3.0881525424012932</v>
          </cell>
        </row>
        <row r="321">
          <cell r="D321">
            <v>39498</v>
          </cell>
          <cell r="E321" t="e">
            <v>#N/A</v>
          </cell>
          <cell r="H321">
            <v>39498</v>
          </cell>
          <cell r="I321">
            <v>99.7</v>
          </cell>
          <cell r="J321">
            <v>99.7</v>
          </cell>
          <cell r="L321">
            <v>1.8475000000000001</v>
          </cell>
          <cell r="M321">
            <v>1.9406000000000001</v>
          </cell>
          <cell r="N321">
            <v>3.5852585000000006</v>
          </cell>
          <cell r="O321">
            <v>1.8474999999999999</v>
          </cell>
          <cell r="Q321">
            <v>2.7080950424796941</v>
          </cell>
          <cell r="S321">
            <v>2.5266929176219017</v>
          </cell>
          <cell r="U321">
            <v>3.1011598949259653</v>
          </cell>
        </row>
        <row r="322">
          <cell r="D322">
            <v>39499</v>
          </cell>
          <cell r="E322">
            <v>98.81</v>
          </cell>
          <cell r="H322">
            <v>39499</v>
          </cell>
          <cell r="I322">
            <v>98.23</v>
          </cell>
          <cell r="J322">
            <v>98.23</v>
          </cell>
          <cell r="L322">
            <v>1.855</v>
          </cell>
          <cell r="M322">
            <v>1.9600500000000001</v>
          </cell>
          <cell r="N322">
            <v>3.63589275</v>
          </cell>
          <cell r="O322">
            <v>1.855</v>
          </cell>
          <cell r="Q322">
            <v>2.7234217626738872</v>
          </cell>
          <cell r="S322">
            <v>2.5245052069931013</v>
          </cell>
          <cell r="U322">
            <v>3.1027372889612668</v>
          </cell>
        </row>
        <row r="323">
          <cell r="D323">
            <v>39500</v>
          </cell>
          <cell r="E323">
            <v>98.81</v>
          </cell>
          <cell r="H323">
            <v>39500</v>
          </cell>
          <cell r="I323">
            <v>98.81</v>
          </cell>
          <cell r="J323">
            <v>98.81</v>
          </cell>
          <cell r="L323">
            <v>1.8525</v>
          </cell>
          <cell r="M323">
            <v>1.9668500000000002</v>
          </cell>
          <cell r="N323">
            <v>3.6435896250000006</v>
          </cell>
          <cell r="O323">
            <v>1.8525</v>
          </cell>
          <cell r="Q323">
            <v>2.6884618616375691</v>
          </cell>
          <cell r="S323">
            <v>2.4846793825843601</v>
          </cell>
          <cell r="U323">
            <v>3.1132921228432249</v>
          </cell>
        </row>
        <row r="324">
          <cell r="D324">
            <v>39503</v>
          </cell>
          <cell r="E324">
            <v>99.23</v>
          </cell>
          <cell r="H324">
            <v>39503</v>
          </cell>
          <cell r="I324">
            <v>99.23</v>
          </cell>
          <cell r="J324">
            <v>99.23</v>
          </cell>
          <cell r="L324">
            <v>1.9550000000000001</v>
          </cell>
          <cell r="M324">
            <v>1.9678</v>
          </cell>
          <cell r="N324">
            <v>3.8470490000000002</v>
          </cell>
          <cell r="O324">
            <v>1.9550000000000001</v>
          </cell>
          <cell r="Q324">
            <v>2.7484580804780139</v>
          </cell>
          <cell r="S324">
            <v>2.5717541601925493</v>
          </cell>
          <cell r="U324">
            <v>3.1754027269075289</v>
          </cell>
        </row>
        <row r="325">
          <cell r="D325">
            <v>39504</v>
          </cell>
          <cell r="E325">
            <v>100.88</v>
          </cell>
          <cell r="H325">
            <v>39504</v>
          </cell>
          <cell r="I325">
            <v>100.88</v>
          </cell>
          <cell r="J325">
            <v>100.88</v>
          </cell>
          <cell r="L325">
            <v>1.9850000000000001</v>
          </cell>
          <cell r="M325">
            <v>1.9723000000000002</v>
          </cell>
          <cell r="N325">
            <v>3.9150155000000004</v>
          </cell>
          <cell r="O325">
            <v>1.9850000000000001</v>
          </cell>
          <cell r="Q325">
            <v>2.7775066286994683</v>
          </cell>
          <cell r="S325">
            <v>2.5932312455946072</v>
          </cell>
          <cell r="U325">
            <v>3.2309772063517026</v>
          </cell>
        </row>
        <row r="326">
          <cell r="D326">
            <v>39505</v>
          </cell>
          <cell r="E326">
            <v>99.64</v>
          </cell>
          <cell r="H326">
            <v>39505</v>
          </cell>
          <cell r="I326">
            <v>99.64</v>
          </cell>
          <cell r="J326">
            <v>99.64</v>
          </cell>
          <cell r="L326">
            <v>1.97</v>
          </cell>
          <cell r="M326">
            <v>1.9887500000000002</v>
          </cell>
          <cell r="N326">
            <v>3.9178375000000005</v>
          </cell>
          <cell r="O326">
            <v>1.97</v>
          </cell>
          <cell r="Q326">
            <v>2.7874569601344414</v>
          </cell>
          <cell r="S326">
            <v>2.5859329700057758</v>
          </cell>
          <cell r="U326">
            <v>3.2035298701229022</v>
          </cell>
        </row>
        <row r="327">
          <cell r="D327">
            <v>39506</v>
          </cell>
          <cell r="E327">
            <v>102.59</v>
          </cell>
          <cell r="H327">
            <v>39506</v>
          </cell>
          <cell r="I327">
            <v>102.59</v>
          </cell>
          <cell r="J327">
            <v>102.59</v>
          </cell>
          <cell r="L327">
            <v>1.8800000000000001</v>
          </cell>
          <cell r="M327">
            <v>1.9897500000000001</v>
          </cell>
          <cell r="N327">
            <v>3.7407300000000006</v>
          </cell>
          <cell r="O327">
            <v>1.88</v>
          </cell>
          <cell r="Q327">
            <v>2.7365551302399407</v>
          </cell>
          <cell r="S327">
            <v>2.5596636257097174</v>
          </cell>
          <cell r="U327">
            <v>3.1564843186990443</v>
          </cell>
        </row>
        <row r="328">
          <cell r="D328">
            <v>39507</v>
          </cell>
          <cell r="E328">
            <v>101.84</v>
          </cell>
          <cell r="H328">
            <v>39507</v>
          </cell>
          <cell r="I328">
            <v>101.84</v>
          </cell>
          <cell r="J328">
            <v>101.84</v>
          </cell>
          <cell r="L328">
            <v>1.845</v>
          </cell>
          <cell r="M328">
            <v>1.9892000000000001</v>
          </cell>
          <cell r="N328">
            <v>3.6700740000000001</v>
          </cell>
          <cell r="O328">
            <v>1.845</v>
          </cell>
          <cell r="Q328">
            <v>2.6929823079077591</v>
          </cell>
          <cell r="S328">
            <v>2.485631260435595</v>
          </cell>
          <cell r="U328">
            <v>3.1288005109003958</v>
          </cell>
        </row>
        <row r="329">
          <cell r="D329">
            <v>39510</v>
          </cell>
          <cell r="E329">
            <v>102.45</v>
          </cell>
          <cell r="H329">
            <v>39510</v>
          </cell>
          <cell r="I329">
            <v>102.45</v>
          </cell>
          <cell r="J329">
            <v>102.45</v>
          </cell>
          <cell r="L329">
            <v>1.8025</v>
          </cell>
          <cell r="M329">
            <v>1.9824000000000002</v>
          </cell>
          <cell r="N329">
            <v>3.5732760000000003</v>
          </cell>
          <cell r="O329">
            <v>1.8025</v>
          </cell>
          <cell r="Q329">
            <v>2.6785382784053779</v>
          </cell>
          <cell r="S329">
            <v>2.4614866914659346</v>
          </cell>
          <cell r="U329">
            <v>3.1583417552825876</v>
          </cell>
        </row>
        <row r="330">
          <cell r="D330">
            <v>39511</v>
          </cell>
          <cell r="E330">
            <v>99.52</v>
          </cell>
          <cell r="H330">
            <v>39511</v>
          </cell>
          <cell r="I330">
            <v>99.52</v>
          </cell>
          <cell r="J330">
            <v>99.52</v>
          </cell>
          <cell r="L330">
            <v>1.7825000000000002</v>
          </cell>
          <cell r="M330">
            <v>1.9862000000000002</v>
          </cell>
          <cell r="N330">
            <v>3.5404015000000006</v>
          </cell>
          <cell r="O330">
            <v>1.7825</v>
          </cell>
          <cell r="Q330">
            <v>2.6599750256745405</v>
          </cell>
          <cell r="S330">
            <v>2.4458436528461589</v>
          </cell>
          <cell r="U330">
            <v>3.1176127084946001</v>
          </cell>
        </row>
        <row r="331">
          <cell r="D331">
            <v>39512</v>
          </cell>
          <cell r="E331">
            <v>104.52</v>
          </cell>
          <cell r="H331">
            <v>39512</v>
          </cell>
          <cell r="I331">
            <v>104.52</v>
          </cell>
          <cell r="J331">
            <v>104.52</v>
          </cell>
          <cell r="L331">
            <v>1.77</v>
          </cell>
          <cell r="M331">
            <v>1.9895500000000002</v>
          </cell>
          <cell r="N331">
            <v>3.5215035000000001</v>
          </cell>
          <cell r="O331">
            <v>1.77</v>
          </cell>
          <cell r="Q331">
            <v>2.7133644384277846</v>
          </cell>
          <cell r="S331">
            <v>2.517556409603519</v>
          </cell>
          <cell r="U331">
            <v>3.1787388716019778</v>
          </cell>
        </row>
        <row r="332">
          <cell r="D332">
            <v>39513</v>
          </cell>
          <cell r="E332">
            <v>105.47</v>
          </cell>
          <cell r="H332">
            <v>39513</v>
          </cell>
          <cell r="I332">
            <v>105.47</v>
          </cell>
          <cell r="J332">
            <v>105.47</v>
          </cell>
          <cell r="L332">
            <v>1.7375</v>
          </cell>
          <cell r="M332">
            <v>2.00935</v>
          </cell>
          <cell r="N332">
            <v>3.4912456249999999</v>
          </cell>
          <cell r="O332">
            <v>1.7375</v>
          </cell>
          <cell r="Q332">
            <v>2.6723594435626925</v>
          </cell>
          <cell r="S332">
            <v>2.4374338869096941</v>
          </cell>
          <cell r="U332">
            <v>3.1156486521779891</v>
          </cell>
        </row>
        <row r="333">
          <cell r="D333">
            <v>39514</v>
          </cell>
          <cell r="E333">
            <v>105.15</v>
          </cell>
          <cell r="H333">
            <v>39514</v>
          </cell>
          <cell r="I333">
            <v>105.15</v>
          </cell>
          <cell r="J333">
            <v>105.15</v>
          </cell>
          <cell r="L333">
            <v>1.7350000000000001</v>
          </cell>
          <cell r="M333">
            <v>2.0141</v>
          </cell>
          <cell r="N333">
            <v>3.4944635000000002</v>
          </cell>
          <cell r="O333">
            <v>1.7350000000000001</v>
          </cell>
          <cell r="Q333">
            <v>2.6356876575483148</v>
          </cell>
          <cell r="S333">
            <v>2.4207748039724435</v>
          </cell>
          <cell r="U333">
            <v>3.086388253939039</v>
          </cell>
        </row>
        <row r="334">
          <cell r="D334">
            <v>39517</v>
          </cell>
          <cell r="E334">
            <v>107.9</v>
          </cell>
          <cell r="H334">
            <v>39517</v>
          </cell>
          <cell r="I334">
            <v>107.9</v>
          </cell>
          <cell r="J334">
            <v>107.9</v>
          </cell>
          <cell r="L334">
            <v>1.675</v>
          </cell>
          <cell r="M334">
            <v>2.0165500000000001</v>
          </cell>
          <cell r="N334">
            <v>3.37772125</v>
          </cell>
          <cell r="O334">
            <v>1.675</v>
          </cell>
          <cell r="Q334">
            <v>2.5867384464569136</v>
          </cell>
          <cell r="S334">
            <v>2.3852155547661518</v>
          </cell>
          <cell r="U334">
            <v>3.0113735487452322</v>
          </cell>
        </row>
        <row r="335">
          <cell r="D335">
            <v>39518</v>
          </cell>
          <cell r="E335">
            <v>108.75</v>
          </cell>
          <cell r="H335">
            <v>39518</v>
          </cell>
          <cell r="I335">
            <v>108.75</v>
          </cell>
          <cell r="J335">
            <v>108.75</v>
          </cell>
          <cell r="L335">
            <v>1.6825000000000001</v>
          </cell>
          <cell r="M335">
            <v>2.0037500000000001</v>
          </cell>
          <cell r="N335">
            <v>3.3713093750000005</v>
          </cell>
          <cell r="O335">
            <v>1.6825000000000001</v>
          </cell>
          <cell r="Q335">
            <v>2.6140483614975261</v>
          </cell>
          <cell r="S335">
            <v>2.3846713505738562</v>
          </cell>
          <cell r="U335">
            <v>3.0756042454682597</v>
          </cell>
        </row>
        <row r="336">
          <cell r="D336">
            <v>39519</v>
          </cell>
          <cell r="E336">
            <v>109.92</v>
          </cell>
          <cell r="H336">
            <v>39519</v>
          </cell>
          <cell r="I336">
            <v>108.57</v>
          </cell>
          <cell r="J336">
            <v>108.57</v>
          </cell>
          <cell r="L336">
            <v>1.7125000000000001</v>
          </cell>
          <cell r="M336">
            <v>2.0210500000000002</v>
          </cell>
          <cell r="N336">
            <v>3.4610481250000005</v>
          </cell>
          <cell r="O336">
            <v>1.7124999999999999</v>
          </cell>
          <cell r="Q336">
            <v>2.6719849687237422</v>
          </cell>
          <cell r="S336">
            <v>2.4162398626196162</v>
          </cell>
          <cell r="U336">
            <v>3.0950476189210523</v>
          </cell>
        </row>
        <row r="337">
          <cell r="D337">
            <v>39520</v>
          </cell>
          <cell r="E337">
            <v>110.33</v>
          </cell>
          <cell r="H337">
            <v>39520</v>
          </cell>
          <cell r="I337">
            <v>109.17</v>
          </cell>
          <cell r="J337">
            <v>109.17</v>
          </cell>
          <cell r="L337">
            <v>1.6600000000000001</v>
          </cell>
          <cell r="M337">
            <v>2.0308999999999999</v>
          </cell>
          <cell r="N337">
            <v>3.3712940000000002</v>
          </cell>
          <cell r="O337">
            <v>1.66</v>
          </cell>
          <cell r="Q337">
            <v>2.6217250956960134</v>
          </cell>
          <cell r="S337">
            <v>2.371425652060001</v>
          </cell>
          <cell r="U337">
            <v>3.0305202050715057</v>
          </cell>
        </row>
        <row r="338">
          <cell r="D338">
            <v>39521</v>
          </cell>
          <cell r="E338">
            <v>110.21</v>
          </cell>
          <cell r="H338">
            <v>39521</v>
          </cell>
          <cell r="I338">
            <v>108.74</v>
          </cell>
          <cell r="J338">
            <v>108.74</v>
          </cell>
          <cell r="L338">
            <v>1.6475000000000002</v>
          </cell>
          <cell r="M338">
            <v>2.02915</v>
          </cell>
          <cell r="N338">
            <v>3.3430246250000004</v>
          </cell>
          <cell r="O338">
            <v>1.6475</v>
          </cell>
          <cell r="Q338">
            <v>2.5962073102418075</v>
          </cell>
          <cell r="S338">
            <v>2.3411764900461796</v>
          </cell>
          <cell r="U338">
            <v>3.0261817672467664</v>
          </cell>
        </row>
        <row r="339">
          <cell r="D339">
            <v>39524</v>
          </cell>
          <cell r="E339">
            <v>105.68</v>
          </cell>
          <cell r="H339">
            <v>39524</v>
          </cell>
          <cell r="I339">
            <v>104.23</v>
          </cell>
          <cell r="J339">
            <v>104.23</v>
          </cell>
          <cell r="L339">
            <v>1.5875000000000001</v>
          </cell>
          <cell r="M339">
            <v>2.00075</v>
          </cell>
          <cell r="N339">
            <v>3.1761906250000003</v>
          </cell>
          <cell r="O339">
            <v>1.5874999999999999</v>
          </cell>
          <cell r="Q339">
            <v>2.5091686583885728</v>
          </cell>
          <cell r="S339">
            <v>2.264184261306958</v>
          </cell>
          <cell r="U339">
            <v>2.9817626646485258</v>
          </cell>
        </row>
        <row r="340">
          <cell r="D340">
            <v>39525</v>
          </cell>
          <cell r="E340">
            <v>109.42</v>
          </cell>
          <cell r="H340">
            <v>39525</v>
          </cell>
          <cell r="I340">
            <v>108.5</v>
          </cell>
          <cell r="J340">
            <v>108.5</v>
          </cell>
          <cell r="L340">
            <v>1.62</v>
          </cell>
          <cell r="M340">
            <v>2.0214500000000002</v>
          </cell>
          <cell r="N340">
            <v>3.2747490000000004</v>
          </cell>
          <cell r="O340">
            <v>1.62</v>
          </cell>
          <cell r="Q340">
            <v>2.5682286901316407</v>
          </cell>
          <cell r="S340">
            <v>2.3193062255984485</v>
          </cell>
          <cell r="U340">
            <v>3.0354171079946912</v>
          </cell>
        </row>
        <row r="341">
          <cell r="D341">
            <v>39526</v>
          </cell>
          <cell r="E341">
            <v>102.54</v>
          </cell>
          <cell r="H341">
            <v>39526</v>
          </cell>
          <cell r="I341">
            <v>102.54</v>
          </cell>
          <cell r="J341">
            <v>102.54</v>
          </cell>
          <cell r="L341">
            <v>1.585</v>
          </cell>
          <cell r="M341">
            <v>1.9859</v>
          </cell>
          <cell r="N341">
            <v>3.1476514999999998</v>
          </cell>
          <cell r="O341">
            <v>1.585</v>
          </cell>
          <cell r="Q341">
            <v>2.5547743441322011</v>
          </cell>
          <cell r="S341">
            <v>2.2679774544692934</v>
          </cell>
          <cell r="U341">
            <v>3.0463202743012454</v>
          </cell>
        </row>
        <row r="342">
          <cell r="D342">
            <v>39527</v>
          </cell>
          <cell r="E342">
            <v>101.84</v>
          </cell>
          <cell r="H342">
            <v>39527</v>
          </cell>
          <cell r="I342">
            <v>101.84</v>
          </cell>
          <cell r="J342">
            <v>101.84</v>
          </cell>
          <cell r="L342">
            <v>1.56</v>
          </cell>
          <cell r="M342">
            <v>1.9822000000000002</v>
          </cell>
          <cell r="N342">
            <v>3.0922320000000005</v>
          </cell>
          <cell r="O342">
            <v>1.56</v>
          </cell>
          <cell r="Q342">
            <v>2.5272771916721126</v>
          </cell>
          <cell r="S342">
            <v>2.2655456194403549</v>
          </cell>
          <cell r="U342">
            <v>2.9752215310500127</v>
          </cell>
        </row>
        <row r="343">
          <cell r="D343">
            <v>39531</v>
          </cell>
          <cell r="E343">
            <v>101.84</v>
          </cell>
          <cell r="H343">
            <v>39531</v>
          </cell>
          <cell r="I343">
            <v>100.86</v>
          </cell>
          <cell r="J343">
            <v>100.86</v>
          </cell>
          <cell r="L343">
            <v>1.56</v>
          </cell>
          <cell r="M343">
            <v>1.9852000000000001</v>
          </cell>
          <cell r="N343">
            <v>3.0969120000000001</v>
          </cell>
          <cell r="O343">
            <v>1.56</v>
          </cell>
          <cell r="Q343">
            <v>2.5272771916721126</v>
          </cell>
          <cell r="S343">
            <v>2.2613442820415979</v>
          </cell>
          <cell r="U343">
            <v>2.9713115142732813</v>
          </cell>
        </row>
        <row r="344">
          <cell r="D344">
            <v>39532</v>
          </cell>
          <cell r="E344">
            <v>101.22</v>
          </cell>
          <cell r="H344">
            <v>39532</v>
          </cell>
          <cell r="I344">
            <v>101.22</v>
          </cell>
          <cell r="J344">
            <v>101.22</v>
          </cell>
          <cell r="L344">
            <v>1.595</v>
          </cell>
          <cell r="M344">
            <v>1.9996500000000001</v>
          </cell>
          <cell r="N344">
            <v>3.1894417500000003</v>
          </cell>
          <cell r="O344">
            <v>1.595</v>
          </cell>
          <cell r="Q344">
            <v>2.6198794697040428</v>
          </cell>
          <cell r="S344">
            <v>2.3593526275039163</v>
          </cell>
          <cell r="U344">
            <v>3.0655713657974557</v>
          </cell>
        </row>
        <row r="345">
          <cell r="D345">
            <v>39533</v>
          </cell>
          <cell r="E345">
            <v>105.9</v>
          </cell>
          <cell r="H345">
            <v>39533</v>
          </cell>
          <cell r="I345">
            <v>105.9</v>
          </cell>
          <cell r="J345">
            <v>105.9</v>
          </cell>
          <cell r="L345">
            <v>1.5875000000000001</v>
          </cell>
          <cell r="M345">
            <v>2.0016000000000003</v>
          </cell>
          <cell r="N345">
            <v>3.1775400000000005</v>
          </cell>
          <cell r="O345">
            <v>1.5874999999999999</v>
          </cell>
          <cell r="Q345">
            <v>2.6095814116329006</v>
          </cell>
          <cell r="S345">
            <v>2.3908820533033066</v>
          </cell>
          <cell r="U345">
            <v>3.0559304113448995</v>
          </cell>
        </row>
        <row r="346">
          <cell r="D346">
            <v>39534</v>
          </cell>
          <cell r="E346">
            <v>107.58</v>
          </cell>
          <cell r="H346">
            <v>39534</v>
          </cell>
          <cell r="I346">
            <v>107.58</v>
          </cell>
          <cell r="J346">
            <v>107.58</v>
          </cell>
          <cell r="L346">
            <v>1.5775000000000001</v>
          </cell>
          <cell r="M346">
            <v>2.0095000000000001</v>
          </cell>
          <cell r="N346">
            <v>3.1699862500000004</v>
          </cell>
          <cell r="O346">
            <v>1.5774999999999999</v>
          </cell>
          <cell r="Q346">
            <v>2.6700056017178606</v>
          </cell>
          <cell r="S346">
            <v>2.4349173933125927</v>
          </cell>
          <cell r="U346">
            <v>3.0828620368456723</v>
          </cell>
        </row>
        <row r="347">
          <cell r="D347">
            <v>39535</v>
          </cell>
          <cell r="E347">
            <v>105.62</v>
          </cell>
          <cell r="H347">
            <v>39535</v>
          </cell>
          <cell r="I347">
            <v>105.62</v>
          </cell>
          <cell r="J347">
            <v>105.62</v>
          </cell>
          <cell r="L347">
            <v>1.5449999999999999</v>
          </cell>
          <cell r="M347">
            <v>1.9892000000000001</v>
          </cell>
          <cell r="N347">
            <v>3.0733139999999999</v>
          </cell>
          <cell r="O347">
            <v>1.5449999999999999</v>
          </cell>
          <cell r="Q347">
            <v>2.6644687237419475</v>
          </cell>
          <cell r="S347">
            <v>2.4449271731213313</v>
          </cell>
          <cell r="U347">
            <v>3.0711751273362262</v>
          </cell>
        </row>
        <row r="348">
          <cell r="D348">
            <v>39538</v>
          </cell>
          <cell r="E348">
            <v>101.58</v>
          </cell>
          <cell r="H348">
            <v>39538</v>
          </cell>
          <cell r="I348">
            <v>101.58</v>
          </cell>
          <cell r="J348">
            <v>101.58</v>
          </cell>
          <cell r="L348">
            <v>1.5050000000000001</v>
          </cell>
          <cell r="M348">
            <v>1.9875</v>
          </cell>
          <cell r="N348">
            <v>2.9911875000000001</v>
          </cell>
          <cell r="O348">
            <v>1.5049999999999999</v>
          </cell>
          <cell r="Q348">
            <v>2.6783510409859024</v>
          </cell>
          <cell r="S348">
            <v>2.4446559095446578</v>
          </cell>
          <cell r="U348">
            <v>3.1013897814986011</v>
          </cell>
        </row>
        <row r="349">
          <cell r="D349">
            <v>39539</v>
          </cell>
          <cell r="E349">
            <v>100.98</v>
          </cell>
          <cell r="H349">
            <v>39539</v>
          </cell>
          <cell r="I349">
            <v>100.98</v>
          </cell>
          <cell r="J349">
            <v>100.98</v>
          </cell>
          <cell r="L349">
            <v>1.56</v>
          </cell>
          <cell r="M349">
            <v>1.9754</v>
          </cell>
          <cell r="N349">
            <v>3.0816240000000001</v>
          </cell>
          <cell r="O349">
            <v>1.56</v>
          </cell>
          <cell r="Q349">
            <v>2.7647477359723651</v>
          </cell>
          <cell r="S349">
            <v>2.5187152532250106</v>
          </cell>
          <cell r="U349">
            <v>3.1906390956263366</v>
          </cell>
        </row>
        <row r="350">
          <cell r="D350">
            <v>39540</v>
          </cell>
          <cell r="E350">
            <v>104.83</v>
          </cell>
          <cell r="H350">
            <v>39540</v>
          </cell>
          <cell r="I350">
            <v>104.83</v>
          </cell>
          <cell r="J350">
            <v>104.83</v>
          </cell>
          <cell r="L350">
            <v>1.6</v>
          </cell>
          <cell r="M350">
            <v>1.9812500000000002</v>
          </cell>
          <cell r="N350">
            <v>3.1700000000000004</v>
          </cell>
          <cell r="O350">
            <v>1.6</v>
          </cell>
          <cell r="Q350">
            <v>2.7743235925683876</v>
          </cell>
          <cell r="S350">
            <v>2.5174302236574082</v>
          </cell>
          <cell r="U350">
            <v>3.232247050884959</v>
          </cell>
        </row>
        <row r="351">
          <cell r="D351">
            <v>39541</v>
          </cell>
          <cell r="E351">
            <v>103.83</v>
          </cell>
          <cell r="H351">
            <v>39541</v>
          </cell>
          <cell r="I351">
            <v>103.83</v>
          </cell>
          <cell r="J351">
            <v>103.83</v>
          </cell>
          <cell r="L351">
            <v>1.5</v>
          </cell>
          <cell r="M351">
            <v>1.9951500000000002</v>
          </cell>
          <cell r="N351">
            <v>2.9927250000000001</v>
          </cell>
          <cell r="O351">
            <v>1.5</v>
          </cell>
          <cell r="Q351">
            <v>2.7222180935486882</v>
          </cell>
          <cell r="S351">
            <v>2.4471439734832443</v>
          </cell>
          <cell r="U351">
            <v>3.1992674219913018</v>
          </cell>
        </row>
        <row r="352">
          <cell r="D352">
            <v>39542</v>
          </cell>
          <cell r="E352">
            <v>106.23</v>
          </cell>
          <cell r="H352">
            <v>39542</v>
          </cell>
          <cell r="I352">
            <v>106.23</v>
          </cell>
          <cell r="J352">
            <v>106.23</v>
          </cell>
          <cell r="L352">
            <v>1.4925000000000002</v>
          </cell>
          <cell r="M352">
            <v>1.9944500000000001</v>
          </cell>
          <cell r="N352">
            <v>2.9767166250000003</v>
          </cell>
          <cell r="O352">
            <v>1.4924999999999999</v>
          </cell>
          <cell r="Q352">
            <v>2.7189815610120438</v>
          </cell>
          <cell r="S352">
            <v>2.4980225795891133</v>
          </cell>
          <cell r="U352">
            <v>3.2390833873934044</v>
          </cell>
        </row>
        <row r="353">
          <cell r="D353">
            <v>39545</v>
          </cell>
          <cell r="E353">
            <v>109.09</v>
          </cell>
          <cell r="H353">
            <v>39545</v>
          </cell>
          <cell r="I353">
            <v>109.09</v>
          </cell>
          <cell r="J353">
            <v>109.09</v>
          </cell>
          <cell r="L353">
            <v>1.5675000000000001</v>
          </cell>
          <cell r="M353">
            <v>1.9895500000000002</v>
          </cell>
          <cell r="N353">
            <v>3.1186196250000005</v>
          </cell>
          <cell r="O353">
            <v>1.5674999999999999</v>
          </cell>
          <cell r="Q353">
            <v>2.7402196340210998</v>
          </cell>
          <cell r="S353">
            <v>2.5239250521106862</v>
          </cell>
          <cell r="U353">
            <v>3.2677763357390801</v>
          </cell>
        </row>
        <row r="354">
          <cell r="D354">
            <v>39546</v>
          </cell>
          <cell r="E354">
            <v>108.5</v>
          </cell>
          <cell r="H354">
            <v>39546</v>
          </cell>
          <cell r="I354">
            <v>108.5</v>
          </cell>
          <cell r="J354">
            <v>108.5</v>
          </cell>
          <cell r="L354">
            <v>1.5475000000000001</v>
          </cell>
          <cell r="M354">
            <v>1.9681000000000002</v>
          </cell>
          <cell r="N354">
            <v>3.0456347500000005</v>
          </cell>
          <cell r="O354">
            <v>1.5475000000000001</v>
          </cell>
          <cell r="Q354">
            <v>2.7038955746428908</v>
          </cell>
          <cell r="S354">
            <v>2.5046959945113967</v>
          </cell>
          <cell r="U354">
            <v>3.2074543405007589</v>
          </cell>
        </row>
        <row r="355">
          <cell r="D355">
            <v>39547</v>
          </cell>
          <cell r="E355">
            <v>110.87</v>
          </cell>
          <cell r="H355">
            <v>39547</v>
          </cell>
          <cell r="I355">
            <v>110.87</v>
          </cell>
          <cell r="J355">
            <v>110.87</v>
          </cell>
          <cell r="L355">
            <v>1.5050000000000001</v>
          </cell>
          <cell r="M355">
            <v>1.9741500000000001</v>
          </cell>
          <cell r="N355">
            <v>2.9710957500000004</v>
          </cell>
          <cell r="O355">
            <v>1.5049999999999999</v>
          </cell>
          <cell r="Q355">
            <v>2.6940254878162642</v>
          </cell>
          <cell r="S355">
            <v>2.4541007206519718</v>
          </cell>
          <cell r="U355">
            <v>3.1750646266846911</v>
          </cell>
        </row>
        <row r="356">
          <cell r="D356">
            <v>39548</v>
          </cell>
          <cell r="E356">
            <v>110.11</v>
          </cell>
          <cell r="H356">
            <v>39548</v>
          </cell>
          <cell r="I356">
            <v>110.11</v>
          </cell>
          <cell r="J356">
            <v>110.11</v>
          </cell>
          <cell r="L356">
            <v>1.5</v>
          </cell>
          <cell r="M356">
            <v>1.9786500000000002</v>
          </cell>
          <cell r="N356">
            <v>2.9679750000000005</v>
          </cell>
          <cell r="O356">
            <v>1.5</v>
          </cell>
          <cell r="Q356">
            <v>2.6782975445803379</v>
          </cell>
          <cell r="S356">
            <v>2.4583169283194191</v>
          </cell>
          <cell r="U356">
            <v>3.1859977918265998</v>
          </cell>
        </row>
        <row r="357">
          <cell r="D357">
            <v>39549</v>
          </cell>
          <cell r="E357">
            <v>110.14</v>
          </cell>
          <cell r="H357">
            <v>39549</v>
          </cell>
          <cell r="I357">
            <v>110.14</v>
          </cell>
          <cell r="J357">
            <v>110.14</v>
          </cell>
          <cell r="L357">
            <v>1.4950000000000001</v>
          </cell>
          <cell r="M357">
            <v>1.9716</v>
          </cell>
          <cell r="N357">
            <v>2.9475420000000003</v>
          </cell>
          <cell r="O357">
            <v>1.4950000000000001</v>
          </cell>
          <cell r="Q357">
            <v>2.6564710111100744</v>
          </cell>
          <cell r="S357">
            <v>2.4100715185342607</v>
          </cell>
          <cell r="U357">
            <v>3.1232150080968761</v>
          </cell>
        </row>
        <row r="358">
          <cell r="D358">
            <v>39552</v>
          </cell>
          <cell r="E358">
            <v>111.76</v>
          </cell>
          <cell r="H358">
            <v>39552</v>
          </cell>
          <cell r="I358">
            <v>111.76</v>
          </cell>
          <cell r="J358">
            <v>111.76</v>
          </cell>
          <cell r="L358">
            <v>1.4750000000000001</v>
          </cell>
          <cell r="M358">
            <v>1.9836500000000001</v>
          </cell>
          <cell r="N358">
            <v>2.9258837500000006</v>
          </cell>
          <cell r="O358">
            <v>1.4750000000000001</v>
          </cell>
          <cell r="Q358">
            <v>2.6334943049201756</v>
          </cell>
          <cell r="S358">
            <v>2.3825004583094169</v>
          </cell>
          <cell r="U358">
            <v>3.0987585658813197</v>
          </cell>
        </row>
        <row r="359">
          <cell r="D359">
            <v>39553</v>
          </cell>
          <cell r="E359">
            <v>113.79</v>
          </cell>
          <cell r="H359">
            <v>39553</v>
          </cell>
          <cell r="I359">
            <v>113.22</v>
          </cell>
          <cell r="J359">
            <v>113.22</v>
          </cell>
          <cell r="L359">
            <v>1.45</v>
          </cell>
          <cell r="M359">
            <v>1.9624500000000002</v>
          </cell>
          <cell r="N359">
            <v>2.8455525000000002</v>
          </cell>
          <cell r="O359">
            <v>1.45</v>
          </cell>
          <cell r="Q359">
            <v>2.6491954999533194</v>
          </cell>
          <cell r="S359">
            <v>2.3642238998085801</v>
          </cell>
          <cell r="U359">
            <v>3.1193044044725813</v>
          </cell>
        </row>
        <row r="360">
          <cell r="D360">
            <v>39554</v>
          </cell>
          <cell r="E360">
            <v>114.93</v>
          </cell>
          <cell r="H360">
            <v>39554</v>
          </cell>
          <cell r="I360">
            <v>114.45</v>
          </cell>
          <cell r="J360">
            <v>114.45</v>
          </cell>
          <cell r="L360">
            <v>1.5025000000000002</v>
          </cell>
          <cell r="M360">
            <v>1.9758500000000001</v>
          </cell>
          <cell r="N360">
            <v>2.9687146250000005</v>
          </cell>
          <cell r="O360">
            <v>1.5024999999999999</v>
          </cell>
          <cell r="Q360">
            <v>2.6992146391560086</v>
          </cell>
          <cell r="S360">
            <v>2.4379632383779026</v>
          </cell>
          <cell r="U360">
            <v>3.158322444472923</v>
          </cell>
        </row>
        <row r="361">
          <cell r="D361">
            <v>39555</v>
          </cell>
          <cell r="E361">
            <v>114.86</v>
          </cell>
          <cell r="H361">
            <v>39555</v>
          </cell>
          <cell r="I361">
            <v>114.45</v>
          </cell>
          <cell r="J361">
            <v>114.45</v>
          </cell>
          <cell r="L361">
            <v>1.45</v>
          </cell>
          <cell r="M361">
            <v>1.9856500000000001</v>
          </cell>
          <cell r="N361">
            <v>2.8791925000000003</v>
          </cell>
          <cell r="O361">
            <v>1.45</v>
          </cell>
          <cell r="Q361">
            <v>2.6987331715059293</v>
          </cell>
          <cell r="S361">
            <v>2.4153161363570064</v>
          </cell>
          <cell r="U361">
            <v>3.1598052619966057</v>
          </cell>
        </row>
        <row r="362">
          <cell r="D362">
            <v>39556</v>
          </cell>
          <cell r="E362">
            <v>116.69</v>
          </cell>
          <cell r="H362">
            <v>39556</v>
          </cell>
          <cell r="I362">
            <v>116.16</v>
          </cell>
          <cell r="J362">
            <v>116.16</v>
          </cell>
          <cell r="L362">
            <v>1.4575</v>
          </cell>
          <cell r="M362">
            <v>1.9971000000000001</v>
          </cell>
          <cell r="N362">
            <v>2.9107732500000001</v>
          </cell>
          <cell r="O362">
            <v>1.4575</v>
          </cell>
          <cell r="Q362">
            <v>2.7393101951265053</v>
          </cell>
          <cell r="S362">
            <v>2.4347225125986611</v>
          </cell>
          <cell r="U362">
            <v>3.1979119555521311</v>
          </cell>
        </row>
        <row r="363">
          <cell r="D363">
            <v>39559</v>
          </cell>
          <cell r="E363">
            <v>117.48</v>
          </cell>
          <cell r="H363">
            <v>39559</v>
          </cell>
          <cell r="I363">
            <v>116.63</v>
          </cell>
          <cell r="J363">
            <v>116.63</v>
          </cell>
          <cell r="L363">
            <v>1.53</v>
          </cell>
          <cell r="M363">
            <v>1.9808000000000001</v>
          </cell>
          <cell r="N363">
            <v>3.0306240000000004</v>
          </cell>
          <cell r="O363">
            <v>1.53</v>
          </cell>
          <cell r="Q363">
            <v>2.7116793016525071</v>
          </cell>
          <cell r="S363">
            <v>2.412654594876412</v>
          </cell>
          <cell r="U363">
            <v>3.1902656220827281</v>
          </cell>
        </row>
        <row r="364">
          <cell r="D364">
            <v>39560</v>
          </cell>
          <cell r="E364">
            <v>118.07</v>
          </cell>
          <cell r="H364">
            <v>39560</v>
          </cell>
          <cell r="I364">
            <v>118.07</v>
          </cell>
          <cell r="J364">
            <v>118.07</v>
          </cell>
          <cell r="L364">
            <v>1.49</v>
          </cell>
          <cell r="M364">
            <v>1.9944500000000001</v>
          </cell>
          <cell r="N364">
            <v>2.9717305000000001</v>
          </cell>
          <cell r="O364">
            <v>1.49</v>
          </cell>
          <cell r="Q364">
            <v>2.6934370273550559</v>
          </cell>
          <cell r="S364">
            <v>2.3723984020147428</v>
          </cell>
          <cell r="U364">
            <v>3.197975130570053</v>
          </cell>
        </row>
        <row r="365">
          <cell r="D365">
            <v>39561</v>
          </cell>
          <cell r="E365">
            <v>118.3</v>
          </cell>
          <cell r="H365">
            <v>39561</v>
          </cell>
          <cell r="I365">
            <v>118.3</v>
          </cell>
          <cell r="J365">
            <v>118.3</v>
          </cell>
          <cell r="L365">
            <v>1.4175</v>
          </cell>
          <cell r="M365">
            <v>1.9803000000000002</v>
          </cell>
          <cell r="N365">
            <v>2.80707525</v>
          </cell>
          <cell r="O365">
            <v>1.4175</v>
          </cell>
          <cell r="Q365">
            <v>2.6982784520586311</v>
          </cell>
          <cell r="S365">
            <v>2.3750656125373317</v>
          </cell>
          <cell r="U365">
            <v>3.1805935422248917</v>
          </cell>
        </row>
        <row r="366">
          <cell r="D366">
            <v>39562</v>
          </cell>
          <cell r="E366">
            <v>116.06</v>
          </cell>
          <cell r="H366">
            <v>39562</v>
          </cell>
          <cell r="I366">
            <v>116.06</v>
          </cell>
          <cell r="J366">
            <v>116.06</v>
          </cell>
          <cell r="L366">
            <v>1.3775000000000002</v>
          </cell>
          <cell r="M366">
            <v>1.9726000000000001</v>
          </cell>
          <cell r="N366">
            <v>2.7172565000000004</v>
          </cell>
          <cell r="O366">
            <v>1.3774999999999999</v>
          </cell>
          <cell r="Q366">
            <v>2.6679727383064149</v>
          </cell>
          <cell r="S366">
            <v>2.3788731286157194</v>
          </cell>
          <cell r="U366">
            <v>3.1615042818044548</v>
          </cell>
        </row>
        <row r="367">
          <cell r="D367">
            <v>39563</v>
          </cell>
          <cell r="E367">
            <v>118.52</v>
          </cell>
          <cell r="H367">
            <v>39563</v>
          </cell>
          <cell r="I367">
            <v>118.52</v>
          </cell>
          <cell r="J367">
            <v>118.52</v>
          </cell>
          <cell r="L367">
            <v>1.4375</v>
          </cell>
          <cell r="M367">
            <v>1.9886000000000001</v>
          </cell>
          <cell r="N367">
            <v>2.8586125</v>
          </cell>
          <cell r="O367">
            <v>1.4375</v>
          </cell>
          <cell r="Q367">
            <v>2.6799024367472692</v>
          </cell>
          <cell r="S367">
            <v>2.4409376995859002</v>
          </cell>
          <cell r="U367">
            <v>3.2117908098657448</v>
          </cell>
        </row>
        <row r="368">
          <cell r="D368">
            <v>39566</v>
          </cell>
          <cell r="E368">
            <v>118.75</v>
          </cell>
          <cell r="H368">
            <v>39566</v>
          </cell>
          <cell r="I368">
            <v>118.75</v>
          </cell>
          <cell r="J368">
            <v>118.75</v>
          </cell>
          <cell r="L368">
            <v>1.4775</v>
          </cell>
          <cell r="M368">
            <v>1.9948500000000002</v>
          </cell>
          <cell r="N368">
            <v>2.9473908750000004</v>
          </cell>
          <cell r="O368">
            <v>1.4775</v>
          </cell>
          <cell r="Q368">
            <v>2.7062494164877227</v>
          </cell>
          <cell r="S368">
            <v>2.4392212521330854</v>
          </cell>
          <cell r="U368">
            <v>3.2253163712555835</v>
          </cell>
        </row>
        <row r="369">
          <cell r="D369">
            <v>39567</v>
          </cell>
          <cell r="E369">
            <v>115.63</v>
          </cell>
          <cell r="H369">
            <v>39567</v>
          </cell>
          <cell r="I369">
            <v>115.63</v>
          </cell>
          <cell r="J369">
            <v>115.63</v>
          </cell>
          <cell r="L369">
            <v>1.4675</v>
          </cell>
          <cell r="M369">
            <v>1.9713500000000002</v>
          </cell>
          <cell r="N369">
            <v>2.8929561250000004</v>
          </cell>
          <cell r="O369">
            <v>1.4675</v>
          </cell>
          <cell r="Q369">
            <v>2.676799645224536</v>
          </cell>
          <cell r="S369">
            <v>2.4282154368267528</v>
          </cell>
          <cell r="U369">
            <v>3.204875672386609</v>
          </cell>
        </row>
        <row r="370">
          <cell r="D370">
            <v>39568</v>
          </cell>
          <cell r="E370">
            <v>113.46</v>
          </cell>
          <cell r="H370">
            <v>39568</v>
          </cell>
          <cell r="I370">
            <v>113.46</v>
          </cell>
          <cell r="J370">
            <v>113.46</v>
          </cell>
          <cell r="L370">
            <v>1.5725</v>
          </cell>
          <cell r="M370">
            <v>1.9805500000000003</v>
          </cell>
          <cell r="N370">
            <v>3.1144148750000005</v>
          </cell>
          <cell r="O370">
            <v>1.5725</v>
          </cell>
          <cell r="Q370">
            <v>2.7075333302212683</v>
          </cell>
          <cell r="S370">
            <v>2.4355825884679474</v>
          </cell>
          <cell r="U370">
            <v>3.2610351318213064</v>
          </cell>
        </row>
        <row r="371">
          <cell r="D371">
            <v>39569</v>
          </cell>
          <cell r="E371">
            <v>112.52</v>
          </cell>
          <cell r="H371">
            <v>39569</v>
          </cell>
          <cell r="I371">
            <v>112.52</v>
          </cell>
          <cell r="J371">
            <v>112.52</v>
          </cell>
          <cell r="L371">
            <v>1.5549999999999999</v>
          </cell>
          <cell r="M371">
            <v>1.9747000000000001</v>
          </cell>
          <cell r="N371">
            <v>3.0706585</v>
          </cell>
          <cell r="O371">
            <v>1.5549999999999999</v>
          </cell>
          <cell r="Q371">
            <v>2.6943464662496499</v>
          </cell>
          <cell r="S371">
            <v>2.4404891338299923</v>
          </cell>
          <cell r="U371">
            <v>3.2588366171031726</v>
          </cell>
        </row>
        <row r="372">
          <cell r="D372">
            <v>39570</v>
          </cell>
          <cell r="E372">
            <v>116.32</v>
          </cell>
          <cell r="H372">
            <v>39570</v>
          </cell>
          <cell r="I372">
            <v>116.32</v>
          </cell>
          <cell r="J372">
            <v>116.32</v>
          </cell>
          <cell r="L372">
            <v>1.61</v>
          </cell>
          <cell r="M372">
            <v>1.9749000000000001</v>
          </cell>
          <cell r="N372">
            <v>3.1795890000000004</v>
          </cell>
          <cell r="O372">
            <v>1.61</v>
          </cell>
          <cell r="Q372">
            <v>2.7526040519092523</v>
          </cell>
          <cell r="S372">
            <v>2.4919699702153726</v>
          </cell>
          <cell r="U372">
            <v>3.3395704033094664</v>
          </cell>
        </row>
        <row r="373">
          <cell r="D373">
            <v>39573</v>
          </cell>
          <cell r="E373">
            <v>119.97</v>
          </cell>
          <cell r="H373">
            <v>39573</v>
          </cell>
          <cell r="I373">
            <v>119.97</v>
          </cell>
          <cell r="J373">
            <v>119.97</v>
          </cell>
          <cell r="L373">
            <v>1.61</v>
          </cell>
          <cell r="M373">
            <v>1.9690500000000002</v>
          </cell>
          <cell r="N373">
            <v>3.1701705000000007</v>
          </cell>
          <cell r="O373">
            <v>1.61</v>
          </cell>
          <cell r="Q373">
            <v>2.7526040519092523</v>
          </cell>
          <cell r="S373">
            <v>2.4985953230177076</v>
          </cell>
          <cell r="U373">
            <v>3.3325529051789702</v>
          </cell>
        </row>
        <row r="374">
          <cell r="D374">
            <v>39574</v>
          </cell>
          <cell r="E374">
            <v>121.84</v>
          </cell>
          <cell r="H374">
            <v>39574</v>
          </cell>
          <cell r="I374">
            <v>121.84</v>
          </cell>
          <cell r="J374">
            <v>121.84</v>
          </cell>
          <cell r="L374">
            <v>1.54</v>
          </cell>
          <cell r="M374">
            <v>1.9765500000000003</v>
          </cell>
          <cell r="N374">
            <v>3.0438870000000007</v>
          </cell>
          <cell r="O374">
            <v>1.54</v>
          </cell>
          <cell r="Q374">
            <v>2.7628218653720471</v>
          </cell>
          <cell r="S374">
            <v>2.459892600087429</v>
          </cell>
          <cell r="U374">
            <v>3.311355006149181</v>
          </cell>
        </row>
        <row r="375">
          <cell r="D375">
            <v>39575</v>
          </cell>
          <cell r="E375">
            <v>123.53</v>
          </cell>
          <cell r="H375">
            <v>39575</v>
          </cell>
          <cell r="I375">
            <v>123.53</v>
          </cell>
          <cell r="J375">
            <v>123.53</v>
          </cell>
          <cell r="L375">
            <v>1.5825</v>
          </cell>
          <cell r="M375">
            <v>1.9515</v>
          </cell>
          <cell r="N375">
            <v>3.08824875</v>
          </cell>
          <cell r="O375">
            <v>1.5825</v>
          </cell>
          <cell r="Q375">
            <v>2.7948127158995426</v>
          </cell>
          <cell r="S375">
            <v>2.4889745128316902</v>
          </cell>
          <cell r="U375">
            <v>3.330570982411444</v>
          </cell>
        </row>
        <row r="376">
          <cell r="D376">
            <v>39576</v>
          </cell>
          <cell r="E376">
            <v>123.69</v>
          </cell>
          <cell r="H376">
            <v>39576</v>
          </cell>
          <cell r="I376">
            <v>123.69</v>
          </cell>
          <cell r="J376">
            <v>123.69</v>
          </cell>
          <cell r="L376">
            <v>1.5775000000000001</v>
          </cell>
          <cell r="M376">
            <v>1.9564000000000001</v>
          </cell>
          <cell r="N376">
            <v>3.0862210000000005</v>
          </cell>
          <cell r="O376">
            <v>1.5774999999999999</v>
          </cell>
          <cell r="Q376">
            <v>2.8218818971151158</v>
          </cell>
          <cell r="S376">
            <v>2.4907903851584616</v>
          </cell>
          <cell r="U376">
            <v>3.3400607613901938</v>
          </cell>
        </row>
        <row r="377">
          <cell r="D377">
            <v>39577</v>
          </cell>
          <cell r="E377">
            <v>125.96</v>
          </cell>
          <cell r="H377">
            <v>39577</v>
          </cell>
          <cell r="I377">
            <v>125.96</v>
          </cell>
          <cell r="J377">
            <v>125.96</v>
          </cell>
          <cell r="L377">
            <v>1.6</v>
          </cell>
          <cell r="M377">
            <v>1.9462500000000003</v>
          </cell>
          <cell r="N377">
            <v>3.1140000000000008</v>
          </cell>
          <cell r="O377">
            <v>1.6</v>
          </cell>
          <cell r="Q377">
            <v>2.7917901689851554</v>
          </cell>
          <cell r="S377">
            <v>2.4690264639632784</v>
          </cell>
          <cell r="U377">
            <v>3.3245789105408661</v>
          </cell>
        </row>
        <row r="378">
          <cell r="D378">
            <v>39580</v>
          </cell>
          <cell r="E378">
            <v>124.23</v>
          </cell>
          <cell r="H378">
            <v>39580</v>
          </cell>
          <cell r="I378">
            <v>124.23</v>
          </cell>
          <cell r="J378">
            <v>124.23</v>
          </cell>
          <cell r="L378">
            <v>1.6125</v>
          </cell>
          <cell r="M378">
            <v>1.9611500000000002</v>
          </cell>
          <cell r="N378">
            <v>3.1623543750000005</v>
          </cell>
          <cell r="O378">
            <v>1.6125</v>
          </cell>
          <cell r="Q378">
            <v>2.8168799831948466</v>
          </cell>
          <cell r="S378">
            <v>2.4803335335574168</v>
          </cell>
          <cell r="U378">
            <v>3.327782909096491</v>
          </cell>
        </row>
        <row r="379">
          <cell r="D379">
            <v>39581</v>
          </cell>
          <cell r="E379">
            <v>125.8</v>
          </cell>
          <cell r="H379">
            <v>39581</v>
          </cell>
          <cell r="I379">
            <v>125.59</v>
          </cell>
          <cell r="J379">
            <v>125.59</v>
          </cell>
          <cell r="L379">
            <v>1.6</v>
          </cell>
          <cell r="M379">
            <v>1.9463500000000002</v>
          </cell>
          <cell r="N379">
            <v>3.1141600000000005</v>
          </cell>
          <cell r="O379">
            <v>1.6</v>
          </cell>
          <cell r="Q379">
            <v>2.77435034077117</v>
          </cell>
          <cell r="S379">
            <v>2.5130009468906853</v>
          </cell>
          <cell r="U379">
            <v>3.3119549383673181</v>
          </cell>
        </row>
        <row r="380">
          <cell r="D380">
            <v>39582</v>
          </cell>
          <cell r="E380">
            <v>124.22</v>
          </cell>
          <cell r="H380">
            <v>39582</v>
          </cell>
          <cell r="I380">
            <v>124.11</v>
          </cell>
          <cell r="J380">
            <v>124.11</v>
          </cell>
          <cell r="L380">
            <v>1.575</v>
          </cell>
          <cell r="M380">
            <v>1.9416500000000001</v>
          </cell>
          <cell r="N380">
            <v>3.0580987500000001</v>
          </cell>
          <cell r="O380">
            <v>1.575</v>
          </cell>
          <cell r="Q380">
            <v>2.7484580804780139</v>
          </cell>
          <cell r="S380">
            <v>2.5038649954485384</v>
          </cell>
          <cell r="U380">
            <v>3.3086576531665752</v>
          </cell>
        </row>
        <row r="381">
          <cell r="D381">
            <v>39583</v>
          </cell>
          <cell r="E381">
            <v>124.12</v>
          </cell>
          <cell r="H381">
            <v>39583</v>
          </cell>
          <cell r="I381">
            <v>123.85</v>
          </cell>
          <cell r="J381">
            <v>123.85</v>
          </cell>
          <cell r="L381">
            <v>1.5925</v>
          </cell>
          <cell r="M381">
            <v>1.9463000000000001</v>
          </cell>
          <cell r="N381">
            <v>3.0994827500000004</v>
          </cell>
          <cell r="O381">
            <v>1.5925</v>
          </cell>
          <cell r="Q381">
            <v>2.765469937447484</v>
          </cell>
          <cell r="S381">
            <v>2.5789208782080366</v>
          </cell>
          <cell r="U381">
            <v>3.3211267521838375</v>
          </cell>
        </row>
        <row r="382">
          <cell r="D382">
            <v>39584</v>
          </cell>
          <cell r="E382">
            <v>126.29</v>
          </cell>
          <cell r="H382">
            <v>39584</v>
          </cell>
          <cell r="I382">
            <v>126.04</v>
          </cell>
          <cell r="J382">
            <v>126.04</v>
          </cell>
          <cell r="L382">
            <v>1.62</v>
          </cell>
          <cell r="M382">
            <v>1.9536500000000001</v>
          </cell>
          <cell r="N382">
            <v>3.1649130000000003</v>
          </cell>
          <cell r="O382">
            <v>1.62</v>
          </cell>
          <cell r="Q382">
            <v>2.7963373634581274</v>
          </cell>
          <cell r="S382">
            <v>2.6042886387007154</v>
          </cell>
          <cell r="U382">
            <v>3.2908923993426682</v>
          </cell>
        </row>
        <row r="383">
          <cell r="D383">
            <v>39587</v>
          </cell>
          <cell r="E383">
            <v>127.05</v>
          </cell>
          <cell r="H383">
            <v>39587</v>
          </cell>
          <cell r="I383">
            <v>126.72</v>
          </cell>
          <cell r="J383">
            <v>126.72</v>
          </cell>
          <cell r="L383">
            <v>1.6475000000000002</v>
          </cell>
          <cell r="M383">
            <v>1.9489000000000001</v>
          </cell>
          <cell r="N383">
            <v>3.2108127500000005</v>
          </cell>
          <cell r="O383">
            <v>1.6475</v>
          </cell>
          <cell r="Q383">
            <v>2.8238880123237795</v>
          </cell>
          <cell r="S383">
            <v>2.6655184953211126</v>
          </cell>
          <cell r="U383">
            <v>3.306932201285552</v>
          </cell>
        </row>
        <row r="384">
          <cell r="D384">
            <v>39588</v>
          </cell>
          <cell r="E384">
            <v>128.97999999999999</v>
          </cell>
          <cell r="H384">
            <v>39588</v>
          </cell>
          <cell r="I384">
            <v>128.97999999999999</v>
          </cell>
          <cell r="J384">
            <v>128.97999999999999</v>
          </cell>
          <cell r="L384">
            <v>1.5675000000000001</v>
          </cell>
          <cell r="M384">
            <v>1.9683000000000002</v>
          </cell>
          <cell r="N384">
            <v>3.0853102500000005</v>
          </cell>
          <cell r="O384">
            <v>1.5674999999999999</v>
          </cell>
          <cell r="Q384">
            <v>2.7417710297824671</v>
          </cell>
          <cell r="S384">
            <v>2.5662776069792796</v>
          </cell>
          <cell r="U384">
            <v>3.1944997899030136</v>
          </cell>
        </row>
        <row r="385">
          <cell r="D385">
            <v>39589</v>
          </cell>
          <cell r="E385">
            <v>133.16999999999999</v>
          </cell>
          <cell r="H385">
            <v>39589</v>
          </cell>
          <cell r="I385">
            <v>133.16999999999999</v>
          </cell>
          <cell r="J385">
            <v>133.16999999999999</v>
          </cell>
          <cell r="L385">
            <v>1.5350000000000001</v>
          </cell>
          <cell r="M385">
            <v>1.9643000000000002</v>
          </cell>
          <cell r="N385">
            <v>3.0152005000000006</v>
          </cell>
          <cell r="O385">
            <v>1.5349999999999999</v>
          </cell>
          <cell r="Q385">
            <v>2.7191687984315194</v>
          </cell>
          <cell r="S385">
            <v>2.5429393380991625</v>
          </cell>
          <cell r="U385">
            <v>3.1674173559743877</v>
          </cell>
        </row>
        <row r="386">
          <cell r="D386">
            <v>39590</v>
          </cell>
          <cell r="E386">
            <v>130.81</v>
          </cell>
          <cell r="H386">
            <v>39590</v>
          </cell>
          <cell r="I386">
            <v>130.81</v>
          </cell>
          <cell r="J386">
            <v>130.81</v>
          </cell>
          <cell r="L386">
            <v>1.5225</v>
          </cell>
          <cell r="M386">
            <v>1.9813500000000002</v>
          </cell>
          <cell r="N386">
            <v>3.0166053750000001</v>
          </cell>
          <cell r="O386">
            <v>1.5225</v>
          </cell>
          <cell r="Q386">
            <v>2.724812669218561</v>
          </cell>
          <cell r="S386">
            <v>2.5351292680180264</v>
          </cell>
          <cell r="U386">
            <v>3.1233193780618533</v>
          </cell>
        </row>
        <row r="387">
          <cell r="D387">
            <v>39591</v>
          </cell>
          <cell r="E387">
            <v>132.19</v>
          </cell>
          <cell r="H387">
            <v>39591</v>
          </cell>
          <cell r="I387">
            <v>132.19</v>
          </cell>
          <cell r="J387">
            <v>132.19</v>
          </cell>
          <cell r="L387">
            <v>1.52</v>
          </cell>
          <cell r="M387">
            <v>1.9818500000000001</v>
          </cell>
          <cell r="N387">
            <v>3.0124120000000003</v>
          </cell>
          <cell r="O387">
            <v>1.52</v>
          </cell>
          <cell r="Q387">
            <v>2.695576883577631</v>
          </cell>
          <cell r="S387">
            <v>2.504832212999025</v>
          </cell>
          <cell r="U387">
            <v>3.0600309622991331</v>
          </cell>
        </row>
        <row r="388">
          <cell r="D388">
            <v>39595</v>
          </cell>
          <cell r="E388">
            <v>128.85</v>
          </cell>
          <cell r="H388">
            <v>39595</v>
          </cell>
          <cell r="I388">
            <v>128.85</v>
          </cell>
          <cell r="J388">
            <v>128.85</v>
          </cell>
          <cell r="L388">
            <v>1.4675</v>
          </cell>
          <cell r="M388">
            <v>1.9748500000000002</v>
          </cell>
          <cell r="N388">
            <v>2.8980923750000005</v>
          </cell>
          <cell r="O388">
            <v>1.4675</v>
          </cell>
          <cell r="Q388">
            <v>2.683968163570162</v>
          </cell>
          <cell r="S388">
            <v>2.5193615055839742</v>
          </cell>
          <cell r="U388">
            <v>3.049099331500535</v>
          </cell>
        </row>
        <row r="389">
          <cell r="D389">
            <v>39596</v>
          </cell>
          <cell r="E389">
            <v>131.03</v>
          </cell>
          <cell r="H389">
            <v>39596</v>
          </cell>
          <cell r="I389">
            <v>131.03</v>
          </cell>
          <cell r="J389">
            <v>131.03</v>
          </cell>
          <cell r="L389">
            <v>1.4825000000000002</v>
          </cell>
          <cell r="M389">
            <v>1.9807500000000002</v>
          </cell>
          <cell r="N389">
            <v>2.9364618750000004</v>
          </cell>
          <cell r="O389">
            <v>1.4824999999999999</v>
          </cell>
          <cell r="Q389">
            <v>2.690146998412847</v>
          </cell>
          <cell r="S389">
            <v>2.539233708283466</v>
          </cell>
          <cell r="U389">
            <v>3.0823167564085088</v>
          </cell>
        </row>
        <row r="390">
          <cell r="D390">
            <v>39597</v>
          </cell>
          <cell r="E390">
            <v>126.62</v>
          </cell>
          <cell r="H390">
            <v>39597</v>
          </cell>
          <cell r="I390">
            <v>126.62</v>
          </cell>
          <cell r="J390">
            <v>126.62</v>
          </cell>
          <cell r="L390">
            <v>1.4575</v>
          </cell>
          <cell r="M390">
            <v>1.9768500000000002</v>
          </cell>
          <cell r="N390">
            <v>2.8812588750000003</v>
          </cell>
          <cell r="O390">
            <v>1.4575</v>
          </cell>
          <cell r="Q390">
            <v>2.7010870133507607</v>
          </cell>
          <cell r="S390">
            <v>2.5197308542925221</v>
          </cell>
          <cell r="U390">
            <v>3.0684039250567348</v>
          </cell>
        </row>
        <row r="391">
          <cell r="D391">
            <v>39598</v>
          </cell>
          <cell r="E391">
            <v>127.35</v>
          </cell>
          <cell r="H391">
            <v>39598</v>
          </cell>
          <cell r="I391">
            <v>127.35</v>
          </cell>
          <cell r="J391">
            <v>127.35</v>
          </cell>
          <cell r="L391">
            <v>1.4325000000000001</v>
          </cell>
          <cell r="M391">
            <v>1.9762000000000002</v>
          </cell>
          <cell r="N391">
            <v>2.8309065000000007</v>
          </cell>
          <cell r="O391">
            <v>1.4325000000000001</v>
          </cell>
          <cell r="Q391">
            <v>2.6880071421902723</v>
          </cell>
          <cell r="S391">
            <v>2.5678697897492255</v>
          </cell>
          <cell r="U391">
            <v>3.1435745585314718</v>
          </cell>
        </row>
        <row r="392">
          <cell r="D392">
            <v>39601</v>
          </cell>
          <cell r="E392">
            <v>127.76</v>
          </cell>
          <cell r="H392">
            <v>39601</v>
          </cell>
          <cell r="I392">
            <v>127.76</v>
          </cell>
          <cell r="J392">
            <v>127.76</v>
          </cell>
          <cell r="L392">
            <v>1.43</v>
          </cell>
          <cell r="M392">
            <v>1.9637</v>
          </cell>
          <cell r="N392">
            <v>2.8080909999999997</v>
          </cell>
          <cell r="O392">
            <v>1.43</v>
          </cell>
          <cell r="Q392">
            <v>2.6556418168238265</v>
          </cell>
          <cell r="S392">
            <v>2.542074754833878</v>
          </cell>
          <cell r="U392">
            <v>3.1116191902696473</v>
          </cell>
        </row>
        <row r="393">
          <cell r="D393">
            <v>39602</v>
          </cell>
          <cell r="E393">
            <v>124.31</v>
          </cell>
          <cell r="H393">
            <v>39602</v>
          </cell>
          <cell r="I393">
            <v>124.31</v>
          </cell>
          <cell r="J393">
            <v>124.31</v>
          </cell>
          <cell r="L393">
            <v>1.4175</v>
          </cell>
          <cell r="M393">
            <v>1.9664000000000001</v>
          </cell>
          <cell r="N393">
            <v>2.787372</v>
          </cell>
          <cell r="O393">
            <v>1.4175</v>
          </cell>
          <cell r="Q393">
            <v>2.6713162636541874</v>
          </cell>
          <cell r="S393">
            <v>2.5612368073581182</v>
          </cell>
          <cell r="U393">
            <v>3.1054373597473854</v>
          </cell>
        </row>
        <row r="394">
          <cell r="D394">
            <v>39603</v>
          </cell>
          <cell r="E394">
            <v>122.3</v>
          </cell>
          <cell r="H394">
            <v>39603</v>
          </cell>
          <cell r="I394">
            <v>122.3</v>
          </cell>
          <cell r="J394">
            <v>122.3</v>
          </cell>
          <cell r="L394">
            <v>1.4375</v>
          </cell>
          <cell r="M394">
            <v>1.9536</v>
          </cell>
          <cell r="N394">
            <v>2.8083</v>
          </cell>
          <cell r="O394">
            <v>1.4375</v>
          </cell>
          <cell r="Q394">
            <v>2.6686414433759689</v>
          </cell>
          <cell r="S394">
            <v>2.5986766359867333</v>
          </cell>
          <cell r="U394">
            <v>3.1236822096120083</v>
          </cell>
        </row>
        <row r="395">
          <cell r="D395">
            <v>39604</v>
          </cell>
          <cell r="E395">
            <v>127.79</v>
          </cell>
          <cell r="H395">
            <v>39604</v>
          </cell>
          <cell r="I395">
            <v>127.79</v>
          </cell>
          <cell r="J395">
            <v>127.79</v>
          </cell>
          <cell r="L395">
            <v>1.4475</v>
          </cell>
          <cell r="M395">
            <v>1.9547000000000001</v>
          </cell>
          <cell r="N395">
            <v>2.8294282500000003</v>
          </cell>
          <cell r="O395">
            <v>1.4475</v>
          </cell>
          <cell r="Q395">
            <v>2.6775485949024369</v>
          </cell>
          <cell r="S395">
            <v>2.6423009704388845</v>
          </cell>
          <cell r="U395">
            <v>3.1233486397792647</v>
          </cell>
        </row>
        <row r="396">
          <cell r="D396">
            <v>39605</v>
          </cell>
          <cell r="E396">
            <v>138.54</v>
          </cell>
          <cell r="H396">
            <v>39605</v>
          </cell>
          <cell r="I396">
            <v>138.54</v>
          </cell>
          <cell r="J396">
            <v>138.54</v>
          </cell>
          <cell r="L396">
            <v>1.3900000000000001</v>
          </cell>
          <cell r="M396">
            <v>1.9698500000000001</v>
          </cell>
          <cell r="N396">
            <v>2.7380915000000003</v>
          </cell>
          <cell r="O396">
            <v>1.39</v>
          </cell>
          <cell r="Q396">
            <v>2.6304985062085704</v>
          </cell>
          <cell r="S396">
            <v>2.5821809895101091</v>
          </cell>
          <cell r="U396">
            <v>3.0677932397609053</v>
          </cell>
        </row>
        <row r="397">
          <cell r="D397">
            <v>39608</v>
          </cell>
          <cell r="E397">
            <v>134.35</v>
          </cell>
          <cell r="H397">
            <v>39608</v>
          </cell>
          <cell r="I397">
            <v>134.35</v>
          </cell>
          <cell r="J397">
            <v>134.35</v>
          </cell>
          <cell r="L397">
            <v>1.3225</v>
          </cell>
          <cell r="M397">
            <v>1.9765500000000003</v>
          </cell>
          <cell r="N397">
            <v>2.6139873750000002</v>
          </cell>
          <cell r="O397">
            <v>1.3225</v>
          </cell>
          <cell r="Q397">
            <v>2.6056226776211373</v>
          </cell>
          <cell r="S397">
            <v>2.5270726704952868</v>
          </cell>
          <cell r="U397">
            <v>3.0025545909674891</v>
          </cell>
        </row>
        <row r="398">
          <cell r="D398">
            <v>39609</v>
          </cell>
          <cell r="E398">
            <v>131.31</v>
          </cell>
          <cell r="H398">
            <v>39609</v>
          </cell>
          <cell r="I398">
            <v>131.31</v>
          </cell>
          <cell r="J398">
            <v>131.31</v>
          </cell>
          <cell r="L398">
            <v>1.32</v>
          </cell>
          <cell r="M398">
            <v>1.9527000000000001</v>
          </cell>
          <cell r="N398">
            <v>2.5775640000000002</v>
          </cell>
          <cell r="O398">
            <v>1.32</v>
          </cell>
          <cell r="Q398">
            <v>2.5749157408271865</v>
          </cell>
          <cell r="S398">
            <v>2.5022075619367588</v>
          </cell>
          <cell r="U398">
            <v>2.9943632328707048</v>
          </cell>
        </row>
        <row r="399">
          <cell r="D399">
            <v>39610</v>
          </cell>
          <cell r="E399">
            <v>136.38</v>
          </cell>
          <cell r="H399">
            <v>39610</v>
          </cell>
          <cell r="I399">
            <v>136.38</v>
          </cell>
          <cell r="J399">
            <v>136.38</v>
          </cell>
          <cell r="L399">
            <v>1.35</v>
          </cell>
          <cell r="M399">
            <v>1.9632000000000001</v>
          </cell>
          <cell r="N399">
            <v>2.6503200000000002</v>
          </cell>
          <cell r="O399">
            <v>1.35</v>
          </cell>
          <cell r="Q399">
            <v>2.5205098963682198</v>
          </cell>
          <cell r="S399">
            <v>2.5009002469658248</v>
          </cell>
          <cell r="U399">
            <v>2.9464442628008136</v>
          </cell>
        </row>
        <row r="400">
          <cell r="D400">
            <v>39611</v>
          </cell>
          <cell r="E400">
            <v>136.74</v>
          </cell>
          <cell r="H400">
            <v>39611</v>
          </cell>
          <cell r="I400">
            <v>136.74</v>
          </cell>
          <cell r="J400">
            <v>136.74</v>
          </cell>
          <cell r="L400">
            <v>1.3800000000000001</v>
          </cell>
          <cell r="M400">
            <v>1.9457500000000001</v>
          </cell>
          <cell r="N400">
            <v>2.6851350000000003</v>
          </cell>
          <cell r="O400">
            <v>1.38</v>
          </cell>
          <cell r="Q400">
            <v>2.5555767902156661</v>
          </cell>
          <cell r="S400">
            <v>2.5167816382182311</v>
          </cell>
          <cell r="U400">
            <v>2.9857196888710131</v>
          </cell>
        </row>
        <row r="401">
          <cell r="D401">
            <v>39612</v>
          </cell>
          <cell r="E401">
            <v>134.86000000000001</v>
          </cell>
          <cell r="H401">
            <v>39612</v>
          </cell>
          <cell r="I401">
            <v>135.47</v>
          </cell>
          <cell r="J401">
            <v>135.47</v>
          </cell>
          <cell r="L401">
            <v>1.4425000000000001</v>
          </cell>
          <cell r="M401">
            <v>1.9446500000000002</v>
          </cell>
          <cell r="N401">
            <v>2.8051576250000005</v>
          </cell>
          <cell r="O401">
            <v>1.4424999999999999</v>
          </cell>
          <cell r="Q401">
            <v>2.5818167771449914</v>
          </cell>
          <cell r="S401">
            <v>2.5520563777822995</v>
          </cell>
          <cell r="U401">
            <v>2.9954347193123345</v>
          </cell>
        </row>
        <row r="402">
          <cell r="D402">
            <v>39615</v>
          </cell>
          <cell r="E402">
            <v>134.61000000000001</v>
          </cell>
          <cell r="H402">
            <v>39615</v>
          </cell>
          <cell r="I402">
            <v>135.34</v>
          </cell>
          <cell r="J402">
            <v>135.34</v>
          </cell>
          <cell r="L402">
            <v>1.365</v>
          </cell>
          <cell r="M402">
            <v>1.9634</v>
          </cell>
          <cell r="N402">
            <v>2.6800410000000001</v>
          </cell>
          <cell r="O402">
            <v>1.365</v>
          </cell>
          <cell r="Q402">
            <v>2.5773230790775843</v>
          </cell>
          <cell r="S402">
            <v>2.5326388606871282</v>
          </cell>
          <cell r="U402">
            <v>2.9860181359348923</v>
          </cell>
        </row>
        <row r="403">
          <cell r="D403">
            <v>39616</v>
          </cell>
          <cell r="E403">
            <v>134.01</v>
          </cell>
          <cell r="H403">
            <v>39616</v>
          </cell>
          <cell r="I403">
            <v>134.53</v>
          </cell>
          <cell r="J403">
            <v>134.53</v>
          </cell>
          <cell r="L403">
            <v>1.365</v>
          </cell>
          <cell r="M403">
            <v>1.9526500000000002</v>
          </cell>
          <cell r="N403">
            <v>2.6653672500000001</v>
          </cell>
          <cell r="O403">
            <v>1.365</v>
          </cell>
          <cell r="Q403">
            <v>2.6009684903370363</v>
          </cell>
          <cell r="S403">
            <v>2.5964954398710289</v>
          </cell>
          <cell r="U403">
            <v>3.0103276735410573</v>
          </cell>
        </row>
        <row r="404">
          <cell r="D404">
            <v>39617</v>
          </cell>
          <cell r="E404">
            <v>136.68</v>
          </cell>
          <cell r="H404">
            <v>39617</v>
          </cell>
          <cell r="I404">
            <v>137.16999999999999</v>
          </cell>
          <cell r="J404">
            <v>137.16999999999999</v>
          </cell>
          <cell r="L404">
            <v>1.335</v>
          </cell>
          <cell r="M404">
            <v>1.9586500000000002</v>
          </cell>
          <cell r="N404">
            <v>2.6147977500000001</v>
          </cell>
          <cell r="O404">
            <v>1.335</v>
          </cell>
          <cell r="Q404">
            <v>2.5503876388759226</v>
          </cell>
          <cell r="S404">
            <v>2.5256108222001115</v>
          </cell>
          <cell r="U404">
            <v>2.9110620523111526</v>
          </cell>
        </row>
        <row r="405">
          <cell r="D405">
            <v>39618</v>
          </cell>
          <cell r="E405">
            <v>131.93</v>
          </cell>
          <cell r="H405">
            <v>39618</v>
          </cell>
          <cell r="I405">
            <v>132.6</v>
          </cell>
          <cell r="J405">
            <v>132.6</v>
          </cell>
          <cell r="L405">
            <v>1.3425</v>
          </cell>
          <cell r="M405">
            <v>1.9712000000000001</v>
          </cell>
          <cell r="N405">
            <v>2.6463360000000002</v>
          </cell>
          <cell r="O405">
            <v>1.3425</v>
          </cell>
          <cell r="Q405">
            <v>2.5267957240220333</v>
          </cell>
          <cell r="S405">
            <v>2.5108053977094529</v>
          </cell>
          <cell r="U405">
            <v>2.8467125759883403</v>
          </cell>
        </row>
        <row r="406">
          <cell r="D406">
            <v>39619</v>
          </cell>
          <cell r="E406">
            <v>135.36000000000001</v>
          </cell>
          <cell r="H406">
            <v>39619</v>
          </cell>
          <cell r="I406">
            <v>135.36000000000001</v>
          </cell>
          <cell r="J406">
            <v>135.36000000000001</v>
          </cell>
          <cell r="L406">
            <v>1.3725000000000001</v>
          </cell>
          <cell r="M406">
            <v>1.9755</v>
          </cell>
          <cell r="N406">
            <v>2.7113737500000004</v>
          </cell>
          <cell r="O406">
            <v>1.3725000000000001</v>
          </cell>
          <cell r="Q406">
            <v>2.5039260106432639</v>
          </cell>
          <cell r="S406">
            <v>2.4959554004653217</v>
          </cell>
          <cell r="U406">
            <v>2.7897820320582554</v>
          </cell>
        </row>
        <row r="407">
          <cell r="D407">
            <v>39622</v>
          </cell>
          <cell r="E407">
            <v>136.74</v>
          </cell>
          <cell r="H407">
            <v>39622</v>
          </cell>
          <cell r="I407">
            <v>136.74</v>
          </cell>
          <cell r="J407">
            <v>136.74</v>
          </cell>
          <cell r="L407">
            <v>1.36</v>
          </cell>
          <cell r="M407">
            <v>1.9594500000000001</v>
          </cell>
          <cell r="N407">
            <v>2.6648520000000002</v>
          </cell>
          <cell r="O407">
            <v>1.36</v>
          </cell>
          <cell r="Q407">
            <v>2.4930929885164788</v>
          </cell>
          <cell r="S407">
            <v>2.4920552781933281</v>
          </cell>
          <cell r="U407">
            <v>2.7739915072664871</v>
          </cell>
        </row>
        <row r="408">
          <cell r="D408">
            <v>39623</v>
          </cell>
          <cell r="E408">
            <v>137</v>
          </cell>
          <cell r="H408">
            <v>39623</v>
          </cell>
          <cell r="I408">
            <v>137</v>
          </cell>
          <cell r="J408">
            <v>137</v>
          </cell>
          <cell r="L408">
            <v>1.3075000000000001</v>
          </cell>
          <cell r="M408">
            <v>1.9711500000000002</v>
          </cell>
          <cell r="N408">
            <v>2.5772786250000004</v>
          </cell>
          <cell r="O408">
            <v>1.3075000000000001</v>
          </cell>
          <cell r="Q408">
            <v>2.4587750443469334</v>
          </cell>
          <cell r="S408">
            <v>2.4516227314651822</v>
          </cell>
          <cell r="U408">
            <v>2.738094196891995</v>
          </cell>
        </row>
        <row r="409">
          <cell r="D409">
            <v>39624</v>
          </cell>
          <cell r="E409">
            <v>134.55000000000001</v>
          </cell>
          <cell r="H409">
            <v>39624</v>
          </cell>
          <cell r="I409">
            <v>134.55000000000001</v>
          </cell>
          <cell r="J409">
            <v>134.55000000000001</v>
          </cell>
          <cell r="L409">
            <v>1.3575000000000002</v>
          </cell>
          <cell r="M409">
            <v>1.9681500000000001</v>
          </cell>
          <cell r="N409">
            <v>2.6717636250000005</v>
          </cell>
          <cell r="O409">
            <v>1.3574999999999999</v>
          </cell>
          <cell r="Q409">
            <v>2.4932534777331719</v>
          </cell>
          <cell r="S409">
            <v>2.4995257248437937</v>
          </cell>
          <cell r="U409">
            <v>2.8215791356941424</v>
          </cell>
        </row>
        <row r="410">
          <cell r="D410">
            <v>39625</v>
          </cell>
          <cell r="E410">
            <v>139.63999999999999</v>
          </cell>
          <cell r="H410">
            <v>39625</v>
          </cell>
          <cell r="I410">
            <v>139.63999999999999</v>
          </cell>
          <cell r="J410">
            <v>139.63999999999999</v>
          </cell>
          <cell r="L410">
            <v>1.3049999999999999</v>
          </cell>
          <cell r="M410">
            <v>1.9890500000000002</v>
          </cell>
          <cell r="N410">
            <v>2.5957102500000002</v>
          </cell>
          <cell r="O410">
            <v>1.3049999999999999</v>
          </cell>
          <cell r="Q410">
            <v>2.4360390719820746</v>
          </cell>
          <cell r="S410">
            <v>2.4228225873819609</v>
          </cell>
          <cell r="U410">
            <v>2.7140132479083885</v>
          </cell>
        </row>
        <row r="411">
          <cell r="D411">
            <v>39626</v>
          </cell>
          <cell r="E411">
            <v>140.21</v>
          </cell>
          <cell r="H411">
            <v>39626</v>
          </cell>
          <cell r="I411">
            <v>140.21</v>
          </cell>
          <cell r="J411">
            <v>140.21</v>
          </cell>
          <cell r="L411">
            <v>1.28</v>
          </cell>
          <cell r="M411">
            <v>1.9915500000000002</v>
          </cell>
          <cell r="N411">
            <v>2.5491840000000003</v>
          </cell>
          <cell r="O411">
            <v>1.28</v>
          </cell>
          <cell r="Q411">
            <v>2.4353703669125202</v>
          </cell>
          <cell r="S411">
            <v>2.4174577500906036</v>
          </cell>
          <cell r="U411">
            <v>2.7013430541886096</v>
          </cell>
        </row>
        <row r="412">
          <cell r="D412">
            <v>39629</v>
          </cell>
          <cell r="E412">
            <v>140</v>
          </cell>
          <cell r="H412">
            <v>39629</v>
          </cell>
          <cell r="I412">
            <v>140</v>
          </cell>
          <cell r="J412">
            <v>140</v>
          </cell>
          <cell r="L412">
            <v>1.2675000000000001</v>
          </cell>
          <cell r="M412">
            <v>1.9901500000000001</v>
          </cell>
          <cell r="N412">
            <v>2.5225151250000004</v>
          </cell>
          <cell r="O412">
            <v>1.2675000000000001</v>
          </cell>
          <cell r="Q412">
            <v>2.4463371300532164</v>
          </cell>
          <cell r="S412">
            <v>2.4404929561088555</v>
          </cell>
          <cell r="U412">
            <v>2.7537467399064757</v>
          </cell>
        </row>
        <row r="413">
          <cell r="D413">
            <v>39630</v>
          </cell>
          <cell r="E413">
            <v>140.97</v>
          </cell>
          <cell r="H413">
            <v>39630</v>
          </cell>
          <cell r="I413">
            <v>140.97</v>
          </cell>
          <cell r="J413">
            <v>140.97</v>
          </cell>
          <cell r="L413">
            <v>1.165</v>
          </cell>
          <cell r="M413">
            <v>1.9913500000000002</v>
          </cell>
          <cell r="N413">
            <v>2.3199227500000004</v>
          </cell>
          <cell r="O413">
            <v>1.165</v>
          </cell>
          <cell r="Q413">
            <v>2.3861536737932969</v>
          </cell>
          <cell r="S413">
            <v>2.3650827926449662</v>
          </cell>
          <cell r="U413">
            <v>2.6737077457876111</v>
          </cell>
        </row>
        <row r="414">
          <cell r="D414">
            <v>39631</v>
          </cell>
          <cell r="E414">
            <v>143.57</v>
          </cell>
          <cell r="H414">
            <v>39631</v>
          </cell>
          <cell r="I414">
            <v>143.57</v>
          </cell>
          <cell r="J414">
            <v>143.57</v>
          </cell>
          <cell r="L414">
            <v>1.07</v>
          </cell>
          <cell r="M414">
            <v>1.9921000000000002</v>
          </cell>
          <cell r="N414">
            <v>2.1315470000000003</v>
          </cell>
          <cell r="O414">
            <v>1.07</v>
          </cell>
          <cell r="Q414">
            <v>2.3159128932872748</v>
          </cell>
          <cell r="S414">
            <v>2.3378389447292562</v>
          </cell>
          <cell r="U414">
            <v>2.6170952953053255</v>
          </cell>
        </row>
        <row r="415">
          <cell r="D415">
            <v>39632</v>
          </cell>
          <cell r="E415">
            <v>145.29</v>
          </cell>
          <cell r="H415">
            <v>39632</v>
          </cell>
          <cell r="I415">
            <v>145.29</v>
          </cell>
          <cell r="J415">
            <v>145.29</v>
          </cell>
          <cell r="L415">
            <v>1.0575000000000001</v>
          </cell>
          <cell r="M415">
            <v>1.9827500000000002</v>
          </cell>
          <cell r="N415">
            <v>2.0967581250000005</v>
          </cell>
          <cell r="O415">
            <v>1.0575000000000001</v>
          </cell>
          <cell r="Q415">
            <v>2.3154314256371955</v>
          </cell>
          <cell r="S415">
            <v>2.3082531927851226</v>
          </cell>
          <cell r="U415">
            <v>2.6506973617009781</v>
          </cell>
        </row>
        <row r="416">
          <cell r="D416">
            <v>39636</v>
          </cell>
          <cell r="E416">
            <v>141.37</v>
          </cell>
          <cell r="H416">
            <v>39636</v>
          </cell>
          <cell r="I416">
            <v>141.37</v>
          </cell>
          <cell r="J416">
            <v>141.37</v>
          </cell>
          <cell r="L416">
            <v>1.08</v>
          </cell>
          <cell r="M416">
            <v>1.9694500000000001</v>
          </cell>
          <cell r="N416">
            <v>2.1270060000000002</v>
          </cell>
          <cell r="O416">
            <v>1.08</v>
          </cell>
          <cell r="Q416">
            <v>2.306497525907945</v>
          </cell>
          <cell r="S416">
            <v>2.3213286962738291</v>
          </cell>
          <cell r="U416">
            <v>2.6838504580905771</v>
          </cell>
        </row>
        <row r="417">
          <cell r="D417">
            <v>39637</v>
          </cell>
          <cell r="E417">
            <v>136.04</v>
          </cell>
          <cell r="H417">
            <v>39637</v>
          </cell>
          <cell r="I417">
            <v>136.04</v>
          </cell>
          <cell r="J417">
            <v>136.04</v>
          </cell>
          <cell r="L417">
            <v>1.0325</v>
          </cell>
          <cell r="M417">
            <v>1.9719</v>
          </cell>
          <cell r="N417">
            <v>2.0359867499999997</v>
          </cell>
          <cell r="O417">
            <v>1.0325</v>
          </cell>
          <cell r="Q417">
            <v>2.2682743441322004</v>
          </cell>
          <cell r="S417">
            <v>2.3091014185623986</v>
          </cell>
          <cell r="U417">
            <v>2.6880656722180083</v>
          </cell>
        </row>
        <row r="418">
          <cell r="D418">
            <v>39638</v>
          </cell>
          <cell r="E418">
            <v>136.05000000000001</v>
          </cell>
          <cell r="H418">
            <v>39638</v>
          </cell>
          <cell r="I418">
            <v>136.05000000000001</v>
          </cell>
          <cell r="J418">
            <v>136.05000000000001</v>
          </cell>
          <cell r="L418">
            <v>1.0249999999999999</v>
          </cell>
          <cell r="M418">
            <v>1.9786500000000002</v>
          </cell>
          <cell r="N418">
            <v>2.0281162500000001</v>
          </cell>
          <cell r="O418">
            <v>1.0249999999999999</v>
          </cell>
          <cell r="Q418">
            <v>2.3149499579871162</v>
          </cell>
          <cell r="S418">
            <v>2.3748755441464255</v>
          </cell>
          <cell r="U418">
            <v>2.756536877120598</v>
          </cell>
        </row>
        <row r="419">
          <cell r="D419">
            <v>39639</v>
          </cell>
          <cell r="E419">
            <v>141.65</v>
          </cell>
          <cell r="H419">
            <v>39639</v>
          </cell>
          <cell r="I419">
            <v>141.65</v>
          </cell>
          <cell r="J419">
            <v>141.65</v>
          </cell>
          <cell r="L419">
            <v>0.96750000000000003</v>
          </cell>
          <cell r="M419">
            <v>1.9780500000000001</v>
          </cell>
          <cell r="N419">
            <v>1.913763375</v>
          </cell>
          <cell r="O419">
            <v>0.96750000000000003</v>
          </cell>
          <cell r="Q419">
            <v>2.2789201288395109</v>
          </cell>
          <cell r="S419">
            <v>2.3360496141280311</v>
          </cell>
          <cell r="U419">
            <v>2.6895963097150091</v>
          </cell>
        </row>
        <row r="420">
          <cell r="D420">
            <v>39640</v>
          </cell>
          <cell r="E420">
            <v>145.08000000000001</v>
          </cell>
          <cell r="H420">
            <v>39640</v>
          </cell>
          <cell r="I420">
            <v>145.08000000000001</v>
          </cell>
          <cell r="J420">
            <v>145.08000000000001</v>
          </cell>
          <cell r="L420">
            <v>0.94000000000000006</v>
          </cell>
          <cell r="M420">
            <v>1.9886000000000001</v>
          </cell>
          <cell r="N420">
            <v>1.8692840000000002</v>
          </cell>
          <cell r="O420">
            <v>0.94</v>
          </cell>
          <cell r="Q420">
            <v>2.2305593782093176</v>
          </cell>
          <cell r="S420">
            <v>2.2287107748849082</v>
          </cell>
          <cell r="U420">
            <v>2.6284155964764313</v>
          </cell>
        </row>
        <row r="421">
          <cell r="D421">
            <v>39643</v>
          </cell>
          <cell r="E421">
            <v>145.18</v>
          </cell>
          <cell r="H421">
            <v>39643</v>
          </cell>
          <cell r="I421">
            <v>145.18</v>
          </cell>
          <cell r="J421">
            <v>145.18</v>
          </cell>
          <cell r="L421">
            <v>0.995</v>
          </cell>
          <cell r="M421">
            <v>1.9919</v>
          </cell>
          <cell r="N421">
            <v>1.9819405000000001</v>
          </cell>
          <cell r="O421">
            <v>0.995</v>
          </cell>
          <cell r="Q421">
            <v>2.2590729623751287</v>
          </cell>
          <cell r="S421">
            <v>2.3537581052087773</v>
          </cell>
          <cell r="U421">
            <v>2.691134774815366</v>
          </cell>
        </row>
        <row r="422">
          <cell r="D422">
            <v>39644</v>
          </cell>
          <cell r="E422">
            <v>138.74</v>
          </cell>
          <cell r="H422">
            <v>39644</v>
          </cell>
          <cell r="I422">
            <v>139.37</v>
          </cell>
          <cell r="J422">
            <v>139.37</v>
          </cell>
          <cell r="L422">
            <v>0.99250000000000005</v>
          </cell>
          <cell r="M422">
            <v>2.0047999999999999</v>
          </cell>
          <cell r="N422">
            <v>1.9897640000000001</v>
          </cell>
          <cell r="O422">
            <v>0.99250000000000005</v>
          </cell>
          <cell r="Q422">
            <v>2.2145639529455701</v>
          </cell>
          <cell r="S422">
            <v>2.3201016537906543</v>
          </cell>
          <cell r="U422">
            <v>2.6278077794776529</v>
          </cell>
        </row>
        <row r="423">
          <cell r="D423">
            <v>39645</v>
          </cell>
          <cell r="E423">
            <v>134.6</v>
          </cell>
          <cell r="H423">
            <v>39645</v>
          </cell>
          <cell r="I423">
            <v>135.32</v>
          </cell>
          <cell r="J423">
            <v>135.32</v>
          </cell>
          <cell r="L423">
            <v>1.0175000000000001</v>
          </cell>
          <cell r="M423">
            <v>1.9963000000000002</v>
          </cell>
          <cell r="N423">
            <v>2.0312352500000004</v>
          </cell>
          <cell r="O423">
            <v>1.0175000000000001</v>
          </cell>
          <cell r="Q423">
            <v>2.250727523107086</v>
          </cell>
          <cell r="S423">
            <v>2.3418966198800368</v>
          </cell>
          <cell r="U423">
            <v>2.6921531083750962</v>
          </cell>
        </row>
        <row r="424">
          <cell r="D424">
            <v>39646</v>
          </cell>
          <cell r="E424">
            <v>129.29</v>
          </cell>
          <cell r="H424">
            <v>39646</v>
          </cell>
          <cell r="I424">
            <v>130.18</v>
          </cell>
          <cell r="J424">
            <v>130.18</v>
          </cell>
          <cell r="L424">
            <v>1.0775000000000001</v>
          </cell>
          <cell r="M424">
            <v>2.0068999999999999</v>
          </cell>
          <cell r="N424">
            <v>2.1624347500000001</v>
          </cell>
          <cell r="O424">
            <v>1.0774999999999999</v>
          </cell>
          <cell r="Q424">
            <v>2.3323630379983196</v>
          </cell>
          <cell r="S424">
            <v>2.3983295866346976</v>
          </cell>
          <cell r="U424">
            <v>2.8058392392639195</v>
          </cell>
        </row>
        <row r="425">
          <cell r="D425">
            <v>39647</v>
          </cell>
          <cell r="E425">
            <v>128.88</v>
          </cell>
          <cell r="H425">
            <v>39647</v>
          </cell>
          <cell r="I425">
            <v>129.47</v>
          </cell>
          <cell r="J425">
            <v>129.47</v>
          </cell>
          <cell r="L425">
            <v>1.1525000000000001</v>
          </cell>
          <cell r="M425">
            <v>1.9964500000000001</v>
          </cell>
          <cell r="N425">
            <v>2.3009086250000004</v>
          </cell>
          <cell r="O425">
            <v>1.1525000000000001</v>
          </cell>
          <cell r="Q425">
            <v>2.3978961348146766</v>
          </cell>
          <cell r="S425">
            <v>2.4807667098069333</v>
          </cell>
          <cell r="U425">
            <v>2.8735133468765226</v>
          </cell>
        </row>
        <row r="426">
          <cell r="D426">
            <v>39650</v>
          </cell>
          <cell r="E426">
            <v>131.04</v>
          </cell>
          <cell r="H426">
            <v>39650</v>
          </cell>
          <cell r="I426">
            <v>131.82</v>
          </cell>
          <cell r="J426">
            <v>131.82</v>
          </cell>
          <cell r="L426">
            <v>1.1675</v>
          </cell>
          <cell r="M426">
            <v>1.9958500000000001</v>
          </cell>
          <cell r="N426">
            <v>2.3301548750000003</v>
          </cell>
          <cell r="O426">
            <v>1.1675</v>
          </cell>
          <cell r="Q426">
            <v>2.4195086826626833</v>
          </cell>
          <cell r="S426">
            <v>2.4970550239125338</v>
          </cell>
          <cell r="U426">
            <v>2.8522012891409809</v>
          </cell>
        </row>
        <row r="427">
          <cell r="D427">
            <v>39651</v>
          </cell>
          <cell r="E427">
            <v>128.41999999999999</v>
          </cell>
          <cell r="H427">
            <v>39651</v>
          </cell>
          <cell r="I427">
            <v>128.41999999999999</v>
          </cell>
          <cell r="J427">
            <v>128.41999999999999</v>
          </cell>
          <cell r="L427">
            <v>1.1675</v>
          </cell>
          <cell r="M427">
            <v>1.9966000000000002</v>
          </cell>
          <cell r="N427">
            <v>2.3310305000000002</v>
          </cell>
          <cell r="O427">
            <v>1.1675</v>
          </cell>
          <cell r="Q427">
            <v>2.4026840631126878</v>
          </cell>
          <cell r="S427">
            <v>2.5242795941581098</v>
          </cell>
          <cell r="U427">
            <v>2.8563034496969339</v>
          </cell>
        </row>
        <row r="428">
          <cell r="D428">
            <v>39652</v>
          </cell>
          <cell r="E428">
            <v>124.44</v>
          </cell>
          <cell r="H428">
            <v>39652</v>
          </cell>
          <cell r="I428">
            <v>124.44</v>
          </cell>
          <cell r="J428">
            <v>124.44</v>
          </cell>
          <cell r="L428">
            <v>1.24</v>
          </cell>
          <cell r="M428">
            <v>1.9966500000000003</v>
          </cell>
          <cell r="N428">
            <v>2.4758460000000002</v>
          </cell>
          <cell r="O428">
            <v>1.24</v>
          </cell>
          <cell r="Q428">
            <v>2.458106339277379</v>
          </cell>
          <cell r="S428">
            <v>2.6002261580963499</v>
          </cell>
          <cell r="U428">
            <v>2.9325574330225241</v>
          </cell>
        </row>
        <row r="429">
          <cell r="D429">
            <v>39653</v>
          </cell>
          <cell r="E429">
            <v>125.49</v>
          </cell>
          <cell r="H429">
            <v>39653</v>
          </cell>
          <cell r="I429">
            <v>125.49</v>
          </cell>
          <cell r="J429">
            <v>125.49</v>
          </cell>
          <cell r="L429">
            <v>1.2250000000000001</v>
          </cell>
          <cell r="M429">
            <v>1.9827500000000002</v>
          </cell>
          <cell r="N429">
            <v>2.4288687500000004</v>
          </cell>
          <cell r="O429">
            <v>1.2250000000000001</v>
          </cell>
          <cell r="Q429">
            <v>2.409264120997106</v>
          </cell>
          <cell r="S429">
            <v>2.4673608013526356</v>
          </cell>
          <cell r="U429">
            <v>2.8845100566640718</v>
          </cell>
        </row>
        <row r="430">
          <cell r="D430">
            <v>39654</v>
          </cell>
          <cell r="E430">
            <v>123.26</v>
          </cell>
          <cell r="H430">
            <v>39654</v>
          </cell>
          <cell r="I430">
            <v>123.26</v>
          </cell>
          <cell r="J430">
            <v>123.26</v>
          </cell>
          <cell r="L430">
            <v>1.22</v>
          </cell>
          <cell r="M430">
            <v>1.9874500000000002</v>
          </cell>
          <cell r="N430">
            <v>2.4246890000000003</v>
          </cell>
          <cell r="O430">
            <v>1.22</v>
          </cell>
          <cell r="Q430">
            <v>2.3719503781159559</v>
          </cell>
          <cell r="S430">
            <v>2.4862250248254272</v>
          </cell>
          <cell r="U430">
            <v>2.8871059568465074</v>
          </cell>
        </row>
        <row r="431">
          <cell r="D431">
            <v>39657</v>
          </cell>
          <cell r="E431">
            <v>124.73</v>
          </cell>
          <cell r="H431">
            <v>39657</v>
          </cell>
          <cell r="I431">
            <v>124.73</v>
          </cell>
          <cell r="J431">
            <v>124.73</v>
          </cell>
          <cell r="L431">
            <v>1.1825000000000001</v>
          </cell>
          <cell r="M431">
            <v>1.9914000000000001</v>
          </cell>
          <cell r="N431">
            <v>2.3548305000000003</v>
          </cell>
          <cell r="O431">
            <v>1.1825000000000001</v>
          </cell>
          <cell r="Q431">
            <v>2.3315605919148541</v>
          </cell>
          <cell r="S431">
            <v>2.3689117206756034</v>
          </cell>
          <cell r="U431">
            <v>2.8146704172599133</v>
          </cell>
        </row>
        <row r="432">
          <cell r="D432">
            <v>39658</v>
          </cell>
          <cell r="E432">
            <v>122.19</v>
          </cell>
          <cell r="H432">
            <v>39658</v>
          </cell>
          <cell r="I432">
            <v>122.19</v>
          </cell>
          <cell r="J432">
            <v>122.19</v>
          </cell>
          <cell r="L432">
            <v>1.18</v>
          </cell>
          <cell r="M432">
            <v>1.9807500000000002</v>
          </cell>
          <cell r="N432">
            <v>2.3372850000000001</v>
          </cell>
          <cell r="O432">
            <v>1.18</v>
          </cell>
          <cell r="Q432">
            <v>2.3354925777238353</v>
          </cell>
          <cell r="S432">
            <v>2.3843754090654836</v>
          </cell>
          <cell r="U432">
            <v>2.8236548011579918</v>
          </cell>
        </row>
        <row r="433">
          <cell r="D433">
            <v>39659</v>
          </cell>
          <cell r="E433">
            <v>126.77</v>
          </cell>
          <cell r="H433">
            <v>39659</v>
          </cell>
          <cell r="I433">
            <v>126.77</v>
          </cell>
          <cell r="J433">
            <v>126.77</v>
          </cell>
          <cell r="L433">
            <v>1.21</v>
          </cell>
          <cell r="M433">
            <v>1.9792500000000002</v>
          </cell>
          <cell r="N433">
            <v>2.3948925000000001</v>
          </cell>
          <cell r="O433">
            <v>1.21</v>
          </cell>
          <cell r="Q433">
            <v>2.3769255438334427</v>
          </cell>
          <cell r="S433">
            <v>2.4193598703073587</v>
          </cell>
          <cell r="U433">
            <v>2.845040606314531</v>
          </cell>
        </row>
        <row r="434">
          <cell r="D434">
            <v>39660</v>
          </cell>
          <cell r="E434">
            <v>124.08</v>
          </cell>
          <cell r="H434">
            <v>39660</v>
          </cell>
          <cell r="I434">
            <v>124.08</v>
          </cell>
          <cell r="J434">
            <v>124.08</v>
          </cell>
          <cell r="L434">
            <v>1.2325000000000002</v>
          </cell>
          <cell r="M434">
            <v>1.9809000000000001</v>
          </cell>
          <cell r="N434">
            <v>2.4414592500000003</v>
          </cell>
          <cell r="O434">
            <v>1.2324999999999999</v>
          </cell>
          <cell r="Q434">
            <v>2.3690080758099152</v>
          </cell>
          <cell r="S434">
            <v>2.440209026769681</v>
          </cell>
          <cell r="U434">
            <v>2.7393133858994911</v>
          </cell>
        </row>
        <row r="435">
          <cell r="D435">
            <v>39661</v>
          </cell>
          <cell r="E435">
            <v>125.1</v>
          </cell>
          <cell r="H435">
            <v>39661</v>
          </cell>
          <cell r="I435">
            <v>125.1</v>
          </cell>
          <cell r="J435">
            <v>125.1</v>
          </cell>
          <cell r="L435">
            <v>1.2250000000000001</v>
          </cell>
          <cell r="M435">
            <v>1.9739</v>
          </cell>
          <cell r="N435">
            <v>2.4180275</v>
          </cell>
          <cell r="O435">
            <v>1.2250000000000001</v>
          </cell>
          <cell r="Q435">
            <v>2.3645143777425077</v>
          </cell>
          <cell r="S435">
            <v>2.3923349454034031</v>
          </cell>
          <cell r="U435">
            <v>2.7072321628908771</v>
          </cell>
        </row>
        <row r="436">
          <cell r="D436">
            <v>39664</v>
          </cell>
          <cell r="E436">
            <v>121.41</v>
          </cell>
          <cell r="H436">
            <v>39664</v>
          </cell>
          <cell r="I436">
            <v>121.41</v>
          </cell>
          <cell r="J436">
            <v>121.41</v>
          </cell>
          <cell r="L436">
            <v>1.2375</v>
          </cell>
          <cell r="M436">
            <v>1.9657</v>
          </cell>
          <cell r="N436">
            <v>2.4325537500000003</v>
          </cell>
          <cell r="O436">
            <v>1.2375</v>
          </cell>
          <cell r="Q436">
            <v>2.3504715712818598</v>
          </cell>
          <cell r="S436">
            <v>2.3580975633087342</v>
          </cell>
          <cell r="U436">
            <v>2.7014089941358459</v>
          </cell>
        </row>
        <row r="437">
          <cell r="D437">
            <v>39665</v>
          </cell>
          <cell r="E437">
            <v>119.17</v>
          </cell>
          <cell r="H437">
            <v>39665</v>
          </cell>
          <cell r="I437">
            <v>119.17</v>
          </cell>
          <cell r="J437">
            <v>119.17</v>
          </cell>
          <cell r="L437">
            <v>1.3</v>
          </cell>
          <cell r="M437">
            <v>1.9549500000000002</v>
          </cell>
          <cell r="N437">
            <v>2.5414350000000003</v>
          </cell>
          <cell r="O437">
            <v>1.3</v>
          </cell>
          <cell r="Q437">
            <v>2.4275866399029038</v>
          </cell>
          <cell r="S437">
            <v>2.4589699253763477</v>
          </cell>
          <cell r="U437">
            <v>2.8383094615114466</v>
          </cell>
        </row>
        <row r="438">
          <cell r="D438">
            <v>39666</v>
          </cell>
          <cell r="E438">
            <v>118.58</v>
          </cell>
          <cell r="H438">
            <v>39666</v>
          </cell>
          <cell r="I438">
            <v>118.58</v>
          </cell>
          <cell r="J438">
            <v>118.58</v>
          </cell>
          <cell r="L438">
            <v>1.3225</v>
          </cell>
          <cell r="M438">
            <v>1.9507000000000001</v>
          </cell>
          <cell r="N438">
            <v>2.57980075</v>
          </cell>
          <cell r="O438">
            <v>1.3225</v>
          </cell>
          <cell r="Q438">
            <v>2.4425121370553633</v>
          </cell>
          <cell r="S438">
            <v>2.4727030261742802</v>
          </cell>
          <cell r="U438">
            <v>2.8479917698290369</v>
          </cell>
        </row>
        <row r="439">
          <cell r="D439">
            <v>39667</v>
          </cell>
          <cell r="E439">
            <v>120.02</v>
          </cell>
          <cell r="H439">
            <v>39667</v>
          </cell>
          <cell r="I439">
            <v>120.02</v>
          </cell>
          <cell r="J439">
            <v>120.02</v>
          </cell>
          <cell r="L439">
            <v>1.3149999999999999</v>
          </cell>
          <cell r="M439">
            <v>1.9442500000000003</v>
          </cell>
          <cell r="N439">
            <v>2.5566887500000002</v>
          </cell>
          <cell r="O439">
            <v>1.3149999999999999</v>
          </cell>
          <cell r="Q439">
            <v>2.4310639062645882</v>
          </cell>
          <cell r="S439">
            <v>2.4436029047343313</v>
          </cell>
          <cell r="U439">
            <v>2.8801253953187649</v>
          </cell>
        </row>
        <row r="440">
          <cell r="D440">
            <v>39668</v>
          </cell>
          <cell r="E440">
            <v>115.2</v>
          </cell>
          <cell r="H440">
            <v>39668</v>
          </cell>
          <cell r="I440">
            <v>115.2</v>
          </cell>
          <cell r="J440">
            <v>115.2</v>
          </cell>
          <cell r="L440">
            <v>1.3875</v>
          </cell>
          <cell r="M440">
            <v>1.9159500000000003</v>
          </cell>
          <cell r="N440">
            <v>2.6583806250000004</v>
          </cell>
          <cell r="O440">
            <v>1.3875</v>
          </cell>
          <cell r="Q440">
            <v>2.4613428718140229</v>
          </cell>
          <cell r="S440">
            <v>2.5074866996224552</v>
          </cell>
          <cell r="U440">
            <v>2.9880216000900366</v>
          </cell>
        </row>
        <row r="441">
          <cell r="D441">
            <v>39671</v>
          </cell>
          <cell r="E441">
            <v>115.2</v>
          </cell>
          <cell r="H441">
            <v>39671</v>
          </cell>
          <cell r="I441">
            <v>114.45</v>
          </cell>
          <cell r="J441">
            <v>114.45</v>
          </cell>
          <cell r="L441">
            <v>1.48</v>
          </cell>
          <cell r="M441">
            <v>1.9175</v>
          </cell>
          <cell r="N441">
            <v>2.8378999999999999</v>
          </cell>
          <cell r="O441">
            <v>1.48</v>
          </cell>
          <cell r="Q441">
            <v>2.5100780972831669</v>
          </cell>
          <cell r="S441">
            <v>2.5232065947308557</v>
          </cell>
          <cell r="U441">
            <v>3.0435702639840652</v>
          </cell>
        </row>
        <row r="442">
          <cell r="D442">
            <v>39672</v>
          </cell>
          <cell r="E442">
            <v>113.01</v>
          </cell>
          <cell r="H442">
            <v>39672</v>
          </cell>
          <cell r="I442">
            <v>113.01</v>
          </cell>
          <cell r="J442">
            <v>113.01</v>
          </cell>
          <cell r="L442">
            <v>1.4675</v>
          </cell>
          <cell r="M442">
            <v>1.9012</v>
          </cell>
          <cell r="N442">
            <v>2.7900110000000002</v>
          </cell>
          <cell r="O442">
            <v>1.4675</v>
          </cell>
          <cell r="Q442">
            <v>2.4852290168985158</v>
          </cell>
          <cell r="S442">
            <v>2.4981117812990981</v>
          </cell>
          <cell r="U442">
            <v>3.0520268711067273</v>
          </cell>
        </row>
        <row r="443">
          <cell r="D443">
            <v>39673</v>
          </cell>
          <cell r="E443">
            <v>116</v>
          </cell>
          <cell r="H443">
            <v>39673</v>
          </cell>
          <cell r="I443">
            <v>115.99</v>
          </cell>
          <cell r="J443">
            <v>115.99</v>
          </cell>
          <cell r="L443">
            <v>1.4000000000000001</v>
          </cell>
          <cell r="M443">
            <v>1.8649</v>
          </cell>
          <cell r="N443">
            <v>2.6108600000000002</v>
          </cell>
          <cell r="O443">
            <v>1.4</v>
          </cell>
          <cell r="Q443">
            <v>2.4366275324432825</v>
          </cell>
          <cell r="S443">
            <v>2.4636120924649965</v>
          </cell>
          <cell r="U443">
            <v>3.0139075474906507</v>
          </cell>
        </row>
        <row r="444">
          <cell r="D444">
            <v>39674</v>
          </cell>
          <cell r="E444">
            <v>115.01</v>
          </cell>
          <cell r="H444">
            <v>39674</v>
          </cell>
          <cell r="I444">
            <v>115.03</v>
          </cell>
          <cell r="J444">
            <v>115.03</v>
          </cell>
          <cell r="L444">
            <v>1.34</v>
          </cell>
          <cell r="M444">
            <v>1.8753000000000002</v>
          </cell>
          <cell r="N444">
            <v>2.5129020000000004</v>
          </cell>
          <cell r="O444">
            <v>1.34</v>
          </cell>
          <cell r="Q444">
            <v>2.4432878349360467</v>
          </cell>
          <cell r="S444">
            <v>2.4521936148118808</v>
          </cell>
          <cell r="U444">
            <v>2.9693315954040669</v>
          </cell>
        </row>
        <row r="445">
          <cell r="D445">
            <v>39675</v>
          </cell>
          <cell r="E445">
            <v>113.77</v>
          </cell>
          <cell r="H445">
            <v>39675</v>
          </cell>
          <cell r="I445">
            <v>113.94</v>
          </cell>
          <cell r="J445">
            <v>113.94</v>
          </cell>
          <cell r="L445">
            <v>1.3725000000000001</v>
          </cell>
          <cell r="M445">
            <v>1.8632500000000001</v>
          </cell>
          <cell r="N445">
            <v>2.5573106250000004</v>
          </cell>
          <cell r="O445">
            <v>1.3725000000000001</v>
          </cell>
          <cell r="Q445">
            <v>2.4594704976192698</v>
          </cell>
          <cell r="S445">
            <v>2.5060060768643169</v>
          </cell>
          <cell r="U445">
            <v>3.0323681604875579</v>
          </cell>
        </row>
        <row r="446">
          <cell r="D446">
            <v>39678</v>
          </cell>
          <cell r="E446">
            <v>112.87</v>
          </cell>
          <cell r="H446">
            <v>39678</v>
          </cell>
          <cell r="I446">
            <v>112.89</v>
          </cell>
          <cell r="J446">
            <v>112.89</v>
          </cell>
          <cell r="L446">
            <v>1.3525</v>
          </cell>
          <cell r="M446">
            <v>1.8657500000000002</v>
          </cell>
          <cell r="N446">
            <v>2.5234268750000002</v>
          </cell>
          <cell r="O446">
            <v>1.3525</v>
          </cell>
          <cell r="Q446">
            <v>2.4405060218466996</v>
          </cell>
          <cell r="S446">
            <v>2.4731626463653824</v>
          </cell>
          <cell r="U446">
            <v>2.9856838703820232</v>
          </cell>
        </row>
        <row r="447">
          <cell r="D447">
            <v>39679</v>
          </cell>
          <cell r="E447">
            <v>114.53</v>
          </cell>
          <cell r="H447">
            <v>39679</v>
          </cell>
          <cell r="I447">
            <v>114.54</v>
          </cell>
          <cell r="J447">
            <v>114.54</v>
          </cell>
          <cell r="L447">
            <v>1.3825000000000001</v>
          </cell>
          <cell r="M447">
            <v>1.8621000000000001</v>
          </cell>
          <cell r="N447">
            <v>2.5743532500000001</v>
          </cell>
          <cell r="O447">
            <v>1.3825000000000001</v>
          </cell>
          <cell r="Q447">
            <v>2.3719236299131734</v>
          </cell>
          <cell r="S447">
            <v>2.4422195575302381</v>
          </cell>
          <cell r="U447">
            <v>2.8975488022043971</v>
          </cell>
        </row>
        <row r="448">
          <cell r="D448">
            <v>39680</v>
          </cell>
          <cell r="E448">
            <v>115.56</v>
          </cell>
          <cell r="H448">
            <v>39680</v>
          </cell>
          <cell r="I448">
            <v>115.56</v>
          </cell>
          <cell r="J448">
            <v>115.56</v>
          </cell>
          <cell r="L448">
            <v>1.33</v>
          </cell>
          <cell r="M448">
            <v>1.8586</v>
          </cell>
          <cell r="N448">
            <v>2.4719380000000002</v>
          </cell>
          <cell r="O448">
            <v>1.33</v>
          </cell>
          <cell r="Q448">
            <v>2.3798678461394829</v>
          </cell>
          <cell r="S448">
            <v>2.4398571250285426</v>
          </cell>
          <cell r="U448">
            <v>2.8931874783627114</v>
          </cell>
        </row>
        <row r="449">
          <cell r="D449">
            <v>39681</v>
          </cell>
          <cell r="E449">
            <v>121.18</v>
          </cell>
          <cell r="H449">
            <v>39681</v>
          </cell>
          <cell r="I449">
            <v>121.18</v>
          </cell>
          <cell r="J449">
            <v>121.18</v>
          </cell>
          <cell r="L449">
            <v>1.3175000000000001</v>
          </cell>
          <cell r="M449">
            <v>1.8759000000000001</v>
          </cell>
          <cell r="N449">
            <v>2.4714982500000002</v>
          </cell>
          <cell r="O449">
            <v>1.3174999999999999</v>
          </cell>
          <cell r="Q449">
            <v>2.3910485949024367</v>
          </cell>
          <cell r="S449">
            <v>2.4375951082861955</v>
          </cell>
          <cell r="U449">
            <v>2.8559134581380823</v>
          </cell>
        </row>
        <row r="450">
          <cell r="D450">
            <v>39682</v>
          </cell>
          <cell r="E450">
            <v>114.59</v>
          </cell>
          <cell r="H450">
            <v>39682</v>
          </cell>
          <cell r="I450">
            <v>114.59</v>
          </cell>
          <cell r="J450">
            <v>114.59</v>
          </cell>
          <cell r="L450">
            <v>1.3800000000000001</v>
          </cell>
          <cell r="M450">
            <v>1.8583500000000002</v>
          </cell>
          <cell r="N450">
            <v>2.5645230000000003</v>
          </cell>
          <cell r="O450">
            <v>1.38</v>
          </cell>
          <cell r="Q450">
            <v>2.4562072168798434</v>
          </cell>
          <cell r="S450">
            <v>2.5305229638042155</v>
          </cell>
          <cell r="U450">
            <v>2.9528435819976084</v>
          </cell>
        </row>
        <row r="451">
          <cell r="D451">
            <v>39685</v>
          </cell>
          <cell r="E451">
            <v>115.11</v>
          </cell>
          <cell r="H451">
            <v>39685</v>
          </cell>
          <cell r="I451">
            <v>115.11</v>
          </cell>
          <cell r="J451">
            <v>115.11</v>
          </cell>
          <cell r="L451">
            <v>1.3800000000000001</v>
          </cell>
          <cell r="M451">
            <v>1.8529</v>
          </cell>
          <cell r="N451">
            <v>2.5570020000000002</v>
          </cell>
          <cell r="O451">
            <v>1.38</v>
          </cell>
          <cell r="Q451">
            <v>2.4562072168798434</v>
          </cell>
          <cell r="S451">
            <v>2.5071385759180496</v>
          </cell>
          <cell r="U451">
            <v>2.9330232472956572</v>
          </cell>
        </row>
        <row r="452">
          <cell r="D452">
            <v>39686</v>
          </cell>
          <cell r="E452">
            <v>116.27</v>
          </cell>
          <cell r="H452">
            <v>39686</v>
          </cell>
          <cell r="I452">
            <v>116.27</v>
          </cell>
          <cell r="J452">
            <v>116.27</v>
          </cell>
          <cell r="L452">
            <v>1.3575000000000002</v>
          </cell>
          <cell r="M452">
            <v>1.8387</v>
          </cell>
          <cell r="N452">
            <v>2.4960352500000003</v>
          </cell>
          <cell r="O452">
            <v>1.3574999999999999</v>
          </cell>
          <cell r="Q452">
            <v>2.4430738493137896</v>
          </cell>
          <cell r="S452">
            <v>2.5147831196190737</v>
          </cell>
          <cell r="U452">
            <v>2.9221357095674558</v>
          </cell>
        </row>
        <row r="453">
          <cell r="D453">
            <v>39687</v>
          </cell>
          <cell r="E453">
            <v>118.15</v>
          </cell>
          <cell r="H453">
            <v>39687</v>
          </cell>
          <cell r="I453">
            <v>118.15</v>
          </cell>
          <cell r="J453">
            <v>118.15</v>
          </cell>
          <cell r="L453">
            <v>1.3475000000000001</v>
          </cell>
          <cell r="M453">
            <v>1.8383</v>
          </cell>
          <cell r="N453">
            <v>2.4771092500000003</v>
          </cell>
          <cell r="O453">
            <v>1.3474999999999999</v>
          </cell>
          <cell r="Q453">
            <v>2.4440100364111661</v>
          </cell>
          <cell r="S453">
            <v>2.5624867045797908</v>
          </cell>
          <cell r="U453">
            <v>2.9547766458726232</v>
          </cell>
        </row>
        <row r="454">
          <cell r="D454">
            <v>39688</v>
          </cell>
          <cell r="E454">
            <v>115.59</v>
          </cell>
          <cell r="H454">
            <v>39688</v>
          </cell>
          <cell r="I454">
            <v>115.59</v>
          </cell>
          <cell r="J454">
            <v>115.59</v>
          </cell>
          <cell r="L454">
            <v>1.32</v>
          </cell>
          <cell r="M454">
            <v>1.82925</v>
          </cell>
          <cell r="N454">
            <v>2.4146100000000001</v>
          </cell>
          <cell r="O454">
            <v>1.32</v>
          </cell>
          <cell r="Q454">
            <v>2.4800131173559894</v>
          </cell>
          <cell r="S454">
            <v>2.6401571887818926</v>
          </cell>
          <cell r="U454">
            <v>3.0141843293806119</v>
          </cell>
        </row>
        <row r="455">
          <cell r="D455">
            <v>39689</v>
          </cell>
          <cell r="E455">
            <v>115.46</v>
          </cell>
          <cell r="H455">
            <v>39689</v>
          </cell>
          <cell r="I455">
            <v>115.46</v>
          </cell>
          <cell r="J455">
            <v>115.46</v>
          </cell>
          <cell r="L455">
            <v>1.3325</v>
          </cell>
          <cell r="M455">
            <v>1.8239500000000002</v>
          </cell>
          <cell r="N455">
            <v>2.4304133750000001</v>
          </cell>
          <cell r="O455">
            <v>1.3325</v>
          </cell>
          <cell r="Q455">
            <v>2.509462888619177</v>
          </cell>
          <cell r="S455">
            <v>2.6385488987554822</v>
          </cell>
          <cell r="U455">
            <v>3.0332003773787095</v>
          </cell>
        </row>
        <row r="456">
          <cell r="D456">
            <v>39693</v>
          </cell>
          <cell r="E456">
            <v>109.71</v>
          </cell>
          <cell r="H456">
            <v>39693</v>
          </cell>
          <cell r="I456">
            <v>109.71</v>
          </cell>
          <cell r="J456">
            <v>109.71</v>
          </cell>
          <cell r="L456">
            <v>1.4625000000000001</v>
          </cell>
          <cell r="M456">
            <v>1.7862500000000001</v>
          </cell>
          <cell r="N456">
            <v>2.6123906250000002</v>
          </cell>
          <cell r="O456">
            <v>1.4624999999999999</v>
          </cell>
          <cell r="Q456">
            <v>2.5527414807207545</v>
          </cell>
          <cell r="S456">
            <v>2.7009060462227814</v>
          </cell>
          <cell r="U456">
            <v>3.1449891304782938</v>
          </cell>
        </row>
        <row r="457">
          <cell r="D457">
            <v>39694</v>
          </cell>
          <cell r="E457">
            <v>109.35</v>
          </cell>
          <cell r="H457">
            <v>39694</v>
          </cell>
          <cell r="I457">
            <v>109.35</v>
          </cell>
          <cell r="J457">
            <v>109.35</v>
          </cell>
          <cell r="L457">
            <v>1.4425000000000001</v>
          </cell>
          <cell r="M457">
            <v>1.7766000000000002</v>
          </cell>
          <cell r="N457">
            <v>2.5627455000000006</v>
          </cell>
          <cell r="O457">
            <v>1.4424999999999999</v>
          </cell>
          <cell r="Q457">
            <v>2.5062263560825322</v>
          </cell>
          <cell r="S457">
            <v>2.6400180827741742</v>
          </cell>
          <cell r="U457">
            <v>3.1116550793687296</v>
          </cell>
        </row>
        <row r="458">
          <cell r="D458">
            <v>39695</v>
          </cell>
          <cell r="E458">
            <v>107.89</v>
          </cell>
          <cell r="H458">
            <v>39695</v>
          </cell>
          <cell r="I458">
            <v>107.89</v>
          </cell>
          <cell r="J458">
            <v>107.89</v>
          </cell>
          <cell r="L458">
            <v>1.3975</v>
          </cell>
          <cell r="M458">
            <v>1.7724500000000001</v>
          </cell>
          <cell r="N458">
            <v>2.476998875</v>
          </cell>
          <cell r="O458">
            <v>1.3975</v>
          </cell>
          <cell r="Q458">
            <v>2.4474605545700681</v>
          </cell>
          <cell r="S458">
            <v>2.518164299154753</v>
          </cell>
          <cell r="U458">
            <v>2.9983568204453235</v>
          </cell>
        </row>
        <row r="459">
          <cell r="D459">
            <v>39696</v>
          </cell>
          <cell r="E459">
            <v>106.23</v>
          </cell>
          <cell r="H459">
            <v>39696</v>
          </cell>
          <cell r="I459">
            <v>106.23</v>
          </cell>
          <cell r="J459">
            <v>106.23</v>
          </cell>
          <cell r="L459">
            <v>1.385</v>
          </cell>
          <cell r="M459">
            <v>1.7667000000000002</v>
          </cell>
          <cell r="N459">
            <v>2.4468795000000001</v>
          </cell>
          <cell r="O459">
            <v>1.385</v>
          </cell>
          <cell r="Q459">
            <v>2.3984578470731024</v>
          </cell>
          <cell r="S459">
            <v>2.4657394720852488</v>
          </cell>
          <cell r="U459">
            <v>2.921932885071683</v>
          </cell>
        </row>
        <row r="460">
          <cell r="D460">
            <v>39699</v>
          </cell>
          <cell r="E460">
            <v>106.34</v>
          </cell>
          <cell r="H460">
            <v>39699</v>
          </cell>
          <cell r="I460">
            <v>106.34</v>
          </cell>
          <cell r="J460">
            <v>106.34</v>
          </cell>
          <cell r="L460">
            <v>1.44</v>
          </cell>
          <cell r="M460">
            <v>1.7643</v>
          </cell>
          <cell r="N460">
            <v>2.5405919999999997</v>
          </cell>
          <cell r="O460">
            <v>1.44</v>
          </cell>
          <cell r="Q460">
            <v>2.4795583979086917</v>
          </cell>
          <cell r="S460">
            <v>2.5406915845749296</v>
          </cell>
          <cell r="U460">
            <v>3.0229859102704002</v>
          </cell>
        </row>
        <row r="461">
          <cell r="D461">
            <v>39700</v>
          </cell>
          <cell r="E461">
            <v>103.26</v>
          </cell>
          <cell r="H461">
            <v>39700</v>
          </cell>
          <cell r="I461">
            <v>103.26</v>
          </cell>
          <cell r="J461">
            <v>103.26</v>
          </cell>
          <cell r="L461">
            <v>1.395</v>
          </cell>
          <cell r="M461">
            <v>1.7643</v>
          </cell>
          <cell r="N461">
            <v>2.4611985000000001</v>
          </cell>
          <cell r="O461">
            <v>1.395</v>
          </cell>
          <cell r="Q461">
            <v>2.4443042666417707</v>
          </cell>
          <cell r="S461">
            <v>2.4956692360291171</v>
          </cell>
          <cell r="U461">
            <v>3.0229695489310417</v>
          </cell>
        </row>
        <row r="462">
          <cell r="D462">
            <v>39701</v>
          </cell>
          <cell r="E462">
            <v>102.58</v>
          </cell>
          <cell r="H462">
            <v>39701</v>
          </cell>
          <cell r="I462">
            <v>102.58</v>
          </cell>
          <cell r="J462">
            <v>102.58</v>
          </cell>
          <cell r="L462">
            <v>1.3875</v>
          </cell>
          <cell r="M462">
            <v>1.7554000000000001</v>
          </cell>
          <cell r="N462">
            <v>2.4356175000000002</v>
          </cell>
          <cell r="O462">
            <v>1.3875</v>
          </cell>
          <cell r="Q462">
            <v>2.3985648398842314</v>
          </cell>
          <cell r="S462">
            <v>2.4658360488675908</v>
          </cell>
          <cell r="U462">
            <v>3.0343520177908605</v>
          </cell>
        </row>
        <row r="463">
          <cell r="D463">
            <v>39702</v>
          </cell>
          <cell r="E463">
            <v>100.87</v>
          </cell>
          <cell r="H463">
            <v>39702</v>
          </cell>
          <cell r="I463">
            <v>100.87</v>
          </cell>
          <cell r="J463">
            <v>100.87</v>
          </cell>
          <cell r="L463">
            <v>1.36</v>
          </cell>
          <cell r="M463">
            <v>1.7506000000000002</v>
          </cell>
          <cell r="N463">
            <v>2.3808160000000003</v>
          </cell>
          <cell r="O463">
            <v>1.36</v>
          </cell>
          <cell r="Q463">
            <v>2.373876248716273</v>
          </cell>
          <cell r="S463">
            <v>2.4232014393735035</v>
          </cell>
          <cell r="U463">
            <v>3.0199342521453154</v>
          </cell>
        </row>
        <row r="464">
          <cell r="D464">
            <v>39703</v>
          </cell>
          <cell r="E464">
            <v>101.18</v>
          </cell>
          <cell r="H464">
            <v>39703</v>
          </cell>
          <cell r="I464">
            <v>101.18</v>
          </cell>
          <cell r="J464">
            <v>101.18</v>
          </cell>
          <cell r="L464">
            <v>1.3525</v>
          </cell>
          <cell r="M464">
            <v>1.7857500000000002</v>
          </cell>
          <cell r="N464">
            <v>2.4152268750000001</v>
          </cell>
          <cell r="O464">
            <v>1.3525</v>
          </cell>
          <cell r="Q464">
            <v>2.4011059191485393</v>
          </cell>
          <cell r="S464">
            <v>2.4706553771053748</v>
          </cell>
          <cell r="U464">
            <v>3.0205377420518857</v>
          </cell>
        </row>
        <row r="465">
          <cell r="D465">
            <v>39706</v>
          </cell>
          <cell r="E465">
            <v>95.71</v>
          </cell>
          <cell r="H465">
            <v>39706</v>
          </cell>
          <cell r="I465">
            <v>95.69</v>
          </cell>
          <cell r="J465">
            <v>95.69</v>
          </cell>
          <cell r="L465">
            <v>1.3049999999999999</v>
          </cell>
          <cell r="M465">
            <v>1.7934500000000002</v>
          </cell>
          <cell r="N465">
            <v>2.3404522500000002</v>
          </cell>
          <cell r="O465">
            <v>1.3049999999999999</v>
          </cell>
          <cell r="Q465">
            <v>2.3293404910839324</v>
          </cell>
          <cell r="S465">
            <v>2.4005988318039457</v>
          </cell>
          <cell r="U465">
            <v>2.9510838425219243</v>
          </cell>
        </row>
        <row r="466">
          <cell r="D466">
            <v>39707</v>
          </cell>
          <cell r="E466">
            <v>91.15</v>
          </cell>
          <cell r="H466">
            <v>39707</v>
          </cell>
          <cell r="I466">
            <v>91.02</v>
          </cell>
          <cell r="J466">
            <v>91.02</v>
          </cell>
          <cell r="L466">
            <v>1.2175</v>
          </cell>
          <cell r="M466">
            <v>1.7743</v>
          </cell>
          <cell r="N466">
            <v>2.16021025</v>
          </cell>
          <cell r="O466">
            <v>1.2175</v>
          </cell>
          <cell r="Q466">
            <v>2.2492831201568482</v>
          </cell>
          <cell r="S466">
            <v>2.3622196911077848</v>
          </cell>
          <cell r="U466">
            <v>2.8886507113892712</v>
          </cell>
        </row>
        <row r="467">
          <cell r="D467">
            <v>39708</v>
          </cell>
          <cell r="E467">
            <v>97.16</v>
          </cell>
          <cell r="H467">
            <v>39708</v>
          </cell>
          <cell r="I467">
            <v>96.96</v>
          </cell>
          <cell r="J467">
            <v>96.96</v>
          </cell>
          <cell r="L467">
            <v>1.21</v>
          </cell>
          <cell r="M467">
            <v>1.7957000000000001</v>
          </cell>
          <cell r="N467">
            <v>2.1727970000000001</v>
          </cell>
          <cell r="O467">
            <v>1.21</v>
          </cell>
          <cell r="Q467">
            <v>2.2227221547941372</v>
          </cell>
          <cell r="S467">
            <v>2.3051646148182847</v>
          </cell>
          <cell r="U467">
            <v>2.8245353068354371</v>
          </cell>
        </row>
        <row r="468">
          <cell r="D468">
            <v>39709</v>
          </cell>
          <cell r="E468">
            <v>97.88</v>
          </cell>
          <cell r="H468">
            <v>39709</v>
          </cell>
          <cell r="I468">
            <v>97.54</v>
          </cell>
          <cell r="J468">
            <v>97.54</v>
          </cell>
          <cell r="L468">
            <v>1.1000000000000001</v>
          </cell>
          <cell r="M468">
            <v>1.8192000000000002</v>
          </cell>
          <cell r="N468">
            <v>2.0011200000000002</v>
          </cell>
          <cell r="O468">
            <v>1.1000000000000001</v>
          </cell>
          <cell r="Q468">
            <v>2.2299441695453277</v>
          </cell>
          <cell r="S468">
            <v>2.2633157024294905</v>
          </cell>
          <cell r="U468">
            <v>2.825768129553504</v>
          </cell>
        </row>
        <row r="469">
          <cell r="D469">
            <v>39710</v>
          </cell>
          <cell r="E469">
            <v>104.55</v>
          </cell>
          <cell r="H469">
            <v>39710</v>
          </cell>
          <cell r="I469">
            <v>102.75</v>
          </cell>
          <cell r="J469">
            <v>102.75</v>
          </cell>
          <cell r="L469">
            <v>1.1975</v>
          </cell>
          <cell r="M469">
            <v>1.8326500000000001</v>
          </cell>
          <cell r="N469">
            <v>2.194598375</v>
          </cell>
          <cell r="O469">
            <v>1.1975</v>
          </cell>
          <cell r="Q469">
            <v>2.4027108113154703</v>
          </cell>
          <cell r="S469">
            <v>2.3780338843106397</v>
          </cell>
          <cell r="U469">
            <v>2.9588356948882986</v>
          </cell>
        </row>
        <row r="470">
          <cell r="D470">
            <v>39713</v>
          </cell>
          <cell r="E470">
            <v>109.37</v>
          </cell>
          <cell r="H470">
            <v>39713</v>
          </cell>
          <cell r="I470">
            <v>109.37</v>
          </cell>
          <cell r="J470">
            <v>109.37</v>
          </cell>
          <cell r="L470">
            <v>1.2575000000000001</v>
          </cell>
          <cell r="M470">
            <v>1.8441000000000001</v>
          </cell>
          <cell r="N470">
            <v>2.3189557500000002</v>
          </cell>
          <cell r="O470">
            <v>1.2575000000000001</v>
          </cell>
          <cell r="Q470">
            <v>2.3412728643450662</v>
          </cell>
          <cell r="S470">
            <v>2.3664153548969038</v>
          </cell>
          <cell r="U470">
            <v>2.8584897619281238</v>
          </cell>
        </row>
        <row r="471">
          <cell r="D471">
            <v>39714</v>
          </cell>
          <cell r="E471">
            <v>106.61</v>
          </cell>
          <cell r="H471">
            <v>39714</v>
          </cell>
          <cell r="I471">
            <v>106.61</v>
          </cell>
          <cell r="J471">
            <v>106.61</v>
          </cell>
          <cell r="L471">
            <v>1.2375</v>
          </cell>
          <cell r="M471">
            <v>1.855</v>
          </cell>
          <cell r="N471">
            <v>2.2955625</v>
          </cell>
          <cell r="O471">
            <v>1.2375</v>
          </cell>
          <cell r="Q471">
            <v>2.2614482027821867</v>
          </cell>
          <cell r="S471">
            <v>2.2990402659749964</v>
          </cell>
          <cell r="U471">
            <v>2.7907516956376175</v>
          </cell>
        </row>
        <row r="472">
          <cell r="D472">
            <v>39715</v>
          </cell>
          <cell r="E472">
            <v>105.73</v>
          </cell>
          <cell r="H472">
            <v>39715</v>
          </cell>
          <cell r="I472">
            <v>105.73</v>
          </cell>
          <cell r="J472">
            <v>105.73</v>
          </cell>
          <cell r="L472">
            <v>1.2275</v>
          </cell>
          <cell r="M472">
            <v>1.8523000000000001</v>
          </cell>
          <cell r="N472">
            <v>2.2736982500000003</v>
          </cell>
          <cell r="O472">
            <v>1.2275</v>
          </cell>
          <cell r="Q472">
            <v>2.2488177014284378</v>
          </cell>
          <cell r="S472">
            <v>2.286919941508208</v>
          </cell>
          <cell r="U472">
            <v>2.8015580427078759</v>
          </cell>
        </row>
        <row r="473">
          <cell r="D473">
            <v>39716</v>
          </cell>
          <cell r="E473">
            <v>108.02</v>
          </cell>
          <cell r="H473">
            <v>39716</v>
          </cell>
          <cell r="I473">
            <v>108.02</v>
          </cell>
          <cell r="J473">
            <v>108.02</v>
          </cell>
          <cell r="L473">
            <v>1.24</v>
          </cell>
          <cell r="M473">
            <v>1.8471000000000002</v>
          </cell>
          <cell r="N473">
            <v>2.2904040000000001</v>
          </cell>
          <cell r="O473">
            <v>1.24</v>
          </cell>
          <cell r="Q473">
            <v>2.2561172859676968</v>
          </cell>
          <cell r="S473">
            <v>2.2817236248408368</v>
          </cell>
          <cell r="U473">
            <v>2.8612125813591369</v>
          </cell>
        </row>
        <row r="474">
          <cell r="D474">
            <v>39717</v>
          </cell>
          <cell r="E474">
            <v>106.89</v>
          </cell>
          <cell r="H474">
            <v>39717</v>
          </cell>
          <cell r="I474">
            <v>106.89</v>
          </cell>
          <cell r="J474">
            <v>106.89</v>
          </cell>
          <cell r="L474">
            <v>1.1925000000000001</v>
          </cell>
          <cell r="M474">
            <v>1.8431500000000001</v>
          </cell>
          <cell r="N474">
            <v>2.1979563750000004</v>
          </cell>
          <cell r="O474">
            <v>1.1924999999999999</v>
          </cell>
          <cell r="Q474">
            <v>2.2132639902903559</v>
          </cell>
          <cell r="S474">
            <v>2.2374252551094349</v>
          </cell>
          <cell r="U474">
            <v>2.7700175174882333</v>
          </cell>
        </row>
        <row r="475">
          <cell r="D475">
            <v>39720</v>
          </cell>
          <cell r="E475">
            <v>96.37</v>
          </cell>
          <cell r="H475">
            <v>39720</v>
          </cell>
          <cell r="I475">
            <v>96.37</v>
          </cell>
          <cell r="J475">
            <v>96.37</v>
          </cell>
          <cell r="L475">
            <v>1.115</v>
          </cell>
          <cell r="M475">
            <v>1.8094000000000001</v>
          </cell>
          <cell r="N475">
            <v>2.0174810000000001</v>
          </cell>
          <cell r="O475">
            <v>1.115</v>
          </cell>
          <cell r="Q475">
            <v>2.0844687190738491</v>
          </cell>
          <cell r="S475">
            <v>2.1174792884045748</v>
          </cell>
          <cell r="U475">
            <v>2.6337380503140895</v>
          </cell>
        </row>
        <row r="476">
          <cell r="D476">
            <v>39721</v>
          </cell>
          <cell r="E476">
            <v>100.64</v>
          </cell>
          <cell r="H476">
            <v>39721</v>
          </cell>
          <cell r="I476">
            <v>100.64</v>
          </cell>
          <cell r="J476">
            <v>100.64</v>
          </cell>
          <cell r="L476">
            <v>1.1375</v>
          </cell>
          <cell r="M476">
            <v>1.7824500000000001</v>
          </cell>
          <cell r="N476">
            <v>2.027536875</v>
          </cell>
          <cell r="O476">
            <v>1.1375</v>
          </cell>
          <cell r="Q476">
            <v>2.1099544066847162</v>
          </cell>
          <cell r="S476">
            <v>2.0952751062658668</v>
          </cell>
          <cell r="U476">
            <v>2.6638215080685352</v>
          </cell>
        </row>
        <row r="477">
          <cell r="D477">
            <v>39722</v>
          </cell>
          <cell r="E477">
            <v>98.53</v>
          </cell>
          <cell r="H477">
            <v>39722</v>
          </cell>
          <cell r="I477">
            <v>98.53</v>
          </cell>
          <cell r="J477">
            <v>98.53</v>
          </cell>
          <cell r="L477">
            <v>1.095</v>
          </cell>
          <cell r="M477">
            <v>1.7705000000000002</v>
          </cell>
          <cell r="N477">
            <v>1.9386975000000002</v>
          </cell>
          <cell r="O477">
            <v>1.095</v>
          </cell>
          <cell r="Q477">
            <v>2.1169570861730933</v>
          </cell>
          <cell r="S477">
            <v>2.09707550875605</v>
          </cell>
          <cell r="U477">
            <v>2.6959762400903227</v>
          </cell>
        </row>
        <row r="478">
          <cell r="D478">
            <v>39723</v>
          </cell>
          <cell r="E478">
            <v>93.97</v>
          </cell>
          <cell r="H478">
            <v>39723</v>
          </cell>
          <cell r="I478">
            <v>93.97</v>
          </cell>
          <cell r="J478">
            <v>93.97</v>
          </cell>
          <cell r="L478">
            <v>1.145</v>
          </cell>
          <cell r="M478">
            <v>1.7581500000000001</v>
          </cell>
          <cell r="N478">
            <v>2.01308175</v>
          </cell>
          <cell r="O478">
            <v>1.145</v>
          </cell>
          <cell r="Q478">
            <v>2.1306227429745119</v>
          </cell>
          <cell r="S478">
            <v>2.0651867126171886</v>
          </cell>
          <cell r="U478">
            <v>2.6631217973487149</v>
          </cell>
        </row>
        <row r="479">
          <cell r="D479">
            <v>39724</v>
          </cell>
          <cell r="E479">
            <v>93.88</v>
          </cell>
          <cell r="H479">
            <v>39724</v>
          </cell>
          <cell r="I479">
            <v>93.88</v>
          </cell>
          <cell r="J479">
            <v>93.88</v>
          </cell>
          <cell r="L479">
            <v>1.0475000000000001</v>
          </cell>
          <cell r="M479">
            <v>1.7749000000000001</v>
          </cell>
          <cell r="N479">
            <v>1.8592077500000004</v>
          </cell>
          <cell r="O479">
            <v>1.0475000000000001</v>
          </cell>
          <cell r="Q479">
            <v>2.1386632527308373</v>
          </cell>
          <cell r="S479">
            <v>2.0487500859754735</v>
          </cell>
          <cell r="U479">
            <v>2.6346004942588697</v>
          </cell>
        </row>
        <row r="480">
          <cell r="D480">
            <v>39727</v>
          </cell>
          <cell r="E480">
            <v>87.81</v>
          </cell>
          <cell r="H480">
            <v>39727</v>
          </cell>
          <cell r="I480">
            <v>87.81</v>
          </cell>
          <cell r="J480">
            <v>87.81</v>
          </cell>
          <cell r="L480">
            <v>0.92500000000000004</v>
          </cell>
          <cell r="M480">
            <v>1.7342500000000001</v>
          </cell>
          <cell r="N480">
            <v>1.6041812500000001</v>
          </cell>
          <cell r="O480">
            <v>0.92500000000000004</v>
          </cell>
          <cell r="Q480">
            <v>1.9993719867426012</v>
          </cell>
          <cell r="S480">
            <v>1.8752904064696718</v>
          </cell>
          <cell r="U480">
            <v>2.4863671070854387</v>
          </cell>
        </row>
        <row r="481">
          <cell r="D481">
            <v>39728</v>
          </cell>
          <cell r="E481">
            <v>90.06</v>
          </cell>
          <cell r="H481">
            <v>39728</v>
          </cell>
          <cell r="I481">
            <v>90.06</v>
          </cell>
          <cell r="J481">
            <v>90.06</v>
          </cell>
          <cell r="L481">
            <v>0.9375</v>
          </cell>
          <cell r="M481">
            <v>1.7600500000000001</v>
          </cell>
          <cell r="N481">
            <v>1.6500468750000001</v>
          </cell>
          <cell r="O481">
            <v>0.9375</v>
          </cell>
          <cell r="Q481">
            <v>1.9877017458687332</v>
          </cell>
          <cell r="S481">
            <v>1.8416200723137428</v>
          </cell>
          <cell r="U481">
            <v>2.4443487228142513</v>
          </cell>
        </row>
        <row r="482">
          <cell r="D482">
            <v>39729</v>
          </cell>
          <cell r="E482">
            <v>88.95</v>
          </cell>
          <cell r="H482">
            <v>39729</v>
          </cell>
          <cell r="I482">
            <v>88.95</v>
          </cell>
          <cell r="J482">
            <v>88.95</v>
          </cell>
          <cell r="L482">
            <v>0.92</v>
          </cell>
          <cell r="M482">
            <v>1.7331000000000001</v>
          </cell>
          <cell r="N482">
            <v>1.5944520000000002</v>
          </cell>
          <cell r="O482">
            <v>0.92</v>
          </cell>
          <cell r="Q482">
            <v>1.9261033096816356</v>
          </cell>
          <cell r="S482">
            <v>1.8291131533631386</v>
          </cell>
          <cell r="U482">
            <v>2.3325267368953417</v>
          </cell>
        </row>
        <row r="483">
          <cell r="D483">
            <v>39730</v>
          </cell>
          <cell r="E483">
            <v>86.59</v>
          </cell>
          <cell r="H483">
            <v>39730</v>
          </cell>
          <cell r="I483">
            <v>86.59</v>
          </cell>
          <cell r="J483">
            <v>86.59</v>
          </cell>
          <cell r="L483">
            <v>0.94500000000000006</v>
          </cell>
          <cell r="M483">
            <v>1.7239</v>
          </cell>
          <cell r="N483">
            <v>1.6290855000000002</v>
          </cell>
          <cell r="O483">
            <v>0.94499999999999995</v>
          </cell>
          <cell r="Q483">
            <v>1.9203684950051352</v>
          </cell>
          <cell r="S483">
            <v>1.8456257636577817</v>
          </cell>
          <cell r="U483">
            <v>2.3990735823252636</v>
          </cell>
        </row>
        <row r="484">
          <cell r="D484">
            <v>39731</v>
          </cell>
          <cell r="E484">
            <v>77.7</v>
          </cell>
          <cell r="H484">
            <v>39731</v>
          </cell>
          <cell r="I484">
            <v>77.7</v>
          </cell>
          <cell r="J484">
            <v>77.7</v>
          </cell>
          <cell r="L484">
            <v>0.86250000000000004</v>
          </cell>
          <cell r="M484">
            <v>1.7021000000000002</v>
          </cell>
          <cell r="N484">
            <v>1.4680612500000003</v>
          </cell>
          <cell r="O484">
            <v>0.86250000000000004</v>
          </cell>
          <cell r="Q484">
            <v>1.8130761040052283</v>
          </cell>
          <cell r="S484">
            <v>1.7383227736751519</v>
          </cell>
          <cell r="U484">
            <v>2.2663463494520455</v>
          </cell>
        </row>
        <row r="485">
          <cell r="D485">
            <v>39734</v>
          </cell>
          <cell r="E485">
            <v>81.19</v>
          </cell>
          <cell r="H485">
            <v>39734</v>
          </cell>
          <cell r="I485">
            <v>81.19</v>
          </cell>
          <cell r="J485">
            <v>81.19</v>
          </cell>
          <cell r="L485">
            <v>0.95000000000000007</v>
          </cell>
          <cell r="M485">
            <v>1.7417</v>
          </cell>
          <cell r="N485">
            <v>1.6546150000000002</v>
          </cell>
          <cell r="O485">
            <v>0.95</v>
          </cell>
          <cell r="Q485">
            <v>1.8804922742974512</v>
          </cell>
          <cell r="S485">
            <v>1.8627670064770538</v>
          </cell>
          <cell r="U485">
            <v>2.3547765959303675</v>
          </cell>
        </row>
        <row r="486">
          <cell r="D486">
            <v>39735</v>
          </cell>
          <cell r="E486">
            <v>78.63</v>
          </cell>
          <cell r="H486">
            <v>39735</v>
          </cell>
          <cell r="I486">
            <v>78.63</v>
          </cell>
          <cell r="J486">
            <v>78.63</v>
          </cell>
          <cell r="L486">
            <v>0.96</v>
          </cell>
          <cell r="M486">
            <v>1.7540500000000001</v>
          </cell>
          <cell r="N486">
            <v>1.6838880000000001</v>
          </cell>
          <cell r="O486">
            <v>0.96</v>
          </cell>
          <cell r="Q486">
            <v>1.8976378722808327</v>
          </cell>
          <cell r="S486">
            <v>1.883219594845811</v>
          </cell>
          <cell r="U486">
            <v>2.3955629945084369</v>
          </cell>
        </row>
        <row r="487">
          <cell r="D487">
            <v>39736</v>
          </cell>
          <cell r="E487">
            <v>74.540000000000006</v>
          </cell>
          <cell r="H487">
            <v>39736</v>
          </cell>
          <cell r="I487">
            <v>74.540000000000006</v>
          </cell>
          <cell r="J487">
            <v>74.540000000000006</v>
          </cell>
          <cell r="L487">
            <v>0.88500000000000001</v>
          </cell>
          <cell r="M487">
            <v>1.7458</v>
          </cell>
          <cell r="N487">
            <v>1.5450330000000001</v>
          </cell>
          <cell r="O487">
            <v>0.88500000000000001</v>
          </cell>
          <cell r="Q487">
            <v>1.7940340584445897</v>
          </cell>
          <cell r="S487">
            <v>1.7382552472478943</v>
          </cell>
          <cell r="U487">
            <v>2.2276341280403797</v>
          </cell>
        </row>
        <row r="488">
          <cell r="D488">
            <v>39737</v>
          </cell>
          <cell r="E488">
            <v>69.849999999999994</v>
          </cell>
          <cell r="H488">
            <v>39737</v>
          </cell>
          <cell r="I488">
            <v>69.849999999999994</v>
          </cell>
          <cell r="J488">
            <v>69.849999999999994</v>
          </cell>
          <cell r="L488">
            <v>0.87250000000000005</v>
          </cell>
          <cell r="M488">
            <v>1.7229500000000002</v>
          </cell>
          <cell r="N488">
            <v>1.5032738750000003</v>
          </cell>
          <cell r="O488">
            <v>0.87250000000000005</v>
          </cell>
          <cell r="Q488">
            <v>1.6965609326860238</v>
          </cell>
          <cell r="S488">
            <v>1.639350164411812</v>
          </cell>
          <cell r="U488">
            <v>2.100786348865666</v>
          </cell>
        </row>
        <row r="489">
          <cell r="D489">
            <v>39738</v>
          </cell>
          <cell r="E489">
            <v>71.849999999999994</v>
          </cell>
          <cell r="H489">
            <v>39738</v>
          </cell>
          <cell r="I489">
            <v>72.13</v>
          </cell>
          <cell r="J489">
            <v>72.13</v>
          </cell>
          <cell r="L489">
            <v>0.86750000000000005</v>
          </cell>
          <cell r="M489">
            <v>1.7255</v>
          </cell>
          <cell r="N489">
            <v>1.4968712500000001</v>
          </cell>
          <cell r="O489">
            <v>0.86750000000000005</v>
          </cell>
          <cell r="Q489">
            <v>1.6881833955746428</v>
          </cell>
          <cell r="S489">
            <v>1.6832617311419338</v>
          </cell>
          <cell r="U489">
            <v>2.1442126699006705</v>
          </cell>
        </row>
        <row r="490">
          <cell r="D490">
            <v>39741</v>
          </cell>
          <cell r="E490">
            <v>74.25</v>
          </cell>
          <cell r="H490">
            <v>39741</v>
          </cell>
          <cell r="I490">
            <v>74.39</v>
          </cell>
          <cell r="J490">
            <v>74.39</v>
          </cell>
          <cell r="L490">
            <v>0.84750000000000003</v>
          </cell>
          <cell r="M490">
            <v>1.7133500000000002</v>
          </cell>
          <cell r="N490">
            <v>1.4520641250000001</v>
          </cell>
          <cell r="O490">
            <v>0.84750000000000003</v>
          </cell>
          <cell r="Q490">
            <v>1.7117378629446365</v>
          </cell>
          <cell r="S490">
            <v>1.7036910494564006</v>
          </cell>
          <cell r="U490">
            <v>2.1991801781738123</v>
          </cell>
        </row>
        <row r="491">
          <cell r="D491">
            <v>39742</v>
          </cell>
          <cell r="E491">
            <v>72.180000000000007</v>
          </cell>
          <cell r="H491">
            <v>39742</v>
          </cell>
          <cell r="I491">
            <v>72.180000000000007</v>
          </cell>
          <cell r="J491">
            <v>72.180000000000007</v>
          </cell>
          <cell r="L491">
            <v>0.89</v>
          </cell>
          <cell r="M491">
            <v>1.6956</v>
          </cell>
          <cell r="N491">
            <v>1.5090840000000001</v>
          </cell>
          <cell r="O491">
            <v>0.89</v>
          </cell>
          <cell r="Q491">
            <v>1.7234161282793394</v>
          </cell>
          <cell r="S491">
            <v>1.7469469485452926</v>
          </cell>
          <cell r="U491">
            <v>2.2680792851434899</v>
          </cell>
        </row>
        <row r="492">
          <cell r="D492">
            <v>39743</v>
          </cell>
          <cell r="H492">
            <v>39743</v>
          </cell>
          <cell r="I492">
            <v>66.75</v>
          </cell>
          <cell r="J492">
            <v>66.75</v>
          </cell>
          <cell r="L492">
            <v>0.9</v>
          </cell>
          <cell r="M492">
            <v>1.6335500000000001</v>
          </cell>
          <cell r="N492">
            <v>1.4701950000000001</v>
          </cell>
          <cell r="O492">
            <v>0.9</v>
          </cell>
          <cell r="Q492">
            <v>1.6671138362431146</v>
          </cell>
          <cell r="S492">
            <v>1.719230503886338</v>
          </cell>
          <cell r="U492">
            <v>2.2087350820148557</v>
          </cell>
        </row>
        <row r="493">
          <cell r="D493">
            <v>39744</v>
          </cell>
          <cell r="H493">
            <v>39744</v>
          </cell>
          <cell r="I493">
            <v>67.84</v>
          </cell>
          <cell r="J493">
            <v>67.84</v>
          </cell>
          <cell r="L493">
            <v>0.81500000000000006</v>
          </cell>
          <cell r="M493">
            <v>1.61965</v>
          </cell>
          <cell r="N493">
            <v>1.3200147500000001</v>
          </cell>
          <cell r="O493">
            <v>0.81499999999999995</v>
          </cell>
          <cell r="Q493">
            <v>1.6393037298104753</v>
          </cell>
          <cell r="S493">
            <v>1.6770902720746264</v>
          </cell>
          <cell r="U493">
            <v>2.253226106011514</v>
          </cell>
        </row>
        <row r="494">
          <cell r="D494">
            <v>39745</v>
          </cell>
          <cell r="H494">
            <v>39745</v>
          </cell>
          <cell r="I494">
            <v>64.150000000000006</v>
          </cell>
          <cell r="J494">
            <v>64.150000000000006</v>
          </cell>
          <cell r="L494">
            <v>0.79250000000000009</v>
          </cell>
          <cell r="M494">
            <v>1.5823</v>
          </cell>
          <cell r="N494">
            <v>1.2539727500000002</v>
          </cell>
          <cell r="O494">
            <v>0.79249999999999998</v>
          </cell>
          <cell r="Q494">
            <v>1.5496731771076466</v>
          </cell>
          <cell r="S494">
            <v>1.6039719251679159</v>
          </cell>
          <cell r="U494">
            <v>2.1998973396060069</v>
          </cell>
        </row>
        <row r="495">
          <cell r="D495">
            <v>39748</v>
          </cell>
          <cell r="H495">
            <v>39748</v>
          </cell>
          <cell r="I495">
            <v>63.22</v>
          </cell>
          <cell r="J495">
            <v>63.22</v>
          </cell>
          <cell r="L495">
            <v>0.78</v>
          </cell>
          <cell r="M495">
            <v>1.5472500000000002</v>
          </cell>
          <cell r="N495">
            <v>1.2068550000000002</v>
          </cell>
          <cell r="O495">
            <v>0.78</v>
          </cell>
          <cell r="Q495">
            <v>1.5216169872094107</v>
          </cell>
          <cell r="S495">
            <v>1.534155778849061</v>
          </cell>
          <cell r="U495">
            <v>2.1699274290648018</v>
          </cell>
        </row>
        <row r="496">
          <cell r="D496">
            <v>39749</v>
          </cell>
          <cell r="H496">
            <v>39749</v>
          </cell>
          <cell r="I496">
            <v>62.73</v>
          </cell>
          <cell r="J496">
            <v>62.73</v>
          </cell>
          <cell r="L496">
            <v>0.82500000000000007</v>
          </cell>
          <cell r="M496">
            <v>1.5592000000000001</v>
          </cell>
          <cell r="N496">
            <v>1.2863400000000003</v>
          </cell>
          <cell r="O496">
            <v>0.82499999999999996</v>
          </cell>
          <cell r="Q496">
            <v>1.5244496218840446</v>
          </cell>
          <cell r="S496">
            <v>1.5409198872377383</v>
          </cell>
          <cell r="U496">
            <v>2.2056903481851879</v>
          </cell>
        </row>
        <row r="497">
          <cell r="D497">
            <v>39750</v>
          </cell>
          <cell r="H497">
            <v>39750</v>
          </cell>
          <cell r="I497">
            <v>67.5</v>
          </cell>
          <cell r="J497">
            <v>67.5</v>
          </cell>
          <cell r="L497">
            <v>0.79</v>
          </cell>
          <cell r="M497">
            <v>1.6305500000000002</v>
          </cell>
          <cell r="N497">
            <v>1.2881345000000002</v>
          </cell>
          <cell r="O497">
            <v>0.79</v>
          </cell>
          <cell r="Q497">
            <v>1.601979287648212</v>
          </cell>
          <cell r="S497">
            <v>1.6163492677151399</v>
          </cell>
          <cell r="U497">
            <v>2.2364398184315606</v>
          </cell>
        </row>
        <row r="498">
          <cell r="D498">
            <v>39751</v>
          </cell>
          <cell r="H498">
            <v>39751</v>
          </cell>
          <cell r="I498">
            <v>65.959999999999994</v>
          </cell>
          <cell r="J498">
            <v>65.959999999999994</v>
          </cell>
          <cell r="L498">
            <v>0.80249999999999999</v>
          </cell>
          <cell r="M498">
            <v>1.6262000000000001</v>
          </cell>
          <cell r="N498">
            <v>1.3050254999999999</v>
          </cell>
          <cell r="O498">
            <v>0.80249999999999999</v>
          </cell>
          <cell r="Q498">
            <v>1.6647492951171694</v>
          </cell>
          <cell r="S498">
            <v>1.6187665057466594</v>
          </cell>
          <cell r="U498">
            <v>2.3697351942762577</v>
          </cell>
        </row>
        <row r="499">
          <cell r="D499">
            <v>39752</v>
          </cell>
          <cell r="H499">
            <v>39752</v>
          </cell>
          <cell r="I499">
            <v>67.81</v>
          </cell>
          <cell r="J499">
            <v>67.81</v>
          </cell>
          <cell r="L499">
            <v>0.79749999999999999</v>
          </cell>
          <cell r="M499">
            <v>1.6157500000000002</v>
          </cell>
          <cell r="N499">
            <v>1.2885606250000001</v>
          </cell>
          <cell r="O499">
            <v>0.79749999999999999</v>
          </cell>
          <cell r="Q499">
            <v>1.6804692138922603</v>
          </cell>
          <cell r="S499">
            <v>1.6692984041101284</v>
          </cell>
          <cell r="U499">
            <v>2.3675665386177895</v>
          </cell>
        </row>
        <row r="500">
          <cell r="D500">
            <v>39755</v>
          </cell>
          <cell r="H500">
            <v>39755</v>
          </cell>
          <cell r="I500">
            <v>63.91</v>
          </cell>
          <cell r="J500">
            <v>63.91</v>
          </cell>
          <cell r="L500">
            <v>0.89250000000000007</v>
          </cell>
          <cell r="M500">
            <v>1.5848500000000001</v>
          </cell>
          <cell r="N500">
            <v>1.4144786250000001</v>
          </cell>
          <cell r="O500">
            <v>0.89249999999999996</v>
          </cell>
          <cell r="Q500">
            <v>1.7235766174960321</v>
          </cell>
          <cell r="S500">
            <v>1.728582899308349</v>
          </cell>
          <cell r="U500">
            <v>2.4575885864246465</v>
          </cell>
        </row>
        <row r="501">
          <cell r="D501">
            <v>39756</v>
          </cell>
          <cell r="H501">
            <v>39756</v>
          </cell>
          <cell r="I501">
            <v>70.53</v>
          </cell>
          <cell r="J501">
            <v>70.53</v>
          </cell>
          <cell r="L501">
            <v>0.92749999999999999</v>
          </cell>
          <cell r="M501">
            <v>1.6073000000000002</v>
          </cell>
          <cell r="N501">
            <v>1.4907707500000003</v>
          </cell>
          <cell r="O501">
            <v>0.92749999999999999</v>
          </cell>
          <cell r="Q501">
            <v>1.813180421996079</v>
          </cell>
          <cell r="S501">
            <v>1.8282133000171248</v>
          </cell>
          <cell r="U501">
            <v>2.597264821203114</v>
          </cell>
        </row>
        <row r="502">
          <cell r="D502">
            <v>39757</v>
          </cell>
          <cell r="H502">
            <v>39757</v>
          </cell>
          <cell r="I502">
            <v>65.3</v>
          </cell>
          <cell r="J502">
            <v>65.3</v>
          </cell>
          <cell r="L502">
            <v>0.92500000000000004</v>
          </cell>
          <cell r="M502">
            <v>1.6166</v>
          </cell>
          <cell r="N502">
            <v>1.4953550000000002</v>
          </cell>
          <cell r="O502">
            <v>0.92500000000000004</v>
          </cell>
          <cell r="Q502">
            <v>1.8074991037251424</v>
          </cell>
          <cell r="S502">
            <v>1.7878722103349558</v>
          </cell>
          <cell r="U502">
            <v>2.5187273726694168</v>
          </cell>
        </row>
        <row r="503">
          <cell r="D503">
            <v>39758</v>
          </cell>
          <cell r="H503">
            <v>39758</v>
          </cell>
          <cell r="I503">
            <v>60.77</v>
          </cell>
          <cell r="J503">
            <v>60.77</v>
          </cell>
          <cell r="L503">
            <v>0.88500000000000001</v>
          </cell>
          <cell r="M503">
            <v>1.5894000000000001</v>
          </cell>
          <cell r="N503">
            <v>1.4066190000000001</v>
          </cell>
          <cell r="O503">
            <v>0.88500000000000001</v>
          </cell>
          <cell r="Q503">
            <v>1.7442556530669406</v>
          </cell>
          <cell r="S503">
            <v>1.6947760529434239</v>
          </cell>
          <cell r="U503">
            <v>2.3854956264597642</v>
          </cell>
        </row>
        <row r="504">
          <cell r="D504">
            <v>39759</v>
          </cell>
          <cell r="H504">
            <v>39759</v>
          </cell>
          <cell r="I504">
            <v>61.04</v>
          </cell>
          <cell r="J504">
            <v>61.04</v>
          </cell>
          <cell r="L504">
            <v>0.9</v>
          </cell>
          <cell r="M504">
            <v>1.5762</v>
          </cell>
          <cell r="N504">
            <v>1.4185800000000002</v>
          </cell>
          <cell r="O504">
            <v>0.9</v>
          </cell>
          <cell r="Q504">
            <v>1.7615242927831201</v>
          </cell>
          <cell r="S504">
            <v>1.7381823853561813</v>
          </cell>
          <cell r="U504">
            <v>2.4019050985199604</v>
          </cell>
        </row>
        <row r="505">
          <cell r="D505">
            <v>39762</v>
          </cell>
          <cell r="H505">
            <v>39762</v>
          </cell>
          <cell r="I505">
            <v>62.41</v>
          </cell>
          <cell r="J505">
            <v>62.41</v>
          </cell>
          <cell r="L505">
            <v>0.92749999999999999</v>
          </cell>
          <cell r="M505">
            <v>1.5699500000000002</v>
          </cell>
          <cell r="N505">
            <v>1.4561286250000001</v>
          </cell>
          <cell r="O505">
            <v>0.92749999999999999</v>
          </cell>
          <cell r="Q505">
            <v>1.7805101671179162</v>
          </cell>
          <cell r="S505">
            <v>1.7677192612539694</v>
          </cell>
          <cell r="U505">
            <v>2.4351861665204582</v>
          </cell>
        </row>
        <row r="506">
          <cell r="D506">
            <v>39763</v>
          </cell>
          <cell r="H506">
            <v>39763</v>
          </cell>
          <cell r="I506">
            <v>59.33</v>
          </cell>
          <cell r="J506">
            <v>59.33</v>
          </cell>
          <cell r="L506">
            <v>0.88500000000000001</v>
          </cell>
          <cell r="M506">
            <v>1.542</v>
          </cell>
          <cell r="N506">
            <v>1.36467</v>
          </cell>
          <cell r="O506">
            <v>0.88500000000000001</v>
          </cell>
          <cell r="Q506">
            <v>1.7130913220054151</v>
          </cell>
          <cell r="S506">
            <v>1.6832916298156115</v>
          </cell>
          <cell r="U506">
            <v>2.3612872964303282</v>
          </cell>
        </row>
        <row r="507">
          <cell r="D507">
            <v>39764</v>
          </cell>
          <cell r="H507">
            <v>39764</v>
          </cell>
          <cell r="I507">
            <v>56.16</v>
          </cell>
          <cell r="J507">
            <v>56.16</v>
          </cell>
          <cell r="L507">
            <v>0.86499999999999999</v>
          </cell>
          <cell r="M507">
            <v>1.5047000000000001</v>
          </cell>
          <cell r="N507">
            <v>1.3015655000000002</v>
          </cell>
          <cell r="O507">
            <v>0.86499999999999999</v>
          </cell>
          <cell r="Q507">
            <v>1.6720783026794885</v>
          </cell>
          <cell r="S507">
            <v>1.6627542016464003</v>
          </cell>
          <cell r="U507">
            <v>2.3629948172906277</v>
          </cell>
        </row>
        <row r="508">
          <cell r="D508">
            <v>39765</v>
          </cell>
          <cell r="H508">
            <v>39765</v>
          </cell>
          <cell r="I508">
            <v>58.24</v>
          </cell>
          <cell r="J508">
            <v>58.24</v>
          </cell>
          <cell r="L508">
            <v>0.85499999999999998</v>
          </cell>
          <cell r="M508">
            <v>1.4809500000000002</v>
          </cell>
          <cell r="N508">
            <v>1.2662122500000002</v>
          </cell>
          <cell r="O508">
            <v>0.85499999999999998</v>
          </cell>
          <cell r="Q508">
            <v>1.6468467229950516</v>
          </cell>
          <cell r="S508">
            <v>1.7107558688029147</v>
          </cell>
          <cell r="U508">
            <v>2.3329710108699753</v>
          </cell>
        </row>
        <row r="509">
          <cell r="D509">
            <v>39766</v>
          </cell>
          <cell r="H509">
            <v>39766</v>
          </cell>
          <cell r="I509">
            <v>57.04</v>
          </cell>
          <cell r="J509">
            <v>57.04</v>
          </cell>
          <cell r="L509">
            <v>0.84750000000000003</v>
          </cell>
          <cell r="M509">
            <v>1.48265</v>
          </cell>
          <cell r="N509">
            <v>1.256545875</v>
          </cell>
          <cell r="O509">
            <v>0.84750000000000003</v>
          </cell>
          <cell r="Q509">
            <v>1.6390656708057136</v>
          </cell>
          <cell r="S509">
            <v>1.7161168538060851</v>
          </cell>
          <cell r="U509">
            <v>2.3676616474888523</v>
          </cell>
        </row>
        <row r="510">
          <cell r="D510">
            <v>39769</v>
          </cell>
          <cell r="H510">
            <v>39769</v>
          </cell>
          <cell r="I510">
            <v>54.95</v>
          </cell>
          <cell r="J510">
            <v>54.95</v>
          </cell>
          <cell r="L510">
            <v>0.82750000000000001</v>
          </cell>
          <cell r="M510">
            <v>1.4982</v>
          </cell>
          <cell r="N510">
            <v>1.2397605</v>
          </cell>
          <cell r="O510">
            <v>0.82750000000000001</v>
          </cell>
          <cell r="Q510">
            <v>1.5987481047521237</v>
          </cell>
          <cell r="S510">
            <v>1.6512316601359283</v>
          </cell>
          <cell r="U510">
            <v>2.3030134433966758</v>
          </cell>
        </row>
        <row r="511">
          <cell r="D511">
            <v>39770</v>
          </cell>
          <cell r="H511">
            <v>39770</v>
          </cell>
          <cell r="I511">
            <v>54.39</v>
          </cell>
          <cell r="J511">
            <v>54.39</v>
          </cell>
          <cell r="L511">
            <v>0.82750000000000001</v>
          </cell>
          <cell r="M511">
            <v>1.5009000000000001</v>
          </cell>
          <cell r="N511">
            <v>1.2419947500000001</v>
          </cell>
          <cell r="O511">
            <v>0.82750000000000001</v>
          </cell>
          <cell r="Q511">
            <v>1.5850931472318179</v>
          </cell>
          <cell r="S511">
            <v>1.6456547979416576</v>
          </cell>
          <cell r="U511">
            <v>2.312195489499564</v>
          </cell>
        </row>
        <row r="512">
          <cell r="D512">
            <v>39771</v>
          </cell>
          <cell r="H512">
            <v>39771</v>
          </cell>
          <cell r="I512">
            <v>54.1</v>
          </cell>
          <cell r="J512">
            <v>54.1</v>
          </cell>
          <cell r="L512">
            <v>0.79</v>
          </cell>
          <cell r="M512">
            <v>1.5111000000000001</v>
          </cell>
          <cell r="N512">
            <v>1.1937690000000001</v>
          </cell>
          <cell r="O512">
            <v>0.79</v>
          </cell>
          <cell r="Q512">
            <v>1.5264075903277003</v>
          </cell>
          <cell r="S512">
            <v>1.5686221101553406</v>
          </cell>
          <cell r="U512">
            <v>2.2148458678078224</v>
          </cell>
        </row>
        <row r="513">
          <cell r="D513">
            <v>39772</v>
          </cell>
          <cell r="H513">
            <v>39772</v>
          </cell>
          <cell r="I513">
            <v>49.42</v>
          </cell>
          <cell r="J513">
            <v>49.42</v>
          </cell>
          <cell r="L513">
            <v>0.77750000000000008</v>
          </cell>
          <cell r="M513">
            <v>1.4773500000000002</v>
          </cell>
          <cell r="N513">
            <v>1.1486396250000002</v>
          </cell>
          <cell r="O513">
            <v>0.77749999999999997</v>
          </cell>
          <cell r="Q513">
            <v>1.492196638969284</v>
          </cell>
          <cell r="S513">
            <v>1.523565688311401</v>
          </cell>
          <cell r="U513">
            <v>2.1778115914127114</v>
          </cell>
        </row>
        <row r="514">
          <cell r="D514">
            <v>39773</v>
          </cell>
          <cell r="H514">
            <v>39773</v>
          </cell>
          <cell r="I514">
            <v>49.93</v>
          </cell>
          <cell r="J514">
            <v>49.93</v>
          </cell>
          <cell r="L514">
            <v>0.74250000000000005</v>
          </cell>
          <cell r="M514">
            <v>1.4788000000000001</v>
          </cell>
          <cell r="N514">
            <v>1.0980090000000002</v>
          </cell>
          <cell r="O514">
            <v>0.74250000000000005</v>
          </cell>
          <cell r="Q514">
            <v>1.4688668565026606</v>
          </cell>
          <cell r="S514">
            <v>1.5560700012473521</v>
          </cell>
          <cell r="U514">
            <v>2.1508197616593936</v>
          </cell>
        </row>
        <row r="515">
          <cell r="D515" t="e">
            <v>#N/A</v>
          </cell>
          <cell r="H515" t="e">
            <v>#N/A</v>
          </cell>
          <cell r="I515" t="e">
            <v>#N/A</v>
          </cell>
          <cell r="J515" t="e">
            <v>#N/A</v>
          </cell>
          <cell r="L515" t="e">
            <v>#N/A</v>
          </cell>
          <cell r="M515" t="e">
            <v>#N/A</v>
          </cell>
          <cell r="N515" t="e">
            <v>#N/A</v>
          </cell>
          <cell r="O515" t="e">
            <v>#N/A</v>
          </cell>
          <cell r="Q515" t="e">
            <v>#N/A</v>
          </cell>
          <cell r="S515" t="e">
            <v>#N/A</v>
          </cell>
          <cell r="U515" t="e">
            <v>#N/A</v>
          </cell>
        </row>
        <row r="516">
          <cell r="D516" t="e">
            <v>#N/A</v>
          </cell>
          <cell r="H516" t="e">
            <v>#N/A</v>
          </cell>
          <cell r="I516" t="e">
            <v>#N/A</v>
          </cell>
          <cell r="J516" t="e">
            <v>#N/A</v>
          </cell>
          <cell r="L516" t="e">
            <v>#N/A</v>
          </cell>
          <cell r="M516" t="e">
            <v>#N/A</v>
          </cell>
          <cell r="N516" t="e">
            <v>#N/A</v>
          </cell>
          <cell r="O516" t="e">
            <v>#N/A</v>
          </cell>
          <cell r="Q516" t="e">
            <v>#N/A</v>
          </cell>
          <cell r="S516" t="e">
            <v>#N/A</v>
          </cell>
          <cell r="U516" t="e">
            <v>#N/A</v>
          </cell>
        </row>
        <row r="517">
          <cell r="D517" t="e">
            <v>#N/A</v>
          </cell>
          <cell r="H517" t="e">
            <v>#N/A</v>
          </cell>
          <cell r="I517" t="e">
            <v>#N/A</v>
          </cell>
          <cell r="J517" t="e">
            <v>#N/A</v>
          </cell>
          <cell r="L517" t="e">
            <v>#N/A</v>
          </cell>
          <cell r="M517" t="e">
            <v>#N/A</v>
          </cell>
          <cell r="N517" t="e">
            <v>#N/A</v>
          </cell>
          <cell r="O517" t="e">
            <v>#N/A</v>
          </cell>
          <cell r="Q517" t="e">
            <v>#N/A</v>
          </cell>
          <cell r="S517" t="e">
            <v>#N/A</v>
          </cell>
          <cell r="U517" t="e">
            <v>#N/A</v>
          </cell>
        </row>
        <row r="518">
          <cell r="D518" t="e">
            <v>#N/A</v>
          </cell>
          <cell r="H518" t="e">
            <v>#N/A</v>
          </cell>
          <cell r="I518" t="e">
            <v>#N/A</v>
          </cell>
          <cell r="J518" t="e">
            <v>#N/A</v>
          </cell>
          <cell r="L518" t="e">
            <v>#N/A</v>
          </cell>
          <cell r="M518" t="e">
            <v>#N/A</v>
          </cell>
          <cell r="N518" t="e">
            <v>#N/A</v>
          </cell>
          <cell r="O518" t="e">
            <v>#N/A</v>
          </cell>
          <cell r="Q518" t="e">
            <v>#N/A</v>
          </cell>
          <cell r="S518" t="e">
            <v>#N/A</v>
          </cell>
          <cell r="U518" t="e">
            <v>#N/A</v>
          </cell>
        </row>
        <row r="519">
          <cell r="D519" t="e">
            <v>#N/A</v>
          </cell>
          <cell r="H519" t="e">
            <v>#N/A</v>
          </cell>
          <cell r="I519" t="e">
            <v>#N/A</v>
          </cell>
          <cell r="J519" t="e">
            <v>#N/A</v>
          </cell>
          <cell r="L519" t="e">
            <v>#N/A</v>
          </cell>
          <cell r="M519" t="e">
            <v>#N/A</v>
          </cell>
          <cell r="N519" t="e">
            <v>#N/A</v>
          </cell>
          <cell r="O519" t="e">
            <v>#N/A</v>
          </cell>
          <cell r="Q519" t="e">
            <v>#N/A</v>
          </cell>
          <cell r="S519" t="e">
            <v>#N/A</v>
          </cell>
          <cell r="U519" t="e">
            <v>#N/A</v>
          </cell>
        </row>
        <row r="520">
          <cell r="D520" t="e">
            <v>#N/A</v>
          </cell>
          <cell r="H520" t="e">
            <v>#N/A</v>
          </cell>
          <cell r="I520" t="e">
            <v>#N/A</v>
          </cell>
          <cell r="J520" t="e">
            <v>#N/A</v>
          </cell>
          <cell r="L520" t="e">
            <v>#N/A</v>
          </cell>
          <cell r="M520" t="e">
            <v>#N/A</v>
          </cell>
          <cell r="N520" t="e">
            <v>#N/A</v>
          </cell>
          <cell r="O520" t="e">
            <v>#N/A</v>
          </cell>
          <cell r="Q520" t="e">
            <v>#N/A</v>
          </cell>
          <cell r="S520" t="e">
            <v>#N/A</v>
          </cell>
          <cell r="U520" t="e">
            <v>#N/A</v>
          </cell>
        </row>
        <row r="521">
          <cell r="D521" t="e">
            <v>#N/A</v>
          </cell>
          <cell r="H521" t="e">
            <v>#N/A</v>
          </cell>
          <cell r="I521" t="e">
            <v>#N/A</v>
          </cell>
          <cell r="J521" t="e">
            <v>#N/A</v>
          </cell>
          <cell r="L521" t="e">
            <v>#N/A</v>
          </cell>
          <cell r="M521" t="e">
            <v>#N/A</v>
          </cell>
          <cell r="N521" t="e">
            <v>#N/A</v>
          </cell>
          <cell r="O521" t="e">
            <v>#N/A</v>
          </cell>
          <cell r="Q521" t="e">
            <v>#N/A</v>
          </cell>
          <cell r="S521" t="e">
            <v>#N/A</v>
          </cell>
          <cell r="U521" t="e">
            <v>#N/A</v>
          </cell>
        </row>
        <row r="522">
          <cell r="D522" t="e">
            <v>#N/A</v>
          </cell>
          <cell r="H522" t="e">
            <v>#N/A</v>
          </cell>
          <cell r="I522" t="e">
            <v>#N/A</v>
          </cell>
          <cell r="J522" t="e">
            <v>#N/A</v>
          </cell>
          <cell r="L522" t="e">
            <v>#N/A</v>
          </cell>
          <cell r="M522" t="e">
            <v>#N/A</v>
          </cell>
          <cell r="N522" t="e">
            <v>#N/A</v>
          </cell>
          <cell r="O522" t="e">
            <v>#N/A</v>
          </cell>
          <cell r="Q522" t="e">
            <v>#N/A</v>
          </cell>
          <cell r="S522" t="e">
            <v>#N/A</v>
          </cell>
          <cell r="U522" t="e">
            <v>#N/A</v>
          </cell>
        </row>
        <row r="523">
          <cell r="D523" t="e">
            <v>#N/A</v>
          </cell>
          <cell r="H523" t="e">
            <v>#N/A</v>
          </cell>
          <cell r="I523" t="e">
            <v>#N/A</v>
          </cell>
          <cell r="J523" t="e">
            <v>#N/A</v>
          </cell>
          <cell r="L523" t="e">
            <v>#N/A</v>
          </cell>
          <cell r="M523" t="e">
            <v>#N/A</v>
          </cell>
          <cell r="N523" t="e">
            <v>#N/A</v>
          </cell>
          <cell r="O523" t="e">
            <v>#N/A</v>
          </cell>
          <cell r="Q523" t="e">
            <v>#N/A</v>
          </cell>
          <cell r="S523" t="e">
            <v>#N/A</v>
          </cell>
          <cell r="U523" t="e">
            <v>#N/A</v>
          </cell>
        </row>
        <row r="524">
          <cell r="D524" t="e">
            <v>#N/A</v>
          </cell>
          <cell r="H524" t="e">
            <v>#N/A</v>
          </cell>
          <cell r="I524" t="e">
            <v>#N/A</v>
          </cell>
          <cell r="J524" t="e">
            <v>#N/A</v>
          </cell>
          <cell r="L524" t="e">
            <v>#N/A</v>
          </cell>
          <cell r="M524" t="e">
            <v>#N/A</v>
          </cell>
          <cell r="N524" t="e">
            <v>#N/A</v>
          </cell>
          <cell r="O524" t="e">
            <v>#N/A</v>
          </cell>
          <cell r="Q524" t="e">
            <v>#N/A</v>
          </cell>
          <cell r="S524" t="e">
            <v>#N/A</v>
          </cell>
          <cell r="U524" t="e">
            <v>#N/A</v>
          </cell>
        </row>
        <row r="525">
          <cell r="D525" t="e">
            <v>#N/A</v>
          </cell>
          <cell r="H525" t="e">
            <v>#N/A</v>
          </cell>
          <cell r="I525" t="e">
            <v>#N/A</v>
          </cell>
          <cell r="J525" t="e">
            <v>#N/A</v>
          </cell>
          <cell r="L525" t="e">
            <v>#N/A</v>
          </cell>
          <cell r="M525" t="e">
            <v>#N/A</v>
          </cell>
          <cell r="N525" t="e">
            <v>#N/A</v>
          </cell>
          <cell r="O525" t="e">
            <v>#N/A</v>
          </cell>
          <cell r="Q525" t="e">
            <v>#N/A</v>
          </cell>
          <cell r="S525" t="e">
            <v>#N/A</v>
          </cell>
          <cell r="U525" t="e">
            <v>#N/A</v>
          </cell>
        </row>
        <row r="526">
          <cell r="D526" t="e">
            <v>#N/A</v>
          </cell>
          <cell r="H526" t="e">
            <v>#N/A</v>
          </cell>
          <cell r="I526" t="e">
            <v>#N/A</v>
          </cell>
          <cell r="J526" t="e">
            <v>#N/A</v>
          </cell>
          <cell r="L526" t="e">
            <v>#N/A</v>
          </cell>
          <cell r="M526" t="e">
            <v>#N/A</v>
          </cell>
          <cell r="N526" t="e">
            <v>#N/A</v>
          </cell>
          <cell r="O526" t="e">
            <v>#N/A</v>
          </cell>
          <cell r="Q526" t="e">
            <v>#N/A</v>
          </cell>
          <cell r="S526" t="e">
            <v>#N/A</v>
          </cell>
          <cell r="U526" t="e">
            <v>#N/A</v>
          </cell>
        </row>
        <row r="527">
          <cell r="D527" t="e">
            <v>#N/A</v>
          </cell>
          <cell r="H527" t="e">
            <v>#N/A</v>
          </cell>
          <cell r="I527" t="e">
            <v>#N/A</v>
          </cell>
          <cell r="J527" t="e">
            <v>#N/A</v>
          </cell>
          <cell r="L527" t="e">
            <v>#N/A</v>
          </cell>
          <cell r="M527" t="e">
            <v>#N/A</v>
          </cell>
          <cell r="N527" t="e">
            <v>#N/A</v>
          </cell>
          <cell r="O527" t="e">
            <v>#N/A</v>
          </cell>
          <cell r="Q527" t="e">
            <v>#N/A</v>
          </cell>
          <cell r="S527" t="e">
            <v>#N/A</v>
          </cell>
          <cell r="U527" t="e">
            <v>#N/A</v>
          </cell>
        </row>
        <row r="528">
          <cell r="D528" t="e">
            <v>#N/A</v>
          </cell>
          <cell r="H528" t="e">
            <v>#N/A</v>
          </cell>
          <cell r="I528" t="e">
            <v>#N/A</v>
          </cell>
          <cell r="J528" t="e">
            <v>#N/A</v>
          </cell>
          <cell r="L528" t="e">
            <v>#N/A</v>
          </cell>
          <cell r="M528" t="e">
            <v>#N/A</v>
          </cell>
          <cell r="N528" t="e">
            <v>#N/A</v>
          </cell>
          <cell r="O528" t="e">
            <v>#N/A</v>
          </cell>
          <cell r="Q528" t="e">
            <v>#N/A</v>
          </cell>
          <cell r="S528" t="e">
            <v>#N/A</v>
          </cell>
          <cell r="U528" t="e">
            <v>#N/A</v>
          </cell>
        </row>
        <row r="529">
          <cell r="D529" t="e">
            <v>#N/A</v>
          </cell>
          <cell r="H529" t="e">
            <v>#N/A</v>
          </cell>
          <cell r="I529" t="e">
            <v>#N/A</v>
          </cell>
          <cell r="J529" t="e">
            <v>#N/A</v>
          </cell>
          <cell r="L529" t="e">
            <v>#N/A</v>
          </cell>
          <cell r="M529" t="e">
            <v>#N/A</v>
          </cell>
          <cell r="N529" t="e">
            <v>#N/A</v>
          </cell>
          <cell r="O529" t="e">
            <v>#N/A</v>
          </cell>
          <cell r="Q529" t="e">
            <v>#N/A</v>
          </cell>
          <cell r="S529" t="e">
            <v>#N/A</v>
          </cell>
          <cell r="U529" t="e">
            <v>#N/A</v>
          </cell>
        </row>
        <row r="530">
          <cell r="D530" t="e">
            <v>#N/A</v>
          </cell>
          <cell r="H530" t="e">
            <v>#N/A</v>
          </cell>
          <cell r="I530" t="e">
            <v>#N/A</v>
          </cell>
          <cell r="J530" t="e">
            <v>#N/A</v>
          </cell>
          <cell r="L530" t="e">
            <v>#N/A</v>
          </cell>
          <cell r="M530" t="e">
            <v>#N/A</v>
          </cell>
          <cell r="N530" t="e">
            <v>#N/A</v>
          </cell>
          <cell r="O530" t="e">
            <v>#N/A</v>
          </cell>
          <cell r="Q530" t="e">
            <v>#N/A</v>
          </cell>
          <cell r="S530" t="e">
            <v>#N/A</v>
          </cell>
          <cell r="U530" t="e">
            <v>#N/A</v>
          </cell>
        </row>
        <row r="531">
          <cell r="D531" t="e">
            <v>#N/A</v>
          </cell>
          <cell r="H531" t="e">
            <v>#N/A</v>
          </cell>
          <cell r="I531" t="e">
            <v>#N/A</v>
          </cell>
          <cell r="J531" t="e">
            <v>#N/A</v>
          </cell>
          <cell r="L531" t="e">
            <v>#N/A</v>
          </cell>
          <cell r="M531" t="e">
            <v>#N/A</v>
          </cell>
          <cell r="N531" t="e">
            <v>#N/A</v>
          </cell>
          <cell r="O531" t="e">
            <v>#N/A</v>
          </cell>
          <cell r="Q531" t="e">
            <v>#N/A</v>
          </cell>
          <cell r="S531" t="e">
            <v>#N/A</v>
          </cell>
          <cell r="U531" t="e">
            <v>#N/A</v>
          </cell>
        </row>
        <row r="532">
          <cell r="D532" t="e">
            <v>#N/A</v>
          </cell>
          <cell r="H532" t="e">
            <v>#N/A</v>
          </cell>
          <cell r="I532" t="e">
            <v>#N/A</v>
          </cell>
          <cell r="J532" t="e">
            <v>#N/A</v>
          </cell>
          <cell r="L532" t="e">
            <v>#N/A</v>
          </cell>
          <cell r="M532" t="e">
            <v>#N/A</v>
          </cell>
          <cell r="N532" t="e">
            <v>#N/A</v>
          </cell>
          <cell r="O532" t="e">
            <v>#N/A</v>
          </cell>
          <cell r="Q532" t="e">
            <v>#N/A</v>
          </cell>
          <cell r="S532" t="e">
            <v>#N/A</v>
          </cell>
          <cell r="U532" t="e">
            <v>#N/A</v>
          </cell>
        </row>
        <row r="533">
          <cell r="D533" t="e">
            <v>#N/A</v>
          </cell>
          <cell r="H533" t="e">
            <v>#N/A</v>
          </cell>
          <cell r="I533" t="e">
            <v>#N/A</v>
          </cell>
          <cell r="J533" t="e">
            <v>#N/A</v>
          </cell>
          <cell r="L533" t="e">
            <v>#N/A</v>
          </cell>
          <cell r="M533" t="e">
            <v>#N/A</v>
          </cell>
          <cell r="N533" t="e">
            <v>#N/A</v>
          </cell>
          <cell r="O533" t="e">
            <v>#N/A</v>
          </cell>
          <cell r="Q533" t="e">
            <v>#N/A</v>
          </cell>
          <cell r="S533" t="e">
            <v>#N/A</v>
          </cell>
          <cell r="U533" t="e">
            <v>#N/A</v>
          </cell>
        </row>
        <row r="534">
          <cell r="D534" t="e">
            <v>#N/A</v>
          </cell>
          <cell r="H534" t="e">
            <v>#N/A</v>
          </cell>
          <cell r="I534" t="e">
            <v>#N/A</v>
          </cell>
          <cell r="J534" t="e">
            <v>#N/A</v>
          </cell>
          <cell r="L534" t="e">
            <v>#N/A</v>
          </cell>
          <cell r="M534" t="e">
            <v>#N/A</v>
          </cell>
          <cell r="N534" t="e">
            <v>#N/A</v>
          </cell>
          <cell r="O534" t="e">
            <v>#N/A</v>
          </cell>
          <cell r="Q534" t="e">
            <v>#N/A</v>
          </cell>
          <cell r="S534" t="e">
            <v>#N/A</v>
          </cell>
          <cell r="U534" t="e">
            <v>#N/A</v>
          </cell>
        </row>
        <row r="535">
          <cell r="D535" t="e">
            <v>#N/A</v>
          </cell>
          <cell r="H535" t="e">
            <v>#N/A</v>
          </cell>
          <cell r="I535" t="e">
            <v>#N/A</v>
          </cell>
          <cell r="J535" t="e">
            <v>#N/A</v>
          </cell>
          <cell r="L535" t="e">
            <v>#N/A</v>
          </cell>
          <cell r="M535" t="e">
            <v>#N/A</v>
          </cell>
          <cell r="N535" t="e">
            <v>#N/A</v>
          </cell>
          <cell r="O535" t="e">
            <v>#N/A</v>
          </cell>
          <cell r="Q535" t="e">
            <v>#N/A</v>
          </cell>
          <cell r="S535" t="e">
            <v>#N/A</v>
          </cell>
          <cell r="U535" t="e">
            <v>#N/A</v>
          </cell>
        </row>
        <row r="536">
          <cell r="D536" t="e">
            <v>#N/A</v>
          </cell>
          <cell r="H536" t="e">
            <v>#N/A</v>
          </cell>
          <cell r="I536" t="e">
            <v>#N/A</v>
          </cell>
          <cell r="J536" t="e">
            <v>#N/A</v>
          </cell>
          <cell r="L536" t="e">
            <v>#N/A</v>
          </cell>
          <cell r="M536" t="e">
            <v>#N/A</v>
          </cell>
          <cell r="N536" t="e">
            <v>#N/A</v>
          </cell>
          <cell r="O536" t="e">
            <v>#N/A</v>
          </cell>
          <cell r="Q536" t="e">
            <v>#N/A</v>
          </cell>
          <cell r="S536" t="e">
            <v>#N/A</v>
          </cell>
          <cell r="U536" t="e">
            <v>#N/A</v>
          </cell>
        </row>
        <row r="537">
          <cell r="D537" t="e">
            <v>#N/A</v>
          </cell>
          <cell r="H537" t="e">
            <v>#N/A</v>
          </cell>
          <cell r="I537" t="e">
            <v>#N/A</v>
          </cell>
          <cell r="J537" t="e">
            <v>#N/A</v>
          </cell>
          <cell r="L537" t="e">
            <v>#N/A</v>
          </cell>
          <cell r="M537" t="e">
            <v>#N/A</v>
          </cell>
          <cell r="N537" t="e">
            <v>#N/A</v>
          </cell>
          <cell r="O537" t="e">
            <v>#N/A</v>
          </cell>
          <cell r="Q537" t="e">
            <v>#N/A</v>
          </cell>
          <cell r="S537" t="e">
            <v>#N/A</v>
          </cell>
          <cell r="U537" t="e">
            <v>#N/A</v>
          </cell>
        </row>
        <row r="538">
          <cell r="D538" t="e">
            <v>#N/A</v>
          </cell>
          <cell r="H538" t="e">
            <v>#N/A</v>
          </cell>
          <cell r="I538" t="e">
            <v>#N/A</v>
          </cell>
          <cell r="J538" t="e">
            <v>#N/A</v>
          </cell>
          <cell r="L538" t="e">
            <v>#N/A</v>
          </cell>
          <cell r="M538" t="e">
            <v>#N/A</v>
          </cell>
          <cell r="N538" t="e">
            <v>#N/A</v>
          </cell>
          <cell r="O538" t="e">
            <v>#N/A</v>
          </cell>
          <cell r="Q538" t="e">
            <v>#N/A</v>
          </cell>
          <cell r="S538" t="e">
            <v>#N/A</v>
          </cell>
          <cell r="U538" t="e">
            <v>#N/A</v>
          </cell>
        </row>
        <row r="539">
          <cell r="D539" t="e">
            <v>#N/A</v>
          </cell>
          <cell r="H539" t="e">
            <v>#N/A</v>
          </cell>
          <cell r="I539" t="e">
            <v>#N/A</v>
          </cell>
          <cell r="J539" t="e">
            <v>#N/A</v>
          </cell>
          <cell r="L539" t="e">
            <v>#N/A</v>
          </cell>
          <cell r="M539" t="e">
            <v>#N/A</v>
          </cell>
          <cell r="N539" t="e">
            <v>#N/A</v>
          </cell>
          <cell r="O539" t="e">
            <v>#N/A</v>
          </cell>
          <cell r="Q539" t="e">
            <v>#N/A</v>
          </cell>
          <cell r="S539" t="e">
            <v>#N/A</v>
          </cell>
          <cell r="U539" t="e">
            <v>#N/A</v>
          </cell>
        </row>
        <row r="540">
          <cell r="D540" t="e">
            <v>#N/A</v>
          </cell>
          <cell r="H540" t="e">
            <v>#N/A</v>
          </cell>
          <cell r="I540" t="e">
            <v>#N/A</v>
          </cell>
          <cell r="J540" t="e">
            <v>#N/A</v>
          </cell>
          <cell r="L540" t="e">
            <v>#N/A</v>
          </cell>
          <cell r="M540" t="e">
            <v>#N/A</v>
          </cell>
          <cell r="N540" t="e">
            <v>#N/A</v>
          </cell>
          <cell r="O540" t="e">
            <v>#N/A</v>
          </cell>
          <cell r="Q540" t="e">
            <v>#N/A</v>
          </cell>
          <cell r="S540" t="e">
            <v>#N/A</v>
          </cell>
          <cell r="U540" t="e">
            <v>#N/A</v>
          </cell>
        </row>
        <row r="541">
          <cell r="D541" t="e">
            <v>#N/A</v>
          </cell>
          <cell r="H541" t="e">
            <v>#N/A</v>
          </cell>
          <cell r="I541" t="e">
            <v>#N/A</v>
          </cell>
          <cell r="J541" t="e">
            <v>#N/A</v>
          </cell>
          <cell r="L541" t="e">
            <v>#N/A</v>
          </cell>
          <cell r="M541" t="e">
            <v>#N/A</v>
          </cell>
          <cell r="N541" t="e">
            <v>#N/A</v>
          </cell>
          <cell r="O541" t="e">
            <v>#N/A</v>
          </cell>
          <cell r="Q541" t="e">
            <v>#N/A</v>
          </cell>
          <cell r="S541" t="e">
            <v>#N/A</v>
          </cell>
          <cell r="U541" t="e">
            <v>#N/A</v>
          </cell>
        </row>
        <row r="542">
          <cell r="D542" t="e">
            <v>#N/A</v>
          </cell>
          <cell r="H542" t="e">
            <v>#N/A</v>
          </cell>
          <cell r="I542" t="e">
            <v>#N/A</v>
          </cell>
          <cell r="J542" t="e">
            <v>#N/A</v>
          </cell>
          <cell r="L542" t="e">
            <v>#N/A</v>
          </cell>
          <cell r="M542" t="e">
            <v>#N/A</v>
          </cell>
          <cell r="N542" t="e">
            <v>#N/A</v>
          </cell>
          <cell r="O542" t="e">
            <v>#N/A</v>
          </cell>
          <cell r="Q542" t="e">
            <v>#N/A</v>
          </cell>
          <cell r="S542" t="e">
            <v>#N/A</v>
          </cell>
          <cell r="U542" t="e">
            <v>#N/A</v>
          </cell>
        </row>
        <row r="543">
          <cell r="D543" t="e">
            <v>#N/A</v>
          </cell>
          <cell r="H543" t="e">
            <v>#N/A</v>
          </cell>
          <cell r="I543" t="e">
            <v>#N/A</v>
          </cell>
          <cell r="J543" t="e">
            <v>#N/A</v>
          </cell>
          <cell r="L543" t="e">
            <v>#N/A</v>
          </cell>
          <cell r="M543" t="e">
            <v>#N/A</v>
          </cell>
          <cell r="N543" t="e">
            <v>#N/A</v>
          </cell>
          <cell r="O543" t="e">
            <v>#N/A</v>
          </cell>
          <cell r="Q543" t="e">
            <v>#N/A</v>
          </cell>
          <cell r="S543" t="e">
            <v>#N/A</v>
          </cell>
          <cell r="U543" t="e">
            <v>#N/A</v>
          </cell>
        </row>
        <row r="544">
          <cell r="D544" t="e">
            <v>#N/A</v>
          </cell>
          <cell r="H544" t="e">
            <v>#N/A</v>
          </cell>
          <cell r="I544" t="e">
            <v>#N/A</v>
          </cell>
          <cell r="J544" t="e">
            <v>#N/A</v>
          </cell>
          <cell r="L544" t="e">
            <v>#N/A</v>
          </cell>
          <cell r="M544" t="e">
            <v>#N/A</v>
          </cell>
          <cell r="N544" t="e">
            <v>#N/A</v>
          </cell>
          <cell r="O544" t="e">
            <v>#N/A</v>
          </cell>
          <cell r="Q544" t="e">
            <v>#N/A</v>
          </cell>
          <cell r="S544" t="e">
            <v>#N/A</v>
          </cell>
          <cell r="U544" t="e">
            <v>#N/A</v>
          </cell>
        </row>
        <row r="545">
          <cell r="D545" t="e">
            <v>#N/A</v>
          </cell>
          <cell r="H545" t="e">
            <v>#N/A</v>
          </cell>
          <cell r="I545" t="e">
            <v>#N/A</v>
          </cell>
          <cell r="J545" t="e">
            <v>#N/A</v>
          </cell>
          <cell r="L545" t="e">
            <v>#N/A</v>
          </cell>
          <cell r="M545" t="e">
            <v>#N/A</v>
          </cell>
          <cell r="N545" t="e">
            <v>#N/A</v>
          </cell>
          <cell r="O545" t="e">
            <v>#N/A</v>
          </cell>
          <cell r="Q545" t="e">
            <v>#N/A</v>
          </cell>
          <cell r="S545" t="e">
            <v>#N/A</v>
          </cell>
          <cell r="U545" t="e">
            <v>#N/A</v>
          </cell>
        </row>
        <row r="546">
          <cell r="D546" t="e">
            <v>#N/A</v>
          </cell>
          <cell r="H546" t="e">
            <v>#N/A</v>
          </cell>
          <cell r="I546" t="e">
            <v>#N/A</v>
          </cell>
          <cell r="J546" t="e">
            <v>#N/A</v>
          </cell>
          <cell r="L546" t="e">
            <v>#N/A</v>
          </cell>
          <cell r="M546" t="e">
            <v>#N/A</v>
          </cell>
          <cell r="N546" t="e">
            <v>#N/A</v>
          </cell>
          <cell r="O546" t="e">
            <v>#N/A</v>
          </cell>
          <cell r="Q546" t="e">
            <v>#N/A</v>
          </cell>
          <cell r="S546" t="e">
            <v>#N/A</v>
          </cell>
          <cell r="U546" t="e">
            <v>#N/A</v>
          </cell>
        </row>
        <row r="547">
          <cell r="D547" t="e">
            <v>#N/A</v>
          </cell>
          <cell r="H547" t="e">
            <v>#N/A</v>
          </cell>
          <cell r="I547" t="e">
            <v>#N/A</v>
          </cell>
          <cell r="J547" t="e">
            <v>#N/A</v>
          </cell>
          <cell r="L547" t="e">
            <v>#N/A</v>
          </cell>
          <cell r="M547" t="e">
            <v>#N/A</v>
          </cell>
          <cell r="N547" t="e">
            <v>#N/A</v>
          </cell>
          <cell r="O547" t="e">
            <v>#N/A</v>
          </cell>
          <cell r="Q547" t="e">
            <v>#N/A</v>
          </cell>
          <cell r="S547" t="e">
            <v>#N/A</v>
          </cell>
          <cell r="U547" t="e">
            <v>#N/A</v>
          </cell>
        </row>
        <row r="548">
          <cell r="D548" t="e">
            <v>#N/A</v>
          </cell>
          <cell r="H548" t="e">
            <v>#N/A</v>
          </cell>
          <cell r="I548" t="e">
            <v>#N/A</v>
          </cell>
          <cell r="J548" t="e">
            <v>#N/A</v>
          </cell>
          <cell r="L548" t="e">
            <v>#N/A</v>
          </cell>
          <cell r="M548" t="e">
            <v>#N/A</v>
          </cell>
          <cell r="N548" t="e">
            <v>#N/A</v>
          </cell>
          <cell r="O548" t="e">
            <v>#N/A</v>
          </cell>
          <cell r="Q548" t="e">
            <v>#N/A</v>
          </cell>
          <cell r="S548" t="e">
            <v>#N/A</v>
          </cell>
          <cell r="U548" t="e">
            <v>#N/A</v>
          </cell>
        </row>
        <row r="549">
          <cell r="D549" t="e">
            <v>#N/A</v>
          </cell>
          <cell r="H549" t="e">
            <v>#N/A</v>
          </cell>
          <cell r="I549" t="e">
            <v>#N/A</v>
          </cell>
          <cell r="J549" t="e">
            <v>#N/A</v>
          </cell>
          <cell r="L549" t="e">
            <v>#N/A</v>
          </cell>
          <cell r="M549" t="e">
            <v>#N/A</v>
          </cell>
          <cell r="N549" t="e">
            <v>#N/A</v>
          </cell>
          <cell r="O549" t="e">
            <v>#N/A</v>
          </cell>
          <cell r="Q549" t="e">
            <v>#N/A</v>
          </cell>
          <cell r="S549" t="e">
            <v>#N/A</v>
          </cell>
          <cell r="U549" t="e">
            <v>#N/A</v>
          </cell>
        </row>
        <row r="550">
          <cell r="D550" t="e">
            <v>#N/A</v>
          </cell>
          <cell r="H550" t="e">
            <v>#N/A</v>
          </cell>
          <cell r="I550" t="e">
            <v>#N/A</v>
          </cell>
          <cell r="J550" t="e">
            <v>#N/A</v>
          </cell>
          <cell r="L550" t="e">
            <v>#N/A</v>
          </cell>
          <cell r="M550" t="e">
            <v>#N/A</v>
          </cell>
          <cell r="N550" t="e">
            <v>#N/A</v>
          </cell>
          <cell r="O550" t="e">
            <v>#N/A</v>
          </cell>
          <cell r="Q550" t="e">
            <v>#N/A</v>
          </cell>
          <cell r="S550" t="e">
            <v>#N/A</v>
          </cell>
          <cell r="U550" t="e">
            <v>#N/A</v>
          </cell>
        </row>
        <row r="551">
          <cell r="D551" t="e">
            <v>#N/A</v>
          </cell>
          <cell r="H551" t="e">
            <v>#N/A</v>
          </cell>
          <cell r="I551" t="e">
            <v>#N/A</v>
          </cell>
          <cell r="J551" t="e">
            <v>#N/A</v>
          </cell>
          <cell r="L551" t="e">
            <v>#N/A</v>
          </cell>
          <cell r="M551" t="e">
            <v>#N/A</v>
          </cell>
          <cell r="N551" t="e">
            <v>#N/A</v>
          </cell>
          <cell r="O551" t="e">
            <v>#N/A</v>
          </cell>
          <cell r="Q551" t="e">
            <v>#N/A</v>
          </cell>
          <cell r="S551" t="e">
            <v>#N/A</v>
          </cell>
          <cell r="U551" t="e">
            <v>#N/A</v>
          </cell>
        </row>
        <row r="552">
          <cell r="D552" t="e">
            <v>#N/A</v>
          </cell>
          <cell r="H552" t="e">
            <v>#N/A</v>
          </cell>
          <cell r="I552" t="e">
            <v>#N/A</v>
          </cell>
          <cell r="J552" t="e">
            <v>#N/A</v>
          </cell>
          <cell r="L552" t="e">
            <v>#N/A</v>
          </cell>
          <cell r="M552" t="e">
            <v>#N/A</v>
          </cell>
          <cell r="N552" t="e">
            <v>#N/A</v>
          </cell>
          <cell r="O552" t="e">
            <v>#N/A</v>
          </cell>
          <cell r="Q552" t="e">
            <v>#N/A</v>
          </cell>
          <cell r="S552" t="e">
            <v>#N/A</v>
          </cell>
          <cell r="U552" t="e">
            <v>#N/A</v>
          </cell>
        </row>
        <row r="553">
          <cell r="D553" t="e">
            <v>#N/A</v>
          </cell>
          <cell r="H553" t="e">
            <v>#N/A</v>
          </cell>
          <cell r="I553" t="e">
            <v>#N/A</v>
          </cell>
          <cell r="J553" t="e">
            <v>#N/A</v>
          </cell>
          <cell r="L553" t="e">
            <v>#N/A</v>
          </cell>
          <cell r="M553" t="e">
            <v>#N/A</v>
          </cell>
          <cell r="N553" t="e">
            <v>#N/A</v>
          </cell>
          <cell r="O553" t="e">
            <v>#N/A</v>
          </cell>
          <cell r="Q553" t="e">
            <v>#N/A</v>
          </cell>
          <cell r="S553" t="e">
            <v>#N/A</v>
          </cell>
          <cell r="U553" t="e">
            <v>#N/A</v>
          </cell>
        </row>
        <row r="554">
          <cell r="D554" t="e">
            <v>#N/A</v>
          </cell>
          <cell r="H554" t="e">
            <v>#N/A</v>
          </cell>
          <cell r="I554" t="e">
            <v>#N/A</v>
          </cell>
          <cell r="J554" t="e">
            <v>#N/A</v>
          </cell>
          <cell r="L554" t="e">
            <v>#N/A</v>
          </cell>
          <cell r="M554" t="e">
            <v>#N/A</v>
          </cell>
          <cell r="N554" t="e">
            <v>#N/A</v>
          </cell>
          <cell r="O554" t="e">
            <v>#N/A</v>
          </cell>
          <cell r="Q554" t="e">
            <v>#N/A</v>
          </cell>
          <cell r="S554" t="e">
            <v>#N/A</v>
          </cell>
          <cell r="U554" t="e">
            <v>#N/A</v>
          </cell>
        </row>
        <row r="555">
          <cell r="D555" t="e">
            <v>#N/A</v>
          </cell>
          <cell r="H555" t="e">
            <v>#N/A</v>
          </cell>
          <cell r="I555" t="e">
            <v>#N/A</v>
          </cell>
          <cell r="J555" t="e">
            <v>#N/A</v>
          </cell>
          <cell r="L555" t="e">
            <v>#N/A</v>
          </cell>
          <cell r="M555" t="e">
            <v>#N/A</v>
          </cell>
          <cell r="N555" t="e">
            <v>#N/A</v>
          </cell>
          <cell r="O555" t="e">
            <v>#N/A</v>
          </cell>
          <cell r="Q555" t="e">
            <v>#N/A</v>
          </cell>
          <cell r="S555" t="e">
            <v>#N/A</v>
          </cell>
          <cell r="U555" t="e">
            <v>#N/A</v>
          </cell>
        </row>
        <row r="556">
          <cell r="D556" t="e">
            <v>#N/A</v>
          </cell>
          <cell r="H556" t="e">
            <v>#N/A</v>
          </cell>
          <cell r="I556" t="e">
            <v>#N/A</v>
          </cell>
          <cell r="J556" t="e">
            <v>#N/A</v>
          </cell>
          <cell r="L556" t="e">
            <v>#N/A</v>
          </cell>
          <cell r="M556" t="e">
            <v>#N/A</v>
          </cell>
          <cell r="N556" t="e">
            <v>#N/A</v>
          </cell>
          <cell r="O556" t="e">
            <v>#N/A</v>
          </cell>
          <cell r="Q556" t="e">
            <v>#N/A</v>
          </cell>
          <cell r="S556" t="e">
            <v>#N/A</v>
          </cell>
          <cell r="U556" t="e">
            <v>#N/A</v>
          </cell>
        </row>
        <row r="557">
          <cell r="D557" t="e">
            <v>#N/A</v>
          </cell>
          <cell r="H557" t="e">
            <v>#N/A</v>
          </cell>
          <cell r="I557" t="e">
            <v>#N/A</v>
          </cell>
          <cell r="J557" t="e">
            <v>#N/A</v>
          </cell>
          <cell r="L557" t="e">
            <v>#N/A</v>
          </cell>
          <cell r="M557" t="e">
            <v>#N/A</v>
          </cell>
          <cell r="N557" t="e">
            <v>#N/A</v>
          </cell>
          <cell r="O557" t="e">
            <v>#N/A</v>
          </cell>
          <cell r="Q557" t="e">
            <v>#N/A</v>
          </cell>
          <cell r="S557" t="e">
            <v>#N/A</v>
          </cell>
          <cell r="U557" t="e">
            <v>#N/A</v>
          </cell>
        </row>
        <row r="558">
          <cell r="D558" t="e">
            <v>#N/A</v>
          </cell>
          <cell r="H558" t="e">
            <v>#N/A</v>
          </cell>
          <cell r="I558" t="e">
            <v>#N/A</v>
          </cell>
          <cell r="J558" t="e">
            <v>#N/A</v>
          </cell>
          <cell r="L558" t="e">
            <v>#N/A</v>
          </cell>
          <cell r="M558" t="e">
            <v>#N/A</v>
          </cell>
          <cell r="N558" t="e">
            <v>#N/A</v>
          </cell>
          <cell r="O558" t="e">
            <v>#N/A</v>
          </cell>
          <cell r="Q558" t="e">
            <v>#N/A</v>
          </cell>
          <cell r="S558" t="e">
            <v>#N/A</v>
          </cell>
          <cell r="U558" t="e">
            <v>#N/A</v>
          </cell>
        </row>
        <row r="559">
          <cell r="D559" t="e">
            <v>#N/A</v>
          </cell>
          <cell r="H559" t="e">
            <v>#N/A</v>
          </cell>
          <cell r="I559" t="e">
            <v>#N/A</v>
          </cell>
          <cell r="J559" t="e">
            <v>#N/A</v>
          </cell>
          <cell r="L559" t="e">
            <v>#N/A</v>
          </cell>
          <cell r="M559" t="e">
            <v>#N/A</v>
          </cell>
          <cell r="N559" t="e">
            <v>#N/A</v>
          </cell>
          <cell r="O559" t="e">
            <v>#N/A</v>
          </cell>
          <cell r="Q559" t="e">
            <v>#N/A</v>
          </cell>
          <cell r="S559" t="e">
            <v>#N/A</v>
          </cell>
          <cell r="U559" t="e">
            <v>#N/A</v>
          </cell>
        </row>
        <row r="560">
          <cell r="D560" t="e">
            <v>#N/A</v>
          </cell>
          <cell r="H560" t="e">
            <v>#N/A</v>
          </cell>
          <cell r="I560" t="e">
            <v>#N/A</v>
          </cell>
          <cell r="J560" t="e">
            <v>#N/A</v>
          </cell>
          <cell r="L560" t="e">
            <v>#N/A</v>
          </cell>
          <cell r="M560" t="e">
            <v>#N/A</v>
          </cell>
          <cell r="N560" t="e">
            <v>#N/A</v>
          </cell>
          <cell r="O560" t="e">
            <v>#N/A</v>
          </cell>
          <cell r="Q560" t="e">
            <v>#N/A</v>
          </cell>
          <cell r="S560" t="e">
            <v>#N/A</v>
          </cell>
          <cell r="U560" t="e">
            <v>#N/A</v>
          </cell>
        </row>
        <row r="561">
          <cell r="D561" t="e">
            <v>#N/A</v>
          </cell>
          <cell r="H561" t="e">
            <v>#N/A</v>
          </cell>
          <cell r="I561" t="e">
            <v>#N/A</v>
          </cell>
          <cell r="J561" t="e">
            <v>#N/A</v>
          </cell>
          <cell r="L561" t="e">
            <v>#N/A</v>
          </cell>
          <cell r="M561" t="e">
            <v>#N/A</v>
          </cell>
          <cell r="N561" t="e">
            <v>#N/A</v>
          </cell>
          <cell r="O561" t="e">
            <v>#N/A</v>
          </cell>
          <cell r="Q561" t="e">
            <v>#N/A</v>
          </cell>
          <cell r="S561" t="e">
            <v>#N/A</v>
          </cell>
          <cell r="U561" t="e">
            <v>#N/A</v>
          </cell>
        </row>
        <row r="562">
          <cell r="D562" t="e">
            <v>#N/A</v>
          </cell>
          <cell r="H562" t="e">
            <v>#N/A</v>
          </cell>
          <cell r="I562" t="e">
            <v>#N/A</v>
          </cell>
          <cell r="J562" t="e">
            <v>#N/A</v>
          </cell>
          <cell r="L562" t="e">
            <v>#N/A</v>
          </cell>
          <cell r="M562" t="e">
            <v>#N/A</v>
          </cell>
          <cell r="N562" t="e">
            <v>#N/A</v>
          </cell>
          <cell r="O562" t="e">
            <v>#N/A</v>
          </cell>
          <cell r="Q562" t="e">
            <v>#N/A</v>
          </cell>
          <cell r="S562" t="e">
            <v>#N/A</v>
          </cell>
          <cell r="U562" t="e">
            <v>#N/A</v>
          </cell>
        </row>
        <row r="563">
          <cell r="D563" t="e">
            <v>#N/A</v>
          </cell>
          <cell r="H563" t="e">
            <v>#N/A</v>
          </cell>
          <cell r="I563" t="e">
            <v>#N/A</v>
          </cell>
          <cell r="J563" t="e">
            <v>#N/A</v>
          </cell>
          <cell r="L563" t="e">
            <v>#N/A</v>
          </cell>
          <cell r="M563" t="e">
            <v>#N/A</v>
          </cell>
          <cell r="N563" t="e">
            <v>#N/A</v>
          </cell>
          <cell r="O563" t="e">
            <v>#N/A</v>
          </cell>
          <cell r="Q563" t="e">
            <v>#N/A</v>
          </cell>
          <cell r="S563" t="e">
            <v>#N/A</v>
          </cell>
          <cell r="U563" t="e">
            <v>#N/A</v>
          </cell>
        </row>
        <row r="564">
          <cell r="D564" t="e">
            <v>#N/A</v>
          </cell>
          <cell r="H564" t="e">
            <v>#N/A</v>
          </cell>
          <cell r="I564" t="e">
            <v>#N/A</v>
          </cell>
          <cell r="J564" t="e">
            <v>#N/A</v>
          </cell>
          <cell r="L564" t="e">
            <v>#N/A</v>
          </cell>
          <cell r="M564" t="e">
            <v>#N/A</v>
          </cell>
          <cell r="N564" t="e">
            <v>#N/A</v>
          </cell>
          <cell r="O564" t="e">
            <v>#N/A</v>
          </cell>
          <cell r="Q564" t="e">
            <v>#N/A</v>
          </cell>
          <cell r="S564" t="e">
            <v>#N/A</v>
          </cell>
          <cell r="U564" t="e">
            <v>#N/A</v>
          </cell>
        </row>
        <row r="565">
          <cell r="D565" t="e">
            <v>#N/A</v>
          </cell>
          <cell r="H565" t="e">
            <v>#N/A</v>
          </cell>
          <cell r="I565" t="e">
            <v>#N/A</v>
          </cell>
          <cell r="J565" t="e">
            <v>#N/A</v>
          </cell>
          <cell r="L565" t="e">
            <v>#N/A</v>
          </cell>
          <cell r="M565" t="e">
            <v>#N/A</v>
          </cell>
          <cell r="N565" t="e">
            <v>#N/A</v>
          </cell>
          <cell r="O565" t="e">
            <v>#N/A</v>
          </cell>
          <cell r="Q565" t="e">
            <v>#N/A</v>
          </cell>
          <cell r="S565" t="e">
            <v>#N/A</v>
          </cell>
          <cell r="U565" t="e">
            <v>#N/A</v>
          </cell>
        </row>
        <row r="566">
          <cell r="D566" t="e">
            <v>#N/A</v>
          </cell>
          <cell r="H566" t="e">
            <v>#N/A</v>
          </cell>
          <cell r="I566" t="e">
            <v>#N/A</v>
          </cell>
          <cell r="J566" t="e">
            <v>#N/A</v>
          </cell>
          <cell r="L566" t="e">
            <v>#N/A</v>
          </cell>
          <cell r="M566" t="e">
            <v>#N/A</v>
          </cell>
          <cell r="N566" t="e">
            <v>#N/A</v>
          </cell>
          <cell r="O566" t="e">
            <v>#N/A</v>
          </cell>
          <cell r="Q566" t="e">
            <v>#N/A</v>
          </cell>
          <cell r="S566" t="e">
            <v>#N/A</v>
          </cell>
          <cell r="U566" t="e">
            <v>#N/A</v>
          </cell>
        </row>
        <row r="567">
          <cell r="D567" t="e">
            <v>#N/A</v>
          </cell>
          <cell r="H567" t="e">
            <v>#N/A</v>
          </cell>
          <cell r="I567" t="e">
            <v>#N/A</v>
          </cell>
          <cell r="J567" t="e">
            <v>#N/A</v>
          </cell>
          <cell r="L567" t="e">
            <v>#N/A</v>
          </cell>
          <cell r="M567" t="e">
            <v>#N/A</v>
          </cell>
          <cell r="N567" t="e">
            <v>#N/A</v>
          </cell>
          <cell r="O567" t="e">
            <v>#N/A</v>
          </cell>
          <cell r="Q567" t="e">
            <v>#N/A</v>
          </cell>
          <cell r="S567">
            <v>0</v>
          </cell>
          <cell r="U567" t="e">
            <v>#N/A</v>
          </cell>
        </row>
        <row r="568">
          <cell r="D568" t="e">
            <v>#N/A</v>
          </cell>
          <cell r="H568" t="e">
            <v>#N/A</v>
          </cell>
          <cell r="I568" t="e">
            <v>#N/A</v>
          </cell>
          <cell r="J568" t="e">
            <v>#N/A</v>
          </cell>
          <cell r="L568" t="e">
            <v>#N/A</v>
          </cell>
          <cell r="M568" t="e">
            <v>#N/A</v>
          </cell>
          <cell r="N568" t="e">
            <v>#N/A</v>
          </cell>
          <cell r="O568" t="e">
            <v>#N/A</v>
          </cell>
          <cell r="Q568" t="e">
            <v>#N/A</v>
          </cell>
          <cell r="S568">
            <v>0</v>
          </cell>
          <cell r="U568" t="e">
            <v>#N/A</v>
          </cell>
        </row>
        <row r="569">
          <cell r="D569" t="e">
            <v>#N/A</v>
          </cell>
          <cell r="H569" t="e">
            <v>#N/A</v>
          </cell>
          <cell r="I569" t="e">
            <v>#N/A</v>
          </cell>
          <cell r="J569" t="e">
            <v>#N/A</v>
          </cell>
          <cell r="L569" t="e">
            <v>#N/A</v>
          </cell>
          <cell r="M569" t="e">
            <v>#N/A</v>
          </cell>
          <cell r="N569" t="e">
            <v>#N/A</v>
          </cell>
          <cell r="O569" t="e">
            <v>#N/A</v>
          </cell>
          <cell r="Q569" t="e">
            <v>#N/A</v>
          </cell>
          <cell r="S569">
            <v>0</v>
          </cell>
          <cell r="U569" t="e">
            <v>#N/A</v>
          </cell>
        </row>
        <row r="570">
          <cell r="D570" t="e">
            <v>#N/A</v>
          </cell>
          <cell r="H570" t="e">
            <v>#N/A</v>
          </cell>
          <cell r="I570" t="e">
            <v>#N/A</v>
          </cell>
          <cell r="J570" t="e">
            <v>#N/A</v>
          </cell>
          <cell r="L570" t="e">
            <v>#N/A</v>
          </cell>
          <cell r="M570" t="e">
            <v>#N/A</v>
          </cell>
          <cell r="N570" t="e">
            <v>#N/A</v>
          </cell>
          <cell r="O570" t="e">
            <v>#N/A</v>
          </cell>
          <cell r="Q570" t="e">
            <v>#N/A</v>
          </cell>
          <cell r="S570">
            <v>0</v>
          </cell>
          <cell r="U570" t="e">
            <v>#N/A</v>
          </cell>
        </row>
        <row r="571">
          <cell r="D571" t="e">
            <v>#N/A</v>
          </cell>
          <cell r="H571" t="e">
            <v>#N/A</v>
          </cell>
          <cell r="I571" t="e">
            <v>#N/A</v>
          </cell>
          <cell r="J571" t="e">
            <v>#N/A</v>
          </cell>
          <cell r="L571" t="e">
            <v>#N/A</v>
          </cell>
          <cell r="M571" t="e">
            <v>#N/A</v>
          </cell>
          <cell r="N571" t="e">
            <v>#N/A</v>
          </cell>
          <cell r="O571" t="e">
            <v>#N/A</v>
          </cell>
          <cell r="Q571" t="e">
            <v>#N/A</v>
          </cell>
          <cell r="S571">
            <v>0</v>
          </cell>
          <cell r="U571" t="e">
            <v>#N/A</v>
          </cell>
        </row>
        <row r="572">
          <cell r="D572" t="e">
            <v>#N/A</v>
          </cell>
          <cell r="H572" t="e">
            <v>#N/A</v>
          </cell>
          <cell r="I572" t="e">
            <v>#N/A</v>
          </cell>
          <cell r="J572" t="e">
            <v>#N/A</v>
          </cell>
          <cell r="L572" t="e">
            <v>#N/A</v>
          </cell>
          <cell r="M572" t="e">
            <v>#N/A</v>
          </cell>
          <cell r="N572" t="e">
            <v>#N/A</v>
          </cell>
          <cell r="O572" t="e">
            <v>#N/A</v>
          </cell>
          <cell r="Q572" t="e">
            <v>#N/A</v>
          </cell>
          <cell r="S572">
            <v>0</v>
          </cell>
          <cell r="U572" t="e">
            <v>#N/A</v>
          </cell>
        </row>
        <row r="573">
          <cell r="D573" t="e">
            <v>#N/A</v>
          </cell>
          <cell r="H573" t="e">
            <v>#N/A</v>
          </cell>
          <cell r="I573" t="e">
            <v>#N/A</v>
          </cell>
          <cell r="J573" t="e">
            <v>#N/A</v>
          </cell>
          <cell r="L573" t="e">
            <v>#N/A</v>
          </cell>
          <cell r="M573" t="e">
            <v>#N/A</v>
          </cell>
          <cell r="N573" t="e">
            <v>#N/A</v>
          </cell>
          <cell r="O573" t="e">
            <v>#N/A</v>
          </cell>
          <cell r="Q573" t="e">
            <v>#N/A</v>
          </cell>
          <cell r="S573">
            <v>0</v>
          </cell>
          <cell r="U573" t="e">
            <v>#N/A</v>
          </cell>
        </row>
        <row r="574">
          <cell r="D574" t="e">
            <v>#N/A</v>
          </cell>
          <cell r="H574" t="e">
            <v>#N/A</v>
          </cell>
          <cell r="I574" t="e">
            <v>#N/A</v>
          </cell>
          <cell r="J574" t="e">
            <v>#N/A</v>
          </cell>
          <cell r="L574" t="e">
            <v>#N/A</v>
          </cell>
          <cell r="M574" t="e">
            <v>#N/A</v>
          </cell>
          <cell r="N574" t="e">
            <v>#N/A</v>
          </cell>
          <cell r="O574" t="e">
            <v>#N/A</v>
          </cell>
          <cell r="Q574" t="e">
            <v>#N/A</v>
          </cell>
          <cell r="S574">
            <v>0</v>
          </cell>
          <cell r="U574" t="e">
            <v>#N/A</v>
          </cell>
        </row>
        <row r="575">
          <cell r="D575" t="e">
            <v>#N/A</v>
          </cell>
          <cell r="H575" t="e">
            <v>#N/A</v>
          </cell>
          <cell r="I575" t="e">
            <v>#N/A</v>
          </cell>
          <cell r="J575" t="e">
            <v>#N/A</v>
          </cell>
          <cell r="L575" t="e">
            <v>#N/A</v>
          </cell>
          <cell r="M575" t="e">
            <v>#N/A</v>
          </cell>
          <cell r="N575" t="e">
            <v>#N/A</v>
          </cell>
          <cell r="O575" t="e">
            <v>#N/A</v>
          </cell>
          <cell r="Q575" t="e">
            <v>#N/A</v>
          </cell>
          <cell r="S575">
            <v>0</v>
          </cell>
          <cell r="U575" t="e">
            <v>#N/A</v>
          </cell>
        </row>
        <row r="576">
          <cell r="D576" t="e">
            <v>#N/A</v>
          </cell>
          <cell r="H576" t="e">
            <v>#N/A</v>
          </cell>
          <cell r="I576" t="e">
            <v>#N/A</v>
          </cell>
          <cell r="J576" t="e">
            <v>#N/A</v>
          </cell>
          <cell r="L576" t="e">
            <v>#N/A</v>
          </cell>
          <cell r="M576" t="e">
            <v>#N/A</v>
          </cell>
          <cell r="N576" t="e">
            <v>#N/A</v>
          </cell>
          <cell r="O576" t="e">
            <v>#N/A</v>
          </cell>
          <cell r="Q576" t="e">
            <v>#N/A</v>
          </cell>
          <cell r="S576">
            <v>0</v>
          </cell>
          <cell r="U576" t="e">
            <v>#N/A</v>
          </cell>
        </row>
        <row r="577">
          <cell r="D577" t="e">
            <v>#N/A</v>
          </cell>
          <cell r="H577" t="e">
            <v>#N/A</v>
          </cell>
          <cell r="I577" t="e">
            <v>#N/A</v>
          </cell>
          <cell r="J577" t="e">
            <v>#N/A</v>
          </cell>
          <cell r="L577" t="e">
            <v>#N/A</v>
          </cell>
          <cell r="M577" t="e">
            <v>#N/A</v>
          </cell>
          <cell r="N577" t="e">
            <v>#N/A</v>
          </cell>
          <cell r="O577" t="e">
            <v>#N/A</v>
          </cell>
          <cell r="Q577" t="e">
            <v>#N/A</v>
          </cell>
          <cell r="S577">
            <v>0</v>
          </cell>
          <cell r="U577">
            <v>0</v>
          </cell>
        </row>
        <row r="578">
          <cell r="D578" t="e">
            <v>#N/A</v>
          </cell>
          <cell r="H578" t="e">
            <v>#N/A</v>
          </cell>
          <cell r="I578" t="e">
            <v>#N/A</v>
          </cell>
          <cell r="J578" t="e">
            <v>#N/A</v>
          </cell>
          <cell r="L578" t="e">
            <v>#N/A</v>
          </cell>
          <cell r="M578" t="e">
            <v>#N/A</v>
          </cell>
          <cell r="N578" t="e">
            <v>#N/A</v>
          </cell>
          <cell r="O578" t="e">
            <v>#N/A</v>
          </cell>
          <cell r="Q578" t="e">
            <v>#N/A</v>
          </cell>
          <cell r="S578">
            <v>0</v>
          </cell>
          <cell r="U578">
            <v>0</v>
          </cell>
        </row>
        <row r="579">
          <cell r="D579" t="e">
            <v>#N/A</v>
          </cell>
          <cell r="H579" t="e">
            <v>#N/A</v>
          </cell>
          <cell r="I579" t="e">
            <v>#N/A</v>
          </cell>
          <cell r="J579" t="e">
            <v>#N/A</v>
          </cell>
          <cell r="L579" t="e">
            <v>#N/A</v>
          </cell>
          <cell r="M579" t="e">
            <v>#N/A</v>
          </cell>
          <cell r="N579" t="e">
            <v>#N/A</v>
          </cell>
          <cell r="O579" t="e">
            <v>#N/A</v>
          </cell>
          <cell r="Q579" t="e">
            <v>#N/A</v>
          </cell>
          <cell r="S579">
            <v>0</v>
          </cell>
          <cell r="U579">
            <v>0</v>
          </cell>
        </row>
        <row r="580">
          <cell r="D580" t="e">
            <v>#N/A</v>
          </cell>
          <cell r="H580" t="e">
            <v>#N/A</v>
          </cell>
          <cell r="I580" t="e">
            <v>#N/A</v>
          </cell>
          <cell r="J580" t="e">
            <v>#N/A</v>
          </cell>
          <cell r="L580" t="e">
            <v>#N/A</v>
          </cell>
          <cell r="M580" t="e">
            <v>#N/A</v>
          </cell>
          <cell r="N580" t="e">
            <v>#N/A</v>
          </cell>
          <cell r="O580" t="e">
            <v>#N/A</v>
          </cell>
          <cell r="Q580" t="e">
            <v>#N/A</v>
          </cell>
          <cell r="S580">
            <v>0</v>
          </cell>
          <cell r="U580">
            <v>0</v>
          </cell>
        </row>
        <row r="581">
          <cell r="D581" t="e">
            <v>#N/A</v>
          </cell>
          <cell r="H581" t="e">
            <v>#N/A</v>
          </cell>
          <cell r="I581" t="e">
            <v>#N/A</v>
          </cell>
          <cell r="J581" t="e">
            <v>#N/A</v>
          </cell>
          <cell r="L581" t="e">
            <v>#N/A</v>
          </cell>
          <cell r="M581" t="e">
            <v>#N/A</v>
          </cell>
          <cell r="N581" t="e">
            <v>#N/A</v>
          </cell>
          <cell r="O581" t="e">
            <v>#N/A</v>
          </cell>
          <cell r="Q581" t="e">
            <v>#N/A</v>
          </cell>
          <cell r="S581">
            <v>0</v>
          </cell>
          <cell r="U581">
            <v>0</v>
          </cell>
        </row>
        <row r="582">
          <cell r="D582" t="e">
            <v>#N/A</v>
          </cell>
          <cell r="H582" t="e">
            <v>#N/A</v>
          </cell>
          <cell r="I582" t="e">
            <v>#N/A</v>
          </cell>
          <cell r="J582" t="e">
            <v>#N/A</v>
          </cell>
          <cell r="L582" t="e">
            <v>#N/A</v>
          </cell>
          <cell r="M582" t="e">
            <v>#N/A</v>
          </cell>
          <cell r="N582" t="e">
            <v>#N/A</v>
          </cell>
          <cell r="O582" t="e">
            <v>#N/A</v>
          </cell>
          <cell r="Q582" t="e">
            <v>#N/A</v>
          </cell>
          <cell r="S582">
            <v>0</v>
          </cell>
          <cell r="U582">
            <v>0</v>
          </cell>
        </row>
        <row r="583">
          <cell r="D583" t="e">
            <v>#N/A</v>
          </cell>
          <cell r="H583" t="e">
            <v>#N/A</v>
          </cell>
          <cell r="I583" t="e">
            <v>#N/A</v>
          </cell>
          <cell r="J583" t="e">
            <v>#N/A</v>
          </cell>
          <cell r="L583" t="e">
            <v>#N/A</v>
          </cell>
          <cell r="M583" t="e">
            <v>#N/A</v>
          </cell>
          <cell r="N583" t="e">
            <v>#N/A</v>
          </cell>
          <cell r="O583" t="e">
            <v>#N/A</v>
          </cell>
          <cell r="Q583" t="e">
            <v>#N/A</v>
          </cell>
          <cell r="S583">
            <v>0</v>
          </cell>
          <cell r="U583">
            <v>0</v>
          </cell>
        </row>
        <row r="584">
          <cell r="D584" t="e">
            <v>#N/A</v>
          </cell>
          <cell r="H584" t="e">
            <v>#N/A</v>
          </cell>
          <cell r="I584" t="e">
            <v>#N/A</v>
          </cell>
          <cell r="J584" t="e">
            <v>#N/A</v>
          </cell>
          <cell r="L584" t="e">
            <v>#N/A</v>
          </cell>
          <cell r="M584" t="e">
            <v>#N/A</v>
          </cell>
          <cell r="N584" t="e">
            <v>#N/A</v>
          </cell>
          <cell r="O584" t="e">
            <v>#N/A</v>
          </cell>
          <cell r="Q584" t="e">
            <v>#N/A</v>
          </cell>
          <cell r="S584">
            <v>0</v>
          </cell>
          <cell r="U584">
            <v>0</v>
          </cell>
        </row>
        <row r="585">
          <cell r="D585" t="e">
            <v>#N/A</v>
          </cell>
          <cell r="H585" t="e">
            <v>#N/A</v>
          </cell>
          <cell r="I585" t="e">
            <v>#N/A</v>
          </cell>
          <cell r="J585" t="e">
            <v>#N/A</v>
          </cell>
          <cell r="L585" t="e">
            <v>#N/A</v>
          </cell>
          <cell r="M585" t="e">
            <v>#N/A</v>
          </cell>
          <cell r="N585" t="e">
            <v>#N/A</v>
          </cell>
          <cell r="O585" t="e">
            <v>#N/A</v>
          </cell>
          <cell r="Q585" t="e">
            <v>#N/A</v>
          </cell>
          <cell r="S585">
            <v>0</v>
          </cell>
          <cell r="U585">
            <v>0</v>
          </cell>
        </row>
        <row r="586">
          <cell r="D586" t="e">
            <v>#N/A</v>
          </cell>
          <cell r="H586" t="e">
            <v>#N/A</v>
          </cell>
          <cell r="I586" t="e">
            <v>#N/A</v>
          </cell>
          <cell r="J586" t="e">
            <v>#N/A</v>
          </cell>
          <cell r="L586" t="e">
            <v>#N/A</v>
          </cell>
          <cell r="M586" t="e">
            <v>#N/A</v>
          </cell>
          <cell r="N586" t="e">
            <v>#N/A</v>
          </cell>
          <cell r="O586" t="e">
            <v>#N/A</v>
          </cell>
          <cell r="Q586" t="e">
            <v>#N/A</v>
          </cell>
          <cell r="S586">
            <v>0</v>
          </cell>
          <cell r="U586">
            <v>0</v>
          </cell>
        </row>
        <row r="587">
          <cell r="D587" t="e">
            <v>#N/A</v>
          </cell>
          <cell r="H587" t="e">
            <v>#N/A</v>
          </cell>
          <cell r="I587" t="e">
            <v>#N/A</v>
          </cell>
          <cell r="J587" t="e">
            <v>#N/A</v>
          </cell>
          <cell r="L587" t="e">
            <v>#N/A</v>
          </cell>
          <cell r="M587" t="e">
            <v>#N/A</v>
          </cell>
          <cell r="N587" t="e">
            <v>#N/A</v>
          </cell>
          <cell r="O587" t="e">
            <v>#N/A</v>
          </cell>
          <cell r="Q587" t="e">
            <v>#N/A</v>
          </cell>
          <cell r="S587">
            <v>0</v>
          </cell>
          <cell r="U587">
            <v>0</v>
          </cell>
        </row>
        <row r="588">
          <cell r="D588" t="e">
            <v>#N/A</v>
          </cell>
          <cell r="H588" t="e">
            <v>#N/A</v>
          </cell>
          <cell r="I588" t="e">
            <v>#N/A</v>
          </cell>
          <cell r="J588" t="e">
            <v>#N/A</v>
          </cell>
          <cell r="L588" t="e">
            <v>#N/A</v>
          </cell>
          <cell r="M588" t="e">
            <v>#N/A</v>
          </cell>
          <cell r="N588" t="e">
            <v>#N/A</v>
          </cell>
          <cell r="O588" t="e">
            <v>#N/A</v>
          </cell>
          <cell r="Q588" t="e">
            <v>#N/A</v>
          </cell>
          <cell r="S588">
            <v>0</v>
          </cell>
          <cell r="U588">
            <v>0</v>
          </cell>
        </row>
        <row r="589">
          <cell r="D589" t="e">
            <v>#N/A</v>
          </cell>
          <cell r="H589" t="e">
            <v>#N/A</v>
          </cell>
          <cell r="I589" t="e">
            <v>#N/A</v>
          </cell>
          <cell r="J589" t="e">
            <v>#N/A</v>
          </cell>
          <cell r="L589" t="e">
            <v>#N/A</v>
          </cell>
          <cell r="M589" t="e">
            <v>#N/A</v>
          </cell>
          <cell r="N589" t="e">
            <v>#N/A</v>
          </cell>
          <cell r="O589" t="e">
            <v>#N/A</v>
          </cell>
          <cell r="Q589" t="e">
            <v>#N/A</v>
          </cell>
          <cell r="S589">
            <v>0</v>
          </cell>
          <cell r="U589">
            <v>0</v>
          </cell>
        </row>
        <row r="590">
          <cell r="D590" t="e">
            <v>#N/A</v>
          </cell>
          <cell r="H590" t="e">
            <v>#N/A</v>
          </cell>
          <cell r="I590" t="e">
            <v>#N/A</v>
          </cell>
          <cell r="J590" t="e">
            <v>#N/A</v>
          </cell>
          <cell r="L590">
            <v>0</v>
          </cell>
          <cell r="M590" t="e">
            <v>#N/A</v>
          </cell>
          <cell r="N590" t="e">
            <v>#N/A</v>
          </cell>
          <cell r="O590">
            <v>0</v>
          </cell>
          <cell r="Q590">
            <v>0</v>
          </cell>
          <cell r="S590">
            <v>0</v>
          </cell>
          <cell r="U590">
            <v>0</v>
          </cell>
        </row>
        <row r="591">
          <cell r="D591" t="e">
            <v>#N/A</v>
          </cell>
          <cell r="H591" t="e">
            <v>#N/A</v>
          </cell>
          <cell r="I591" t="e">
            <v>#N/A</v>
          </cell>
          <cell r="J591" t="e">
            <v>#N/A</v>
          </cell>
          <cell r="L591">
            <v>0</v>
          </cell>
          <cell r="M591" t="e">
            <v>#N/A</v>
          </cell>
          <cell r="N591" t="e">
            <v>#N/A</v>
          </cell>
          <cell r="O591">
            <v>0</v>
          </cell>
          <cell r="Q591">
            <v>0</v>
          </cell>
          <cell r="S591">
            <v>0</v>
          </cell>
          <cell r="U591">
            <v>0</v>
          </cell>
        </row>
        <row r="592">
          <cell r="D592" t="e">
            <v>#N/A</v>
          </cell>
          <cell r="H592" t="e">
            <v>#N/A</v>
          </cell>
          <cell r="I592" t="e">
            <v>#N/A</v>
          </cell>
          <cell r="J592" t="e">
            <v>#N/A</v>
          </cell>
          <cell r="L592">
            <v>0</v>
          </cell>
          <cell r="M592" t="e">
            <v>#N/A</v>
          </cell>
          <cell r="N592" t="e">
            <v>#N/A</v>
          </cell>
          <cell r="O592">
            <v>0</v>
          </cell>
          <cell r="Q592">
            <v>0</v>
          </cell>
          <cell r="S592">
            <v>0</v>
          </cell>
          <cell r="U592">
            <v>0</v>
          </cell>
        </row>
        <row r="593">
          <cell r="D593" t="e">
            <v>#N/A</v>
          </cell>
          <cell r="H593" t="e">
            <v>#N/A</v>
          </cell>
          <cell r="I593" t="e">
            <v>#N/A</v>
          </cell>
          <cell r="J593" t="e">
            <v>#N/A</v>
          </cell>
          <cell r="L593">
            <v>0</v>
          </cell>
          <cell r="M593" t="e">
            <v>#N/A</v>
          </cell>
          <cell r="N593" t="e">
            <v>#N/A</v>
          </cell>
          <cell r="O593">
            <v>0</v>
          </cell>
          <cell r="Q593">
            <v>0</v>
          </cell>
          <cell r="S593">
            <v>0</v>
          </cell>
          <cell r="U593">
            <v>0</v>
          </cell>
        </row>
        <row r="594">
          <cell r="D594" t="e">
            <v>#N/A</v>
          </cell>
          <cell r="H594" t="e">
            <v>#N/A</v>
          </cell>
          <cell r="I594" t="e">
            <v>#N/A</v>
          </cell>
          <cell r="J594" t="e">
            <v>#N/A</v>
          </cell>
          <cell r="L594">
            <v>0</v>
          </cell>
          <cell r="M594" t="e">
            <v>#N/A</v>
          </cell>
          <cell r="N594" t="e">
            <v>#N/A</v>
          </cell>
          <cell r="O594">
            <v>0</v>
          </cell>
          <cell r="Q594">
            <v>0</v>
          </cell>
          <cell r="S594">
            <v>0</v>
          </cell>
          <cell r="U594">
            <v>0</v>
          </cell>
        </row>
        <row r="595">
          <cell r="D595" t="e">
            <v>#N/A</v>
          </cell>
          <cell r="H595" t="e">
            <v>#N/A</v>
          </cell>
          <cell r="I595" t="e">
            <v>#N/A</v>
          </cell>
          <cell r="J595" t="e">
            <v>#N/A</v>
          </cell>
          <cell r="L595">
            <v>0</v>
          </cell>
          <cell r="M595" t="e">
            <v>#N/A</v>
          </cell>
          <cell r="N595" t="e">
            <v>#N/A</v>
          </cell>
          <cell r="O595">
            <v>0</v>
          </cell>
          <cell r="Q595">
            <v>0</v>
          </cell>
          <cell r="S595">
            <v>0</v>
          </cell>
          <cell r="U595">
            <v>0</v>
          </cell>
        </row>
        <row r="596">
          <cell r="D596" t="e">
            <v>#N/A</v>
          </cell>
          <cell r="H596" t="e">
            <v>#N/A</v>
          </cell>
          <cell r="I596" t="e">
            <v>#N/A</v>
          </cell>
          <cell r="J596" t="e">
            <v>#N/A</v>
          </cell>
          <cell r="L596">
            <v>0</v>
          </cell>
          <cell r="M596" t="e">
            <v>#N/A</v>
          </cell>
          <cell r="N596" t="e">
            <v>#N/A</v>
          </cell>
          <cell r="O596">
            <v>0</v>
          </cell>
          <cell r="Q596">
            <v>0</v>
          </cell>
          <cell r="S596">
            <v>0</v>
          </cell>
          <cell r="U596">
            <v>0</v>
          </cell>
        </row>
        <row r="597">
          <cell r="D597" t="e">
            <v>#N/A</v>
          </cell>
          <cell r="H597" t="e">
            <v>#N/A</v>
          </cell>
          <cell r="I597" t="e">
            <v>#N/A</v>
          </cell>
          <cell r="J597" t="e">
            <v>#N/A</v>
          </cell>
          <cell r="L597">
            <v>0</v>
          </cell>
          <cell r="M597" t="e">
            <v>#N/A</v>
          </cell>
          <cell r="N597" t="e">
            <v>#N/A</v>
          </cell>
          <cell r="O597">
            <v>0</v>
          </cell>
          <cell r="Q597">
            <v>0</v>
          </cell>
          <cell r="S597">
            <v>0</v>
          </cell>
          <cell r="U597">
            <v>0</v>
          </cell>
        </row>
        <row r="598">
          <cell r="D598" t="e">
            <v>#N/A</v>
          </cell>
          <cell r="H598" t="e">
            <v>#N/A</v>
          </cell>
          <cell r="I598" t="e">
            <v>#N/A</v>
          </cell>
          <cell r="J598" t="e">
            <v>#N/A</v>
          </cell>
          <cell r="L598">
            <v>0</v>
          </cell>
          <cell r="M598" t="e">
            <v>#N/A</v>
          </cell>
          <cell r="N598" t="e">
            <v>#N/A</v>
          </cell>
          <cell r="O598">
            <v>0</v>
          </cell>
          <cell r="Q598">
            <v>0</v>
          </cell>
          <cell r="S598">
            <v>0</v>
          </cell>
          <cell r="U598">
            <v>0</v>
          </cell>
        </row>
        <row r="599">
          <cell r="D599" t="e">
            <v>#N/A</v>
          </cell>
          <cell r="H599" t="e">
            <v>#N/A</v>
          </cell>
          <cell r="I599" t="e">
            <v>#N/A</v>
          </cell>
          <cell r="J599" t="e">
            <v>#N/A</v>
          </cell>
          <cell r="L599">
            <v>0</v>
          </cell>
          <cell r="M599" t="e">
            <v>#N/A</v>
          </cell>
          <cell r="N599" t="e">
            <v>#N/A</v>
          </cell>
          <cell r="O599">
            <v>0</v>
          </cell>
          <cell r="Q599">
            <v>0</v>
          </cell>
          <cell r="S599">
            <v>0</v>
          </cell>
          <cell r="U599">
            <v>0</v>
          </cell>
        </row>
        <row r="600">
          <cell r="D600" t="e">
            <v>#N/A</v>
          </cell>
          <cell r="H600" t="e">
            <v>#N/A</v>
          </cell>
          <cell r="I600" t="e">
            <v>#N/A</v>
          </cell>
          <cell r="J600" t="e">
            <v>#N/A</v>
          </cell>
          <cell r="L600">
            <v>0</v>
          </cell>
          <cell r="M600" t="e">
            <v>#N/A</v>
          </cell>
          <cell r="N600" t="e">
            <v>#N/A</v>
          </cell>
          <cell r="O600">
            <v>0</v>
          </cell>
          <cell r="Q600">
            <v>0</v>
          </cell>
          <cell r="S600">
            <v>0</v>
          </cell>
          <cell r="U600">
            <v>0</v>
          </cell>
        </row>
        <row r="601">
          <cell r="D601" t="e">
            <v>#N/A</v>
          </cell>
          <cell r="H601" t="e">
            <v>#N/A</v>
          </cell>
          <cell r="I601" t="e">
            <v>#N/A</v>
          </cell>
          <cell r="J601" t="e">
            <v>#N/A</v>
          </cell>
          <cell r="L601">
            <v>0</v>
          </cell>
          <cell r="M601" t="e">
            <v>#N/A</v>
          </cell>
          <cell r="N601" t="e">
            <v>#N/A</v>
          </cell>
          <cell r="O601">
            <v>0</v>
          </cell>
          <cell r="Q601">
            <v>0</v>
          </cell>
          <cell r="S601">
            <v>0</v>
          </cell>
          <cell r="U601">
            <v>0</v>
          </cell>
        </row>
        <row r="602">
          <cell r="D602" t="e">
            <v>#N/A</v>
          </cell>
          <cell r="H602" t="e">
            <v>#N/A</v>
          </cell>
          <cell r="I602" t="e">
            <v>#N/A</v>
          </cell>
          <cell r="J602" t="e">
            <v>#N/A</v>
          </cell>
          <cell r="L602">
            <v>0</v>
          </cell>
          <cell r="M602" t="e">
            <v>#N/A</v>
          </cell>
          <cell r="N602" t="e">
            <v>#N/A</v>
          </cell>
          <cell r="O602">
            <v>0</v>
          </cell>
          <cell r="Q602">
            <v>0</v>
          </cell>
          <cell r="S602">
            <v>0</v>
          </cell>
          <cell r="U602">
            <v>0</v>
          </cell>
        </row>
        <row r="603">
          <cell r="D603" t="e">
            <v>#N/A</v>
          </cell>
          <cell r="H603" t="e">
            <v>#N/A</v>
          </cell>
          <cell r="I603" t="e">
            <v>#N/A</v>
          </cell>
          <cell r="J603" t="e">
            <v>#N/A</v>
          </cell>
          <cell r="L603">
            <v>0</v>
          </cell>
          <cell r="M603" t="e">
            <v>#N/A</v>
          </cell>
          <cell r="N603" t="e">
            <v>#N/A</v>
          </cell>
          <cell r="O603">
            <v>0</v>
          </cell>
          <cell r="Q603">
            <v>0</v>
          </cell>
          <cell r="S603">
            <v>0</v>
          </cell>
          <cell r="U603">
            <v>0</v>
          </cell>
        </row>
        <row r="604">
          <cell r="D604" t="e">
            <v>#N/A</v>
          </cell>
          <cell r="H604" t="e">
            <v>#N/A</v>
          </cell>
          <cell r="I604" t="e">
            <v>#N/A</v>
          </cell>
          <cell r="J604" t="e">
            <v>#N/A</v>
          </cell>
          <cell r="L604">
            <v>0</v>
          </cell>
          <cell r="M604" t="e">
            <v>#N/A</v>
          </cell>
          <cell r="N604" t="e">
            <v>#N/A</v>
          </cell>
          <cell r="O604">
            <v>0</v>
          </cell>
          <cell r="Q604">
            <v>0</v>
          </cell>
          <cell r="S604">
            <v>0</v>
          </cell>
          <cell r="U604">
            <v>0</v>
          </cell>
        </row>
        <row r="605">
          <cell r="D605" t="e">
            <v>#N/A</v>
          </cell>
          <cell r="H605" t="e">
            <v>#N/A</v>
          </cell>
          <cell r="I605" t="e">
            <v>#N/A</v>
          </cell>
          <cell r="J605" t="e">
            <v>#N/A</v>
          </cell>
          <cell r="L605">
            <v>0</v>
          </cell>
          <cell r="M605" t="e">
            <v>#N/A</v>
          </cell>
          <cell r="N605" t="e">
            <v>#N/A</v>
          </cell>
          <cell r="O605">
            <v>0</v>
          </cell>
          <cell r="Q605">
            <v>0</v>
          </cell>
          <cell r="S605">
            <v>0</v>
          </cell>
          <cell r="U605">
            <v>0</v>
          </cell>
        </row>
        <row r="606">
          <cell r="D606" t="e">
            <v>#N/A</v>
          </cell>
          <cell r="H606" t="e">
            <v>#N/A</v>
          </cell>
          <cell r="I606" t="e">
            <v>#N/A</v>
          </cell>
          <cell r="J606" t="e">
            <v>#N/A</v>
          </cell>
          <cell r="L606">
            <v>0</v>
          </cell>
          <cell r="M606" t="e">
            <v>#N/A</v>
          </cell>
          <cell r="N606" t="e">
            <v>#N/A</v>
          </cell>
          <cell r="O606">
            <v>0</v>
          </cell>
          <cell r="Q606">
            <v>0</v>
          </cell>
          <cell r="S606">
            <v>0</v>
          </cell>
          <cell r="U606">
            <v>0</v>
          </cell>
        </row>
        <row r="607">
          <cell r="D607" t="e">
            <v>#N/A</v>
          </cell>
          <cell r="H607" t="e">
            <v>#N/A</v>
          </cell>
          <cell r="I607" t="e">
            <v>#N/A</v>
          </cell>
          <cell r="J607" t="e">
            <v>#N/A</v>
          </cell>
          <cell r="L607">
            <v>0</v>
          </cell>
          <cell r="M607" t="e">
            <v>#N/A</v>
          </cell>
          <cell r="N607" t="e">
            <v>#N/A</v>
          </cell>
          <cell r="O607">
            <v>0</v>
          </cell>
          <cell r="Q607">
            <v>0</v>
          </cell>
          <cell r="S607">
            <v>0</v>
          </cell>
          <cell r="U607">
            <v>0</v>
          </cell>
        </row>
        <row r="608">
          <cell r="D608" t="e">
            <v>#N/A</v>
          </cell>
          <cell r="H608" t="e">
            <v>#N/A</v>
          </cell>
          <cell r="I608" t="e">
            <v>#N/A</v>
          </cell>
          <cell r="J608" t="e">
            <v>#N/A</v>
          </cell>
          <cell r="L608">
            <v>0</v>
          </cell>
          <cell r="M608" t="e">
            <v>#N/A</v>
          </cell>
          <cell r="N608" t="e">
            <v>#N/A</v>
          </cell>
          <cell r="O608">
            <v>0</v>
          </cell>
          <cell r="Q608">
            <v>0</v>
          </cell>
          <cell r="S608">
            <v>0</v>
          </cell>
          <cell r="U608">
            <v>0</v>
          </cell>
        </row>
        <row r="609">
          <cell r="D609" t="e">
            <v>#N/A</v>
          </cell>
          <cell r="H609" t="e">
            <v>#N/A</v>
          </cell>
          <cell r="I609" t="e">
            <v>#N/A</v>
          </cell>
          <cell r="J609" t="e">
            <v>#N/A</v>
          </cell>
          <cell r="L609">
            <v>0</v>
          </cell>
          <cell r="M609" t="e">
            <v>#N/A</v>
          </cell>
          <cell r="N609" t="e">
            <v>#N/A</v>
          </cell>
          <cell r="O609">
            <v>0</v>
          </cell>
          <cell r="Q609">
            <v>0</v>
          </cell>
          <cell r="S609">
            <v>0</v>
          </cell>
          <cell r="U609">
            <v>0</v>
          </cell>
        </row>
        <row r="610">
          <cell r="D610" t="e">
            <v>#N/A</v>
          </cell>
          <cell r="H610" t="e">
            <v>#N/A</v>
          </cell>
          <cell r="I610" t="e">
            <v>#N/A</v>
          </cell>
          <cell r="J610" t="e">
            <v>#N/A</v>
          </cell>
          <cell r="L610">
            <v>0</v>
          </cell>
          <cell r="M610" t="e">
            <v>#N/A</v>
          </cell>
          <cell r="N610" t="e">
            <v>#N/A</v>
          </cell>
          <cell r="O610">
            <v>0</v>
          </cell>
          <cell r="Q610">
            <v>0</v>
          </cell>
          <cell r="S610">
            <v>0</v>
          </cell>
          <cell r="U610">
            <v>0</v>
          </cell>
        </row>
        <row r="611">
          <cell r="D611" t="e">
            <v>#N/A</v>
          </cell>
          <cell r="H611" t="e">
            <v>#N/A</v>
          </cell>
          <cell r="I611" t="e">
            <v>#N/A</v>
          </cell>
          <cell r="J611" t="e">
            <v>#N/A</v>
          </cell>
          <cell r="L611">
            <v>0</v>
          </cell>
          <cell r="M611" t="e">
            <v>#N/A</v>
          </cell>
          <cell r="N611" t="e">
            <v>#N/A</v>
          </cell>
          <cell r="O611">
            <v>0</v>
          </cell>
          <cell r="Q611">
            <v>0</v>
          </cell>
          <cell r="S611">
            <v>0</v>
          </cell>
          <cell r="U611">
            <v>0</v>
          </cell>
        </row>
        <row r="612">
          <cell r="D612" t="e">
            <v>#N/A</v>
          </cell>
          <cell r="H612" t="e">
            <v>#N/A</v>
          </cell>
          <cell r="I612" t="e">
            <v>#N/A</v>
          </cell>
          <cell r="J612" t="e">
            <v>#N/A</v>
          </cell>
          <cell r="L612">
            <v>0</v>
          </cell>
          <cell r="M612" t="e">
            <v>#N/A</v>
          </cell>
          <cell r="N612" t="e">
            <v>#N/A</v>
          </cell>
          <cell r="O612">
            <v>0</v>
          </cell>
          <cell r="Q612">
            <v>0</v>
          </cell>
          <cell r="S612">
            <v>0</v>
          </cell>
          <cell r="U612">
            <v>0</v>
          </cell>
        </row>
        <row r="613">
          <cell r="D613" t="e">
            <v>#N/A</v>
          </cell>
          <cell r="H613" t="e">
            <v>#N/A</v>
          </cell>
          <cell r="I613" t="e">
            <v>#N/A</v>
          </cell>
          <cell r="J613" t="e">
            <v>#N/A</v>
          </cell>
          <cell r="L613">
            <v>0</v>
          </cell>
          <cell r="M613" t="e">
            <v>#N/A</v>
          </cell>
          <cell r="N613" t="e">
            <v>#N/A</v>
          </cell>
          <cell r="O613">
            <v>0</v>
          </cell>
          <cell r="Q613">
            <v>0</v>
          </cell>
          <cell r="S613">
            <v>0</v>
          </cell>
          <cell r="U613">
            <v>0</v>
          </cell>
        </row>
        <row r="614">
          <cell r="D614" t="e">
            <v>#N/A</v>
          </cell>
          <cell r="H614" t="e">
            <v>#N/A</v>
          </cell>
          <cell r="I614" t="e">
            <v>#N/A</v>
          </cell>
          <cell r="J614" t="e">
            <v>#N/A</v>
          </cell>
          <cell r="L614">
            <v>0</v>
          </cell>
          <cell r="M614" t="e">
            <v>#N/A</v>
          </cell>
          <cell r="N614" t="e">
            <v>#N/A</v>
          </cell>
          <cell r="O614">
            <v>0</v>
          </cell>
          <cell r="Q614">
            <v>0</v>
          </cell>
          <cell r="S614">
            <v>0</v>
          </cell>
          <cell r="U614">
            <v>0</v>
          </cell>
        </row>
        <row r="615">
          <cell r="D615" t="e">
            <v>#N/A</v>
          </cell>
          <cell r="H615" t="e">
            <v>#N/A</v>
          </cell>
          <cell r="I615" t="e">
            <v>#N/A</v>
          </cell>
          <cell r="J615" t="e">
            <v>#N/A</v>
          </cell>
          <cell r="L615">
            <v>0</v>
          </cell>
          <cell r="M615" t="e">
            <v>#N/A</v>
          </cell>
          <cell r="N615" t="e">
            <v>#N/A</v>
          </cell>
          <cell r="O615">
            <v>0</v>
          </cell>
          <cell r="Q615">
            <v>0</v>
          </cell>
          <cell r="S615">
            <v>0</v>
          </cell>
          <cell r="U615">
            <v>0</v>
          </cell>
        </row>
        <row r="616">
          <cell r="D616" t="e">
            <v>#N/A</v>
          </cell>
          <cell r="H616" t="e">
            <v>#N/A</v>
          </cell>
          <cell r="I616" t="e">
            <v>#N/A</v>
          </cell>
          <cell r="J616" t="e">
            <v>#N/A</v>
          </cell>
          <cell r="L616">
            <v>0</v>
          </cell>
          <cell r="M616" t="e">
            <v>#N/A</v>
          </cell>
          <cell r="N616" t="e">
            <v>#N/A</v>
          </cell>
          <cell r="O616">
            <v>0</v>
          </cell>
          <cell r="Q616">
            <v>0</v>
          </cell>
          <cell r="S616">
            <v>0</v>
          </cell>
          <cell r="U616">
            <v>0</v>
          </cell>
        </row>
        <row r="617">
          <cell r="D617" t="e">
            <v>#N/A</v>
          </cell>
          <cell r="H617" t="e">
            <v>#N/A</v>
          </cell>
          <cell r="I617" t="e">
            <v>#N/A</v>
          </cell>
          <cell r="J617" t="e">
            <v>#N/A</v>
          </cell>
          <cell r="L617">
            <v>0</v>
          </cell>
          <cell r="M617" t="e">
            <v>#N/A</v>
          </cell>
          <cell r="N617" t="e">
            <v>#N/A</v>
          </cell>
          <cell r="O617">
            <v>0</v>
          </cell>
          <cell r="Q617">
            <v>0</v>
          </cell>
          <cell r="S617">
            <v>0</v>
          </cell>
          <cell r="U617">
            <v>0</v>
          </cell>
        </row>
        <row r="618">
          <cell r="D618" t="e">
            <v>#N/A</v>
          </cell>
          <cell r="H618" t="e">
            <v>#N/A</v>
          </cell>
          <cell r="I618" t="e">
            <v>#N/A</v>
          </cell>
          <cell r="J618" t="e">
            <v>#N/A</v>
          </cell>
          <cell r="L618">
            <v>0</v>
          </cell>
          <cell r="M618" t="e">
            <v>#N/A</v>
          </cell>
          <cell r="N618" t="e">
            <v>#N/A</v>
          </cell>
          <cell r="O618">
            <v>0</v>
          </cell>
          <cell r="Q618">
            <v>0</v>
          </cell>
          <cell r="S618">
            <v>0</v>
          </cell>
          <cell r="U618">
            <v>0</v>
          </cell>
        </row>
        <row r="619">
          <cell r="D619" t="e">
            <v>#N/A</v>
          </cell>
          <cell r="H619" t="e">
            <v>#N/A</v>
          </cell>
          <cell r="I619" t="e">
            <v>#N/A</v>
          </cell>
          <cell r="J619" t="e">
            <v>#N/A</v>
          </cell>
          <cell r="L619">
            <v>0</v>
          </cell>
          <cell r="M619" t="e">
            <v>#N/A</v>
          </cell>
          <cell r="N619" t="e">
            <v>#N/A</v>
          </cell>
          <cell r="O619">
            <v>0</v>
          </cell>
          <cell r="Q619">
            <v>0</v>
          </cell>
          <cell r="S619">
            <v>0</v>
          </cell>
          <cell r="U619">
            <v>0</v>
          </cell>
        </row>
        <row r="620">
          <cell r="D620" t="e">
            <v>#N/A</v>
          </cell>
          <cell r="H620" t="e">
            <v>#N/A</v>
          </cell>
          <cell r="I620" t="e">
            <v>#N/A</v>
          </cell>
          <cell r="J620" t="e">
            <v>#N/A</v>
          </cell>
          <cell r="L620">
            <v>0</v>
          </cell>
          <cell r="M620" t="e">
            <v>#N/A</v>
          </cell>
          <cell r="N620" t="e">
            <v>#N/A</v>
          </cell>
          <cell r="O620">
            <v>0</v>
          </cell>
          <cell r="Q620">
            <v>0</v>
          </cell>
          <cell r="S620">
            <v>0</v>
          </cell>
          <cell r="U620">
            <v>0</v>
          </cell>
        </row>
        <row r="621">
          <cell r="D621" t="e">
            <v>#N/A</v>
          </cell>
          <cell r="H621" t="e">
            <v>#N/A</v>
          </cell>
          <cell r="I621" t="e">
            <v>#N/A</v>
          </cell>
          <cell r="J621" t="e">
            <v>#N/A</v>
          </cell>
          <cell r="L621">
            <v>0</v>
          </cell>
          <cell r="M621" t="e">
            <v>#N/A</v>
          </cell>
          <cell r="N621" t="e">
            <v>#N/A</v>
          </cell>
          <cell r="O621">
            <v>0</v>
          </cell>
          <cell r="Q621">
            <v>0</v>
          </cell>
          <cell r="S621">
            <v>0</v>
          </cell>
          <cell r="U621">
            <v>0</v>
          </cell>
        </row>
        <row r="622">
          <cell r="D622" t="e">
            <v>#N/A</v>
          </cell>
          <cell r="H622" t="e">
            <v>#N/A</v>
          </cell>
          <cell r="I622" t="e">
            <v>#N/A</v>
          </cell>
          <cell r="J622" t="e">
            <v>#N/A</v>
          </cell>
          <cell r="L622">
            <v>0</v>
          </cell>
          <cell r="M622" t="e">
            <v>#N/A</v>
          </cell>
          <cell r="N622" t="e">
            <v>#N/A</v>
          </cell>
          <cell r="O622">
            <v>0</v>
          </cell>
          <cell r="Q622">
            <v>0</v>
          </cell>
          <cell r="S622">
            <v>0</v>
          </cell>
          <cell r="U622">
            <v>0</v>
          </cell>
        </row>
        <row r="623">
          <cell r="D623" t="e">
            <v>#N/A</v>
          </cell>
          <cell r="H623" t="e">
            <v>#N/A</v>
          </cell>
          <cell r="I623" t="e">
            <v>#N/A</v>
          </cell>
          <cell r="J623" t="e">
            <v>#N/A</v>
          </cell>
          <cell r="L623">
            <v>0</v>
          </cell>
          <cell r="M623" t="e">
            <v>#N/A</v>
          </cell>
          <cell r="N623" t="e">
            <v>#N/A</v>
          </cell>
          <cell r="O623">
            <v>0</v>
          </cell>
          <cell r="Q623">
            <v>0</v>
          </cell>
          <cell r="S623">
            <v>0</v>
          </cell>
          <cell r="U623">
            <v>0</v>
          </cell>
        </row>
        <row r="624">
          <cell r="D624" t="e">
            <v>#N/A</v>
          </cell>
          <cell r="H624" t="e">
            <v>#N/A</v>
          </cell>
          <cell r="I624" t="e">
            <v>#N/A</v>
          </cell>
          <cell r="J624" t="e">
            <v>#N/A</v>
          </cell>
          <cell r="L624">
            <v>0</v>
          </cell>
          <cell r="M624" t="e">
            <v>#N/A</v>
          </cell>
          <cell r="N624" t="e">
            <v>#N/A</v>
          </cell>
          <cell r="O624">
            <v>0</v>
          </cell>
          <cell r="Q624">
            <v>0</v>
          </cell>
          <cell r="S624">
            <v>0</v>
          </cell>
          <cell r="U624">
            <v>0</v>
          </cell>
        </row>
        <row r="625">
          <cell r="D625" t="e">
            <v>#N/A</v>
          </cell>
          <cell r="H625" t="e">
            <v>#N/A</v>
          </cell>
          <cell r="I625" t="e">
            <v>#N/A</v>
          </cell>
          <cell r="J625" t="e">
            <v>#N/A</v>
          </cell>
          <cell r="L625">
            <v>0</v>
          </cell>
          <cell r="M625" t="e">
            <v>#N/A</v>
          </cell>
          <cell r="N625" t="e">
            <v>#N/A</v>
          </cell>
          <cell r="O625">
            <v>0</v>
          </cell>
          <cell r="Q625">
            <v>0</v>
          </cell>
          <cell r="S625">
            <v>0</v>
          </cell>
          <cell r="U625">
            <v>0</v>
          </cell>
        </row>
        <row r="626">
          <cell r="D626" t="e">
            <v>#N/A</v>
          </cell>
          <cell r="H626" t="e">
            <v>#N/A</v>
          </cell>
          <cell r="I626" t="e">
            <v>#N/A</v>
          </cell>
          <cell r="J626" t="e">
            <v>#N/A</v>
          </cell>
          <cell r="L626">
            <v>0</v>
          </cell>
          <cell r="M626" t="e">
            <v>#N/A</v>
          </cell>
          <cell r="N626" t="e">
            <v>#N/A</v>
          </cell>
          <cell r="O626">
            <v>0</v>
          </cell>
          <cell r="Q626">
            <v>0</v>
          </cell>
          <cell r="S626">
            <v>0</v>
          </cell>
          <cell r="U626">
            <v>0</v>
          </cell>
        </row>
        <row r="627">
          <cell r="D627" t="e">
            <v>#N/A</v>
          </cell>
          <cell r="E627">
            <v>1</v>
          </cell>
          <cell r="F627">
            <v>1</v>
          </cell>
          <cell r="G627">
            <v>1</v>
          </cell>
          <cell r="H627" t="e">
            <v>#N/A</v>
          </cell>
          <cell r="I627" t="e">
            <v>#N/A</v>
          </cell>
          <cell r="J627" t="e">
            <v>#N/A</v>
          </cell>
          <cell r="L627">
            <v>0</v>
          </cell>
          <cell r="M627" t="e">
            <v>#N/A</v>
          </cell>
          <cell r="N627" t="e">
            <v>#N/A</v>
          </cell>
          <cell r="O627">
            <v>0</v>
          </cell>
          <cell r="P627">
            <v>1</v>
          </cell>
          <cell r="Q627">
            <v>0</v>
          </cell>
          <cell r="R627">
            <v>1</v>
          </cell>
          <cell r="S627">
            <v>0</v>
          </cell>
          <cell r="T627">
            <v>1</v>
          </cell>
          <cell r="U627">
            <v>0</v>
          </cell>
          <cell r="V627">
            <v>1</v>
          </cell>
          <cell r="W627">
            <v>1</v>
          </cell>
          <cell r="X627">
            <v>1</v>
          </cell>
          <cell r="Y627">
            <v>1</v>
          </cell>
          <cell r="Z627">
            <v>1</v>
          </cell>
          <cell r="AA627">
            <v>1</v>
          </cell>
          <cell r="AB627">
            <v>1</v>
          </cell>
        </row>
      </sheetData>
      <sheetData sheetId="5" refreshError="1"/>
      <sheetData sheetId="6">
        <row r="2">
          <cell r="A2" t="str">
            <v>Broker</v>
          </cell>
          <cell r="C2" t="str">
            <v>Current Coverage</v>
          </cell>
          <cell r="G2" t="str">
            <v>Targeted Coverage</v>
          </cell>
        </row>
        <row r="3">
          <cell r="C3" t="str">
            <v>Analyst</v>
          </cell>
          <cell r="E3" t="str">
            <v>Coverage</v>
          </cell>
          <cell r="G3" t="str">
            <v>Analyst</v>
          </cell>
          <cell r="I3" t="str">
            <v>Coverage</v>
          </cell>
        </row>
        <row r="4">
          <cell r="A4" t="str">
            <v>UBS</v>
          </cell>
          <cell r="C4" t="str">
            <v>Tim Marshall</v>
          </cell>
          <cell r="E4" t="str">
            <v>A P Moller</v>
          </cell>
          <cell r="G4" t="str">
            <v>Colin Crook</v>
          </cell>
          <cell r="I4" t="str">
            <v>BAE Systems</v>
          </cell>
        </row>
        <row r="5">
          <cell r="C5" t="str">
            <v>Transportation Services</v>
          </cell>
          <cell r="E5" t="str">
            <v>Air Berlin</v>
          </cell>
          <cell r="G5" t="str">
            <v>Aerospace</v>
          </cell>
          <cell r="I5" t="str">
            <v>Chemring</v>
          </cell>
        </row>
        <row r="6">
          <cell r="E6" t="str">
            <v>Air France</v>
          </cell>
          <cell r="G6" t="str">
            <v>&amp; Defence</v>
          </cell>
          <cell r="I6" t="str">
            <v>Cobham</v>
          </cell>
        </row>
        <row r="7">
          <cell r="E7" t="str">
            <v>BBA Aviation</v>
          </cell>
          <cell r="I7" t="str">
            <v>EADS</v>
          </cell>
        </row>
        <row r="8">
          <cell r="E8" t="str">
            <v>British Airways</v>
          </cell>
          <cell r="I8" t="str">
            <v>Finmeccanica</v>
          </cell>
        </row>
        <row r="9">
          <cell r="E9" t="str">
            <v>Lufthansa</v>
          </cell>
          <cell r="I9" t="str">
            <v xml:space="preserve">MTU Aero Engines </v>
          </cell>
        </row>
        <row r="10">
          <cell r="E10" t="str">
            <v>Ryanair</v>
          </cell>
          <cell r="I10" t="str">
            <v>Thales</v>
          </cell>
        </row>
        <row r="11">
          <cell r="E11" t="str">
            <v>easyJet</v>
          </cell>
          <cell r="I11" t="str">
            <v xml:space="preserve">Ultra Electronic </v>
          </cell>
        </row>
        <row r="12">
          <cell r="A12" t="str">
            <v>Citigroup</v>
          </cell>
          <cell r="C12" t="str">
            <v>Tim Adams</v>
          </cell>
          <cell r="E12" t="str">
            <v>Invensys</v>
          </cell>
          <cell r="G12" t="str">
            <v>David Perry</v>
          </cell>
          <cell r="I12" t="str">
            <v>Cobham</v>
          </cell>
        </row>
        <row r="13">
          <cell r="C13" t="str">
            <v>Industrial/Engineering</v>
          </cell>
          <cell r="E13" t="str">
            <v>Tomkins</v>
          </cell>
          <cell r="G13" t="str">
            <v>Aerospace</v>
          </cell>
          <cell r="I13" t="str">
            <v>Thales</v>
          </cell>
        </row>
        <row r="14">
          <cell r="C14" t="str">
            <v>Industrial Machinery</v>
          </cell>
          <cell r="E14" t="str">
            <v>BBA Aviation</v>
          </cell>
          <cell r="G14" t="str">
            <v>&amp; Defence</v>
          </cell>
          <cell r="I14" t="str">
            <v>Safran</v>
          </cell>
        </row>
        <row r="15">
          <cell r="C15" t="str">
            <v>Household appliances</v>
          </cell>
          <cell r="E15" t="str">
            <v>IMI</v>
          </cell>
          <cell r="I15" t="str">
            <v>Finmecannica</v>
          </cell>
        </row>
        <row r="16">
          <cell r="E16" t="str">
            <v>Metso Oyj</v>
          </cell>
          <cell r="I16" t="str">
            <v>BAE</v>
          </cell>
        </row>
        <row r="17">
          <cell r="E17" t="str">
            <v>Husqvarna</v>
          </cell>
        </row>
        <row r="18">
          <cell r="E18" t="str">
            <v>Electrolux</v>
          </cell>
        </row>
        <row r="19">
          <cell r="E19" t="str">
            <v>Atlas Copco</v>
          </cell>
        </row>
        <row r="20">
          <cell r="A20" t="str">
            <v>JPMorgan</v>
          </cell>
          <cell r="C20" t="str">
            <v>Damien Brewer</v>
          </cell>
          <cell r="E20" t="str">
            <v>FirstGroup</v>
          </cell>
          <cell r="G20" t="str">
            <v>Harry Breach</v>
          </cell>
          <cell r="I20" t="str">
            <v>Cobham</v>
          </cell>
        </row>
        <row r="21">
          <cell r="C21" t="str">
            <v>Transportation &amp; Infrastructure</v>
          </cell>
          <cell r="E21" t="str">
            <v>Deutsche Post</v>
          </cell>
          <cell r="G21" t="str">
            <v>Aerospace</v>
          </cell>
          <cell r="I21" t="str">
            <v>Safran</v>
          </cell>
        </row>
        <row r="22">
          <cell r="C22" t="str">
            <v>Logistics &amp; Freight</v>
          </cell>
          <cell r="E22" t="str">
            <v>BBA Aviation</v>
          </cell>
          <cell r="G22" t="str">
            <v>&amp; Defence</v>
          </cell>
          <cell r="I22" t="str">
            <v>EADS</v>
          </cell>
        </row>
        <row r="23">
          <cell r="C23" t="str">
            <v>Airports</v>
          </cell>
          <cell r="E23" t="str">
            <v xml:space="preserve">Stagecoach </v>
          </cell>
          <cell r="I23" t="str">
            <v>Finmeccanica</v>
          </cell>
        </row>
        <row r="24">
          <cell r="C24" t="str">
            <v>Railroads</v>
          </cell>
          <cell r="E24" t="str">
            <v>National Express</v>
          </cell>
          <cell r="I24" t="str">
            <v>MTU Aero Engines</v>
          </cell>
        </row>
        <row r="25">
          <cell r="E25" t="str">
            <v>Fraport</v>
          </cell>
        </row>
        <row r="26">
          <cell r="E26" t="str">
            <v>TNT</v>
          </cell>
        </row>
        <row r="27">
          <cell r="E27" t="str">
            <v>Arriva</v>
          </cell>
        </row>
        <row r="28">
          <cell r="E28" t="str">
            <v>Kuehne &amp; Nagel</v>
          </cell>
        </row>
        <row r="29">
          <cell r="A29" t="str">
            <v>ABN Amro</v>
          </cell>
          <cell r="C29" t="str">
            <v>Christian Cowley</v>
          </cell>
          <cell r="E29" t="str">
            <v>KLM</v>
          </cell>
          <cell r="G29" t="str">
            <v>Sandy Morris</v>
          </cell>
          <cell r="I29" t="str">
            <v>BAE</v>
          </cell>
        </row>
        <row r="30">
          <cell r="C30" t="str">
            <v>Transport</v>
          </cell>
          <cell r="E30" t="str">
            <v>Fraport</v>
          </cell>
          <cell r="G30" t="str">
            <v>Aerospace</v>
          </cell>
          <cell r="I30" t="str">
            <v>Rolls-Royce</v>
          </cell>
        </row>
        <row r="31">
          <cell r="E31" t="str">
            <v>Lufthansa</v>
          </cell>
          <cell r="G31" t="str">
            <v>&amp; Defence</v>
          </cell>
          <cell r="I31" t="str">
            <v>IMI</v>
          </cell>
        </row>
        <row r="32">
          <cell r="E32" t="str">
            <v>easyJet</v>
          </cell>
          <cell r="I32" t="str">
            <v>Thales</v>
          </cell>
        </row>
        <row r="33">
          <cell r="E33" t="str">
            <v>BBA Aviation</v>
          </cell>
          <cell r="I33" t="str">
            <v>Smiths Group</v>
          </cell>
        </row>
        <row r="34">
          <cell r="E34" t="str">
            <v>Stagecoach</v>
          </cell>
          <cell r="I34" t="str">
            <v>Babcock</v>
          </cell>
        </row>
        <row r="35">
          <cell r="I35" t="str">
            <v>Meggitt</v>
          </cell>
        </row>
        <row r="39">
          <cell r="A39" t="str">
            <v>Morgan Stanley</v>
          </cell>
          <cell r="G39" t="str">
            <v>Scott Babka</v>
          </cell>
          <cell r="I39" t="str">
            <v>Finmeccanica</v>
          </cell>
        </row>
        <row r="40">
          <cell r="I40" t="str">
            <v>EADS</v>
          </cell>
        </row>
        <row r="41">
          <cell r="I41" t="str">
            <v>Smiths Group</v>
          </cell>
        </row>
        <row r="42">
          <cell r="I42" t="str">
            <v>Safran</v>
          </cell>
        </row>
        <row r="43">
          <cell r="I43" t="str">
            <v>Rolls-Royce</v>
          </cell>
        </row>
        <row r="44">
          <cell r="I44" t="str">
            <v>BAE</v>
          </cell>
        </row>
        <row r="45">
          <cell r="A45" t="str">
            <v>Credit Suisse</v>
          </cell>
          <cell r="G45" t="str">
            <v>Steve East</v>
          </cell>
          <cell r="I45" t="str">
            <v>VT Group</v>
          </cell>
        </row>
        <row r="46">
          <cell r="I46" t="str">
            <v>QinetiQ</v>
          </cell>
        </row>
        <row r="47">
          <cell r="I47" t="str">
            <v>Smiths Group</v>
          </cell>
        </row>
        <row r="48">
          <cell r="I48" t="str">
            <v>Thales</v>
          </cell>
        </row>
        <row r="49">
          <cell r="I49" t="str">
            <v>EADS</v>
          </cell>
        </row>
        <row r="50">
          <cell r="I50" t="str">
            <v>Saab</v>
          </cell>
        </row>
        <row r="51">
          <cell r="I51" t="str">
            <v>Cobham</v>
          </cell>
        </row>
        <row r="52">
          <cell r="I52" t="str">
            <v>BAE</v>
          </cell>
        </row>
        <row r="53">
          <cell r="A53" t="str">
            <v>Deutsche Bank</v>
          </cell>
          <cell r="G53" t="str">
            <v>Ben Fidler</v>
          </cell>
          <cell r="I53" t="str">
            <v>Cobham</v>
          </cell>
        </row>
        <row r="54">
          <cell r="I54" t="str">
            <v>Boeing</v>
          </cell>
        </row>
        <row r="55">
          <cell r="I55" t="str">
            <v>MTU</v>
          </cell>
        </row>
        <row r="56">
          <cell r="I56" t="str">
            <v>Meggitt</v>
          </cell>
        </row>
        <row r="57">
          <cell r="I57" t="str">
            <v>Goodrich</v>
          </cell>
        </row>
        <row r="58">
          <cell r="I58" t="str">
            <v>VT Group</v>
          </cell>
        </row>
        <row r="59">
          <cell r="I59" t="str">
            <v>Thales</v>
          </cell>
        </row>
        <row r="60">
          <cell r="I60" t="str">
            <v>Ultra</v>
          </cell>
        </row>
        <row r="61">
          <cell r="I61" t="str">
            <v>Safran</v>
          </cell>
        </row>
        <row r="62">
          <cell r="A62" t="str">
            <v>Goldman Sachs</v>
          </cell>
          <cell r="G62" t="str">
            <v>Sasha Tusa</v>
          </cell>
          <cell r="I62" t="str">
            <v>BAE Systems</v>
          </cell>
        </row>
        <row r="63">
          <cell r="I63" t="str">
            <v>Dassault Aviation</v>
          </cell>
        </row>
        <row r="64">
          <cell r="I64" t="str">
            <v>Cobham</v>
          </cell>
        </row>
        <row r="65">
          <cell r="I65" t="str">
            <v>GKN</v>
          </cell>
        </row>
        <row r="66">
          <cell r="I66" t="str">
            <v>Saab</v>
          </cell>
        </row>
        <row r="67">
          <cell r="I67" t="str">
            <v>Thales</v>
          </cell>
        </row>
        <row r="68">
          <cell r="I68" t="str">
            <v>Smiths Group</v>
          </cell>
        </row>
        <row r="69">
          <cell r="I69" t="str">
            <v xml:space="preserve">Rheinmetall </v>
          </cell>
        </row>
        <row r="70">
          <cell r="A70" t="str">
            <v>Merrill Lynch</v>
          </cell>
          <cell r="G70" t="str">
            <v>Charles Armitage</v>
          </cell>
          <cell r="I70" t="str">
            <v>Rolls-Royce</v>
          </cell>
        </row>
        <row r="71">
          <cell r="I71" t="str">
            <v>BAE Systems</v>
          </cell>
        </row>
        <row r="72">
          <cell r="I72" t="str">
            <v>Thales</v>
          </cell>
        </row>
        <row r="73">
          <cell r="I73" t="str">
            <v>VT Group</v>
          </cell>
        </row>
        <row r="74">
          <cell r="I74" t="str">
            <v>Zodiac</v>
          </cell>
        </row>
      </sheetData>
      <sheetData sheetId="7">
        <row r="1">
          <cell r="A1" t="str">
            <v>B1FP89</v>
          </cell>
          <cell r="B1" t="str">
            <v>PDJ</v>
          </cell>
          <cell r="C1" t="str">
            <v>FY01 Net Income</v>
          </cell>
          <cell r="D1" t="str">
            <v>Fiscal Year</v>
          </cell>
          <cell r="E1" t="str">
            <v>P_COM_SHS_OUT</v>
          </cell>
          <cell r="F1" t="str">
            <v>07E EPS</v>
          </cell>
          <cell r="G1" t="str">
            <v>P_PRICE</v>
          </cell>
          <cell r="H1" t="str">
            <v>Share Price</v>
          </cell>
          <cell r="J1">
            <v>39038</v>
          </cell>
        </row>
        <row r="2">
          <cell r="B2">
            <v>39038</v>
          </cell>
          <cell r="C2">
            <v>72.45</v>
          </cell>
          <cell r="D2" t="str">
            <v>12/2006</v>
          </cell>
          <cell r="E2">
            <v>411.3997</v>
          </cell>
          <cell r="F2">
            <v>17.610610800153719</v>
          </cell>
          <cell r="G2">
            <v>2.8650000000000002</v>
          </cell>
          <cell r="H2">
            <v>286.5</v>
          </cell>
          <cell r="J2">
            <v>39377</v>
          </cell>
        </row>
        <row r="3">
          <cell r="B3">
            <v>39041</v>
          </cell>
          <cell r="C3">
            <v>72.45</v>
          </cell>
          <cell r="D3" t="str">
            <v>12/2006</v>
          </cell>
          <cell r="E3">
            <v>411.3997</v>
          </cell>
          <cell r="F3">
            <v>17.610610800153719</v>
          </cell>
          <cell r="G3">
            <v>2.87</v>
          </cell>
          <cell r="H3">
            <v>287</v>
          </cell>
          <cell r="J3" t="str">
            <v>D</v>
          </cell>
        </row>
        <row r="4">
          <cell r="B4">
            <v>39042</v>
          </cell>
          <cell r="C4">
            <v>72.45</v>
          </cell>
          <cell r="D4" t="str">
            <v>12/2006</v>
          </cell>
          <cell r="E4">
            <v>411.3997</v>
          </cell>
          <cell r="F4">
            <v>17.610610800153719</v>
          </cell>
          <cell r="G4">
            <v>2.8975</v>
          </cell>
          <cell r="H4">
            <v>289.75</v>
          </cell>
        </row>
        <row r="5">
          <cell r="B5">
            <v>39043</v>
          </cell>
          <cell r="C5">
            <v>72.45</v>
          </cell>
          <cell r="D5" t="str">
            <v>12/2006</v>
          </cell>
          <cell r="E5">
            <v>411.3997</v>
          </cell>
          <cell r="F5">
            <v>17.610610800153719</v>
          </cell>
          <cell r="G5">
            <v>2.9275000000000002</v>
          </cell>
          <cell r="H5">
            <v>292.75</v>
          </cell>
        </row>
        <row r="6">
          <cell r="B6">
            <v>39045</v>
          </cell>
          <cell r="C6">
            <v>72.45</v>
          </cell>
          <cell r="D6" t="str">
            <v>12/2006</v>
          </cell>
          <cell r="E6">
            <v>411.3997</v>
          </cell>
          <cell r="F6">
            <v>17.610610800153719</v>
          </cell>
          <cell r="G6">
            <v>2.8574999999999999</v>
          </cell>
          <cell r="H6">
            <v>285.75</v>
          </cell>
        </row>
        <row r="7">
          <cell r="B7">
            <v>39048</v>
          </cell>
          <cell r="C7">
            <v>72.45</v>
          </cell>
          <cell r="D7" t="str">
            <v>12/2006</v>
          </cell>
          <cell r="E7">
            <v>411.3997</v>
          </cell>
          <cell r="F7">
            <v>17.610610800153719</v>
          </cell>
          <cell r="G7">
            <v>2.8149999999999999</v>
          </cell>
          <cell r="H7">
            <v>281.5</v>
          </cell>
        </row>
        <row r="8">
          <cell r="B8">
            <v>39049</v>
          </cell>
          <cell r="C8">
            <v>72.45</v>
          </cell>
          <cell r="D8" t="str">
            <v>12/2006</v>
          </cell>
          <cell r="E8">
            <v>411.3997</v>
          </cell>
          <cell r="F8">
            <v>17.610610800153719</v>
          </cell>
          <cell r="G8">
            <v>2.8125</v>
          </cell>
          <cell r="H8">
            <v>281.25</v>
          </cell>
        </row>
        <row r="9">
          <cell r="B9">
            <v>39050</v>
          </cell>
          <cell r="C9">
            <v>72.45</v>
          </cell>
          <cell r="D9" t="str">
            <v>12/2006</v>
          </cell>
          <cell r="E9">
            <v>411.42150000000004</v>
          </cell>
          <cell r="F9">
            <v>17.609677666334889</v>
          </cell>
          <cell r="G9">
            <v>2.855</v>
          </cell>
          <cell r="H9">
            <v>285.5</v>
          </cell>
        </row>
        <row r="10">
          <cell r="B10">
            <v>39051</v>
          </cell>
          <cell r="C10">
            <v>72.45</v>
          </cell>
          <cell r="D10" t="str">
            <v>12/2006</v>
          </cell>
          <cell r="E10">
            <v>411.42150000000004</v>
          </cell>
          <cell r="F10">
            <v>17.609677666334889</v>
          </cell>
          <cell r="G10">
            <v>2.8574999999999999</v>
          </cell>
          <cell r="H10">
            <v>285.75</v>
          </cell>
        </row>
        <row r="11">
          <cell r="B11">
            <v>39052</v>
          </cell>
          <cell r="C11">
            <v>72.45</v>
          </cell>
          <cell r="D11" t="str">
            <v>12/2006</v>
          </cell>
          <cell r="E11">
            <v>411.42150000000004</v>
          </cell>
          <cell r="F11">
            <v>17.609677666334889</v>
          </cell>
          <cell r="G11">
            <v>2.9050000000000002</v>
          </cell>
          <cell r="H11">
            <v>290.5</v>
          </cell>
        </row>
        <row r="12">
          <cell r="B12">
            <v>39055</v>
          </cell>
          <cell r="C12">
            <v>72.45</v>
          </cell>
          <cell r="D12" t="str">
            <v>12/2006</v>
          </cell>
          <cell r="E12">
            <v>411.42150000000004</v>
          </cell>
          <cell r="F12">
            <v>17.609677666334889</v>
          </cell>
          <cell r="G12">
            <v>2.9000000000000004</v>
          </cell>
          <cell r="H12">
            <v>290.00000000000006</v>
          </cell>
        </row>
        <row r="13">
          <cell r="B13">
            <v>39056</v>
          </cell>
          <cell r="C13">
            <v>72.45</v>
          </cell>
          <cell r="D13" t="str">
            <v>12/2006</v>
          </cell>
          <cell r="E13">
            <v>411.42150000000004</v>
          </cell>
          <cell r="F13">
            <v>17.609677666334889</v>
          </cell>
          <cell r="G13">
            <v>2.8574999999999999</v>
          </cell>
          <cell r="H13">
            <v>285.75</v>
          </cell>
        </row>
        <row r="14">
          <cell r="B14">
            <v>39057</v>
          </cell>
          <cell r="C14">
            <v>72.45</v>
          </cell>
          <cell r="D14" t="str">
            <v>12/2006</v>
          </cell>
          <cell r="E14">
            <v>411.42150000000004</v>
          </cell>
          <cell r="F14">
            <v>17.609677666334889</v>
          </cell>
          <cell r="G14">
            <v>2.8125</v>
          </cell>
          <cell r="H14">
            <v>281.25</v>
          </cell>
        </row>
        <row r="15">
          <cell r="B15">
            <v>39058</v>
          </cell>
          <cell r="C15">
            <v>72.45</v>
          </cell>
          <cell r="D15" t="str">
            <v>12/2006</v>
          </cell>
          <cell r="E15">
            <v>411.42150000000004</v>
          </cell>
          <cell r="F15">
            <v>17.609677666334889</v>
          </cell>
          <cell r="G15">
            <v>2.8275000000000001</v>
          </cell>
          <cell r="H15">
            <v>282.75</v>
          </cell>
        </row>
        <row r="16">
          <cell r="B16">
            <v>39059</v>
          </cell>
          <cell r="C16">
            <v>72.45</v>
          </cell>
          <cell r="D16" t="str">
            <v>12/2006</v>
          </cell>
          <cell r="E16">
            <v>411.42150000000004</v>
          </cell>
          <cell r="F16">
            <v>17.609677666334889</v>
          </cell>
          <cell r="G16">
            <v>2.83</v>
          </cell>
          <cell r="H16">
            <v>283</v>
          </cell>
        </row>
        <row r="17">
          <cell r="B17">
            <v>39062</v>
          </cell>
          <cell r="C17">
            <v>72.45</v>
          </cell>
          <cell r="D17" t="str">
            <v>12/2006</v>
          </cell>
          <cell r="E17">
            <v>411.42150000000004</v>
          </cell>
          <cell r="F17">
            <v>17.609677666334889</v>
          </cell>
          <cell r="G17">
            <v>2.8475000000000001</v>
          </cell>
          <cell r="H17">
            <v>284.75</v>
          </cell>
        </row>
        <row r="18">
          <cell r="B18">
            <v>39063</v>
          </cell>
          <cell r="C18">
            <v>72.45</v>
          </cell>
          <cell r="D18" t="str">
            <v>12/2006</v>
          </cell>
          <cell r="E18">
            <v>411.42150000000004</v>
          </cell>
          <cell r="F18">
            <v>17.609677666334889</v>
          </cell>
          <cell r="G18">
            <v>2.8475000000000001</v>
          </cell>
          <cell r="H18">
            <v>284.75</v>
          </cell>
        </row>
        <row r="19">
          <cell r="B19">
            <v>39064</v>
          </cell>
          <cell r="C19">
            <v>72.45</v>
          </cell>
          <cell r="D19" t="str">
            <v>12/2006</v>
          </cell>
          <cell r="E19">
            <v>411.42150000000004</v>
          </cell>
          <cell r="F19">
            <v>17.609677666334889</v>
          </cell>
          <cell r="G19">
            <v>2.81</v>
          </cell>
          <cell r="H19">
            <v>281</v>
          </cell>
        </row>
        <row r="20">
          <cell r="B20">
            <v>39065</v>
          </cell>
          <cell r="C20">
            <v>67.25</v>
          </cell>
          <cell r="D20" t="str">
            <v>12/2006</v>
          </cell>
          <cell r="E20">
            <v>411.42150000000004</v>
          </cell>
          <cell r="F20">
            <v>16.34576705398235</v>
          </cell>
          <cell r="G20">
            <v>2.81</v>
          </cell>
          <cell r="H20">
            <v>281</v>
          </cell>
        </row>
        <row r="21">
          <cell r="B21">
            <v>39066</v>
          </cell>
          <cell r="C21">
            <v>67.25</v>
          </cell>
          <cell r="D21" t="str">
            <v>12/2006</v>
          </cell>
          <cell r="E21">
            <v>411.42150000000004</v>
          </cell>
          <cell r="F21">
            <v>16.34576705398235</v>
          </cell>
          <cell r="G21">
            <v>2.8149999999999999</v>
          </cell>
          <cell r="H21">
            <v>281.5</v>
          </cell>
        </row>
        <row r="22">
          <cell r="B22">
            <v>39069</v>
          </cell>
          <cell r="C22">
            <v>67.25</v>
          </cell>
          <cell r="D22" t="str">
            <v>12/2006</v>
          </cell>
          <cell r="E22">
            <v>411.42150000000004</v>
          </cell>
          <cell r="F22">
            <v>16.34576705398235</v>
          </cell>
          <cell r="G22">
            <v>2.8000000000000003</v>
          </cell>
          <cell r="H22">
            <v>280</v>
          </cell>
        </row>
        <row r="23">
          <cell r="B23">
            <v>39070</v>
          </cell>
          <cell r="C23">
            <v>67.25</v>
          </cell>
          <cell r="D23" t="str">
            <v>12/2006</v>
          </cell>
          <cell r="E23">
            <v>411.42150000000004</v>
          </cell>
          <cell r="F23">
            <v>16.34576705398235</v>
          </cell>
          <cell r="G23">
            <v>2.7600000000000002</v>
          </cell>
          <cell r="H23">
            <v>276</v>
          </cell>
        </row>
        <row r="24">
          <cell r="B24">
            <v>39071</v>
          </cell>
          <cell r="C24">
            <v>67.25</v>
          </cell>
          <cell r="D24" t="str">
            <v>12/2006</v>
          </cell>
          <cell r="E24">
            <v>411.42150000000004</v>
          </cell>
          <cell r="F24">
            <v>16.34576705398235</v>
          </cell>
          <cell r="G24">
            <v>2.7800000000000002</v>
          </cell>
          <cell r="H24">
            <v>278</v>
          </cell>
        </row>
        <row r="25">
          <cell r="B25">
            <v>39072</v>
          </cell>
          <cell r="C25">
            <v>67.25</v>
          </cell>
          <cell r="D25" t="str">
            <v>12/2006</v>
          </cell>
          <cell r="E25">
            <v>411.7251</v>
          </cell>
          <cell r="F25">
            <v>16.333713927083874</v>
          </cell>
          <cell r="G25">
            <v>2.7175000000000002</v>
          </cell>
          <cell r="H25">
            <v>271.75</v>
          </cell>
        </row>
        <row r="26">
          <cell r="B26">
            <v>39073</v>
          </cell>
          <cell r="C26">
            <v>67.25</v>
          </cell>
          <cell r="D26" t="str">
            <v>12/2006</v>
          </cell>
          <cell r="E26">
            <v>411.7251</v>
          </cell>
          <cell r="F26">
            <v>16.333713927083874</v>
          </cell>
          <cell r="G26">
            <v>2.6875</v>
          </cell>
          <cell r="H26">
            <v>268.75</v>
          </cell>
        </row>
        <row r="27">
          <cell r="B27">
            <v>39077</v>
          </cell>
          <cell r="C27">
            <v>67.25</v>
          </cell>
          <cell r="D27" t="str">
            <v>12/2006</v>
          </cell>
          <cell r="E27">
            <v>411.7251</v>
          </cell>
          <cell r="F27">
            <v>16.333713927083874</v>
          </cell>
          <cell r="G27">
            <v>2.6875</v>
          </cell>
          <cell r="H27">
            <v>268.75</v>
          </cell>
        </row>
        <row r="28">
          <cell r="B28">
            <v>39078</v>
          </cell>
          <cell r="C28">
            <v>67.25</v>
          </cell>
          <cell r="D28" t="str">
            <v>12/2006</v>
          </cell>
          <cell r="E28">
            <v>411.7251</v>
          </cell>
          <cell r="F28">
            <v>16.333713927083874</v>
          </cell>
          <cell r="G28">
            <v>2.7324999999999999</v>
          </cell>
          <cell r="H28">
            <v>273.25</v>
          </cell>
        </row>
        <row r="29">
          <cell r="B29">
            <v>39079</v>
          </cell>
          <cell r="C29">
            <v>67.25</v>
          </cell>
          <cell r="D29" t="str">
            <v>12/2006</v>
          </cell>
          <cell r="E29">
            <v>411.7251</v>
          </cell>
          <cell r="F29">
            <v>16.333713927083874</v>
          </cell>
          <cell r="G29">
            <v>2.74</v>
          </cell>
          <cell r="H29">
            <v>274</v>
          </cell>
        </row>
        <row r="30">
          <cell r="B30">
            <v>39080</v>
          </cell>
          <cell r="C30">
            <v>67.25</v>
          </cell>
          <cell r="D30" t="str">
            <v>12/2006</v>
          </cell>
          <cell r="E30">
            <v>411.7251</v>
          </cell>
          <cell r="F30">
            <v>16.333713927083874</v>
          </cell>
          <cell r="G30">
            <v>2.7349999999999999</v>
          </cell>
          <cell r="H30">
            <v>273.5</v>
          </cell>
        </row>
        <row r="31">
          <cell r="B31">
            <v>39085</v>
          </cell>
          <cell r="C31">
            <v>67.25</v>
          </cell>
          <cell r="D31" t="str">
            <v>12/2006</v>
          </cell>
          <cell r="E31">
            <v>411.7251</v>
          </cell>
          <cell r="F31">
            <v>16.333713927083874</v>
          </cell>
          <cell r="G31">
            <v>2.7850000000000001</v>
          </cell>
          <cell r="H31">
            <v>278.5</v>
          </cell>
        </row>
        <row r="32">
          <cell r="B32">
            <v>39086</v>
          </cell>
          <cell r="C32">
            <v>67.25</v>
          </cell>
          <cell r="D32" t="str">
            <v>12/2006</v>
          </cell>
          <cell r="E32">
            <v>411.7251</v>
          </cell>
          <cell r="F32">
            <v>16.333713927083874</v>
          </cell>
          <cell r="G32">
            <v>2.7475000000000001</v>
          </cell>
          <cell r="H32">
            <v>274.75</v>
          </cell>
        </row>
        <row r="33">
          <cell r="B33">
            <v>39087</v>
          </cell>
          <cell r="C33">
            <v>67.25</v>
          </cell>
          <cell r="D33" t="str">
            <v>12/2006</v>
          </cell>
          <cell r="E33">
            <v>411.7251</v>
          </cell>
          <cell r="F33">
            <v>16.333713927083874</v>
          </cell>
          <cell r="G33">
            <v>2.7425000000000002</v>
          </cell>
          <cell r="H33">
            <v>274.25</v>
          </cell>
        </row>
        <row r="34">
          <cell r="B34">
            <v>39090</v>
          </cell>
          <cell r="C34">
            <v>67.25</v>
          </cell>
          <cell r="D34" t="str">
            <v>12/2006</v>
          </cell>
          <cell r="E34">
            <v>411.74040000000002</v>
          </cell>
          <cell r="F34">
            <v>16.333106977114706</v>
          </cell>
          <cell r="G34">
            <v>2.6925000000000003</v>
          </cell>
          <cell r="H34">
            <v>269.25000000000006</v>
          </cell>
        </row>
        <row r="35">
          <cell r="B35">
            <v>39091</v>
          </cell>
          <cell r="C35">
            <v>67.25</v>
          </cell>
          <cell r="D35" t="str">
            <v>12/2006</v>
          </cell>
          <cell r="E35">
            <v>411.74040000000002</v>
          </cell>
          <cell r="F35">
            <v>16.333106977114706</v>
          </cell>
          <cell r="G35">
            <v>2.68</v>
          </cell>
          <cell r="H35">
            <v>268</v>
          </cell>
        </row>
        <row r="36">
          <cell r="B36">
            <v>39092</v>
          </cell>
          <cell r="C36">
            <v>67.25</v>
          </cell>
          <cell r="D36" t="str">
            <v>12/2006</v>
          </cell>
          <cell r="E36">
            <v>411.7491</v>
          </cell>
          <cell r="F36">
            <v>16.332761868817684</v>
          </cell>
          <cell r="G36">
            <v>2.6725000000000003</v>
          </cell>
          <cell r="H36">
            <v>267.25000000000006</v>
          </cell>
        </row>
        <row r="37">
          <cell r="B37">
            <v>39093</v>
          </cell>
          <cell r="C37">
            <v>67.25</v>
          </cell>
          <cell r="D37" t="str">
            <v>12/2006</v>
          </cell>
          <cell r="E37">
            <v>411.7491</v>
          </cell>
          <cell r="F37">
            <v>16.332761868817684</v>
          </cell>
          <cell r="G37">
            <v>2.75</v>
          </cell>
          <cell r="H37">
            <v>275</v>
          </cell>
        </row>
        <row r="38">
          <cell r="B38">
            <v>39094</v>
          </cell>
          <cell r="C38">
            <v>67.25</v>
          </cell>
          <cell r="D38" t="str">
            <v>12/2006</v>
          </cell>
          <cell r="E38">
            <v>411.7491</v>
          </cell>
          <cell r="F38">
            <v>16.332761868817684</v>
          </cell>
          <cell r="G38">
            <v>2.7850000000000001</v>
          </cell>
          <cell r="H38">
            <v>278.5</v>
          </cell>
          <cell r="K38">
            <v>39373</v>
          </cell>
          <cell r="L38">
            <v>39038</v>
          </cell>
        </row>
        <row r="39">
          <cell r="B39">
            <v>39098</v>
          </cell>
          <cell r="C39">
            <v>67.25</v>
          </cell>
          <cell r="D39" t="str">
            <v>12/2006</v>
          </cell>
          <cell r="E39">
            <v>411.7491</v>
          </cell>
          <cell r="F39">
            <v>16.332761868817684</v>
          </cell>
          <cell r="G39">
            <v>2.7925</v>
          </cell>
          <cell r="H39">
            <v>279.25</v>
          </cell>
          <cell r="K39">
            <v>335</v>
          </cell>
          <cell r="L39">
            <v>55.833333333333336</v>
          </cell>
          <cell r="P39">
            <v>39038</v>
          </cell>
          <cell r="Q39">
            <v>39377</v>
          </cell>
        </row>
        <row r="40">
          <cell r="B40">
            <v>39099</v>
          </cell>
          <cell r="C40">
            <v>67.25</v>
          </cell>
          <cell r="D40" t="str">
            <v>12/2006</v>
          </cell>
          <cell r="E40">
            <v>411.7491</v>
          </cell>
          <cell r="F40">
            <v>16.332761868817684</v>
          </cell>
          <cell r="G40">
            <v>2.7749999999999999</v>
          </cell>
          <cell r="H40">
            <v>277.5</v>
          </cell>
          <cell r="Q40">
            <v>339</v>
          </cell>
        </row>
        <row r="41">
          <cell r="B41">
            <v>39100</v>
          </cell>
          <cell r="C41">
            <v>59.33</v>
          </cell>
          <cell r="D41" t="str">
            <v>12/2006</v>
          </cell>
          <cell r="E41">
            <v>411.7491</v>
          </cell>
          <cell r="F41">
            <v>14.409260396683321</v>
          </cell>
          <cell r="G41">
            <v>2.77</v>
          </cell>
          <cell r="H41">
            <v>277</v>
          </cell>
          <cell r="Q41">
            <v>84.75</v>
          </cell>
        </row>
        <row r="42">
          <cell r="B42">
            <v>39101</v>
          </cell>
          <cell r="C42">
            <v>59.33</v>
          </cell>
          <cell r="D42" t="str">
            <v>12/2006</v>
          </cell>
          <cell r="E42">
            <v>411.7251</v>
          </cell>
          <cell r="F42">
            <v>14.4101003315076</v>
          </cell>
          <cell r="G42">
            <v>2.7475000000000001</v>
          </cell>
          <cell r="H42">
            <v>274.75</v>
          </cell>
        </row>
        <row r="43">
          <cell r="B43">
            <v>39104</v>
          </cell>
          <cell r="C43">
            <v>59.33</v>
          </cell>
          <cell r="D43" t="str">
            <v>12/2006</v>
          </cell>
          <cell r="E43">
            <v>411.7251</v>
          </cell>
          <cell r="F43">
            <v>14.4101003315076</v>
          </cell>
          <cell r="G43">
            <v>2.7575000000000003</v>
          </cell>
          <cell r="H43">
            <v>275.75</v>
          </cell>
        </row>
        <row r="44">
          <cell r="B44">
            <v>39105</v>
          </cell>
          <cell r="C44">
            <v>59.33</v>
          </cell>
          <cell r="D44" t="str">
            <v>12/2006</v>
          </cell>
          <cell r="E44">
            <v>411.7251</v>
          </cell>
          <cell r="F44">
            <v>14.4101003315076</v>
          </cell>
          <cell r="G44">
            <v>2.7425000000000002</v>
          </cell>
          <cell r="H44">
            <v>274.25</v>
          </cell>
        </row>
        <row r="45">
          <cell r="B45">
            <v>39106</v>
          </cell>
          <cell r="C45">
            <v>59.33</v>
          </cell>
          <cell r="D45" t="str">
            <v>12/2006</v>
          </cell>
          <cell r="E45">
            <v>411.7251</v>
          </cell>
          <cell r="F45">
            <v>14.4101003315076</v>
          </cell>
          <cell r="G45">
            <v>2.7749999999999999</v>
          </cell>
          <cell r="H45">
            <v>277.5</v>
          </cell>
        </row>
        <row r="46">
          <cell r="B46">
            <v>39107</v>
          </cell>
          <cell r="C46">
            <v>59.33</v>
          </cell>
          <cell r="D46" t="str">
            <v>12/2006</v>
          </cell>
          <cell r="E46">
            <v>411.7251</v>
          </cell>
          <cell r="F46">
            <v>14.4101003315076</v>
          </cell>
          <cell r="G46">
            <v>2.7875000000000001</v>
          </cell>
          <cell r="H46">
            <v>278.75</v>
          </cell>
        </row>
        <row r="47">
          <cell r="B47">
            <v>39108</v>
          </cell>
          <cell r="C47">
            <v>59.33</v>
          </cell>
          <cell r="D47" t="str">
            <v>12/2006</v>
          </cell>
          <cell r="E47">
            <v>411.7251</v>
          </cell>
          <cell r="F47">
            <v>14.4101003315076</v>
          </cell>
          <cell r="G47">
            <v>2.8025000000000002</v>
          </cell>
          <cell r="H47">
            <v>280.25</v>
          </cell>
        </row>
        <row r="48">
          <cell r="B48">
            <v>39111</v>
          </cell>
          <cell r="C48">
            <v>59.33</v>
          </cell>
          <cell r="D48" t="str">
            <v>12/2006</v>
          </cell>
          <cell r="E48">
            <v>411.7251</v>
          </cell>
          <cell r="F48">
            <v>14.4101003315076</v>
          </cell>
          <cell r="G48">
            <v>2.8025000000000002</v>
          </cell>
          <cell r="H48">
            <v>280.25</v>
          </cell>
        </row>
        <row r="49">
          <cell r="B49">
            <v>39112</v>
          </cell>
          <cell r="C49">
            <v>59.33</v>
          </cell>
          <cell r="D49" t="str">
            <v>12/2006</v>
          </cell>
          <cell r="E49">
            <v>411.7251</v>
          </cell>
          <cell r="F49">
            <v>14.4101003315076</v>
          </cell>
          <cell r="G49">
            <v>2.8000000000000003</v>
          </cell>
          <cell r="H49">
            <v>280</v>
          </cell>
        </row>
        <row r="50">
          <cell r="B50">
            <v>39113</v>
          </cell>
          <cell r="C50">
            <v>59.33</v>
          </cell>
          <cell r="D50" t="str">
            <v>12/2006</v>
          </cell>
          <cell r="E50">
            <v>411.77550000000002</v>
          </cell>
          <cell r="F50">
            <v>14.408336581462471</v>
          </cell>
          <cell r="G50">
            <v>2.8075000000000001</v>
          </cell>
          <cell r="H50">
            <v>280.75</v>
          </cell>
        </row>
        <row r="51">
          <cell r="B51">
            <v>39114</v>
          </cell>
          <cell r="C51">
            <v>59.33</v>
          </cell>
          <cell r="D51" t="str">
            <v>12/2006</v>
          </cell>
          <cell r="E51">
            <v>411.77550000000002</v>
          </cell>
          <cell r="F51">
            <v>14.408336581462471</v>
          </cell>
          <cell r="G51">
            <v>2.8275000000000001</v>
          </cell>
          <cell r="H51">
            <v>282.75</v>
          </cell>
        </row>
        <row r="52">
          <cell r="B52">
            <v>39115</v>
          </cell>
          <cell r="C52">
            <v>59.33</v>
          </cell>
          <cell r="D52" t="str">
            <v>12/2006</v>
          </cell>
          <cell r="E52">
            <v>411.77550000000002</v>
          </cell>
          <cell r="F52">
            <v>14.408336581462471</v>
          </cell>
          <cell r="G52">
            <v>2.8275000000000001</v>
          </cell>
          <cell r="H52">
            <v>282.75</v>
          </cell>
        </row>
        <row r="53">
          <cell r="B53">
            <v>39118</v>
          </cell>
          <cell r="C53">
            <v>59.33</v>
          </cell>
          <cell r="D53" t="str">
            <v>12/2006</v>
          </cell>
          <cell r="E53">
            <v>411.77550000000002</v>
          </cell>
          <cell r="F53">
            <v>14.408336581462471</v>
          </cell>
          <cell r="G53">
            <v>2.8574999999999999</v>
          </cell>
          <cell r="H53">
            <v>285.75</v>
          </cell>
        </row>
        <row r="54">
          <cell r="B54">
            <v>39119</v>
          </cell>
          <cell r="C54">
            <v>59.33</v>
          </cell>
          <cell r="D54" t="str">
            <v>12/2006</v>
          </cell>
          <cell r="E54">
            <v>411.77550000000002</v>
          </cell>
          <cell r="F54">
            <v>14.408336581462471</v>
          </cell>
          <cell r="G54">
            <v>2.8574999999999999</v>
          </cell>
          <cell r="H54">
            <v>285.75</v>
          </cell>
        </row>
        <row r="55">
          <cell r="B55">
            <v>39120</v>
          </cell>
          <cell r="C55">
            <v>59.33</v>
          </cell>
          <cell r="D55" t="str">
            <v>12/2006</v>
          </cell>
          <cell r="E55">
            <v>411.77550000000002</v>
          </cell>
          <cell r="F55">
            <v>14.408336581462471</v>
          </cell>
          <cell r="G55">
            <v>2.88</v>
          </cell>
          <cell r="H55">
            <v>288</v>
          </cell>
        </row>
        <row r="56">
          <cell r="B56">
            <v>39121</v>
          </cell>
          <cell r="C56">
            <v>59.33</v>
          </cell>
          <cell r="D56" t="str">
            <v>12/2006</v>
          </cell>
          <cell r="E56">
            <v>411.77550000000002</v>
          </cell>
          <cell r="F56">
            <v>14.408336581462471</v>
          </cell>
          <cell r="G56">
            <v>2.8475000000000001</v>
          </cell>
          <cell r="H56">
            <v>284.75</v>
          </cell>
        </row>
        <row r="57">
          <cell r="B57">
            <v>39122</v>
          </cell>
          <cell r="C57">
            <v>59.33</v>
          </cell>
          <cell r="D57" t="str">
            <v>12/2006</v>
          </cell>
          <cell r="E57">
            <v>411.77550000000002</v>
          </cell>
          <cell r="F57">
            <v>14.408336581462471</v>
          </cell>
          <cell r="G57">
            <v>2.88</v>
          </cell>
          <cell r="H57">
            <v>288</v>
          </cell>
        </row>
        <row r="58">
          <cell r="B58">
            <v>39125</v>
          </cell>
          <cell r="C58">
            <v>59.33</v>
          </cell>
          <cell r="D58" t="str">
            <v>12/2006</v>
          </cell>
          <cell r="E58">
            <v>411.77550000000002</v>
          </cell>
          <cell r="F58">
            <v>14.408336581462471</v>
          </cell>
          <cell r="G58">
            <v>2.8525</v>
          </cell>
          <cell r="H58">
            <v>285.25</v>
          </cell>
        </row>
        <row r="59">
          <cell r="B59">
            <v>39126</v>
          </cell>
          <cell r="C59">
            <v>59.33</v>
          </cell>
          <cell r="D59" t="str">
            <v>12/2006</v>
          </cell>
          <cell r="E59">
            <v>411.77550000000002</v>
          </cell>
          <cell r="F59">
            <v>14.408336581462471</v>
          </cell>
          <cell r="G59">
            <v>2.8774999999999999</v>
          </cell>
          <cell r="H59">
            <v>287.75</v>
          </cell>
        </row>
        <row r="60">
          <cell r="B60">
            <v>39127</v>
          </cell>
          <cell r="C60">
            <v>59.33</v>
          </cell>
          <cell r="D60" t="str">
            <v>12/2006</v>
          </cell>
          <cell r="E60">
            <v>411.77550000000002</v>
          </cell>
          <cell r="F60">
            <v>14.408336581462471</v>
          </cell>
          <cell r="G60">
            <v>2.89</v>
          </cell>
          <cell r="H60">
            <v>289</v>
          </cell>
        </row>
        <row r="61">
          <cell r="B61">
            <v>39128</v>
          </cell>
          <cell r="C61">
            <v>59.33</v>
          </cell>
          <cell r="D61" t="str">
            <v>12/2006</v>
          </cell>
          <cell r="E61">
            <v>411.77550000000002</v>
          </cell>
          <cell r="F61">
            <v>14.408336581462471</v>
          </cell>
          <cell r="G61">
            <v>2.875</v>
          </cell>
          <cell r="H61">
            <v>287.5</v>
          </cell>
        </row>
        <row r="62">
          <cell r="B62">
            <v>39129</v>
          </cell>
          <cell r="C62">
            <v>59.33</v>
          </cell>
          <cell r="D62" t="str">
            <v>12/2006</v>
          </cell>
          <cell r="E62">
            <v>411.77550000000002</v>
          </cell>
          <cell r="F62">
            <v>14.408336581462471</v>
          </cell>
          <cell r="G62">
            <v>2.87</v>
          </cell>
          <cell r="H62">
            <v>287</v>
          </cell>
        </row>
        <row r="63">
          <cell r="B63">
            <v>39133</v>
          </cell>
          <cell r="C63">
            <v>59.33</v>
          </cell>
          <cell r="D63" t="str">
            <v>12/2006</v>
          </cell>
          <cell r="E63">
            <v>411.77550000000002</v>
          </cell>
          <cell r="F63">
            <v>14.408336581462471</v>
          </cell>
          <cell r="G63">
            <v>2.895</v>
          </cell>
          <cell r="H63">
            <v>289.5</v>
          </cell>
        </row>
        <row r="64">
          <cell r="B64">
            <v>39134</v>
          </cell>
          <cell r="C64">
            <v>59.33</v>
          </cell>
          <cell r="D64" t="str">
            <v>12/2006</v>
          </cell>
          <cell r="E64">
            <v>411.77550000000002</v>
          </cell>
          <cell r="F64">
            <v>14.408336581462471</v>
          </cell>
          <cell r="G64">
            <v>2.88</v>
          </cell>
          <cell r="H64">
            <v>288</v>
          </cell>
        </row>
        <row r="65">
          <cell r="B65">
            <v>39135</v>
          </cell>
          <cell r="C65">
            <v>59.33</v>
          </cell>
          <cell r="D65" t="str">
            <v>12/2006</v>
          </cell>
          <cell r="E65">
            <v>411.77550000000002</v>
          </cell>
          <cell r="F65">
            <v>14.408336581462471</v>
          </cell>
          <cell r="G65">
            <v>2.8675000000000002</v>
          </cell>
          <cell r="H65">
            <v>286.75</v>
          </cell>
        </row>
        <row r="66">
          <cell r="B66">
            <v>39136</v>
          </cell>
          <cell r="C66">
            <v>59.33</v>
          </cell>
          <cell r="D66" t="str">
            <v>12/2006</v>
          </cell>
          <cell r="E66">
            <v>411.77550000000002</v>
          </cell>
          <cell r="F66">
            <v>14.408336581462471</v>
          </cell>
          <cell r="G66">
            <v>2.84</v>
          </cell>
          <cell r="H66">
            <v>284</v>
          </cell>
        </row>
        <row r="67">
          <cell r="B67">
            <v>39139</v>
          </cell>
          <cell r="C67">
            <v>59.33</v>
          </cell>
          <cell r="D67" t="str">
            <v>12/2006</v>
          </cell>
          <cell r="E67">
            <v>411.77550000000002</v>
          </cell>
          <cell r="F67">
            <v>14.408336581462471</v>
          </cell>
          <cell r="G67">
            <v>2.84</v>
          </cell>
          <cell r="H67">
            <v>284</v>
          </cell>
        </row>
        <row r="68">
          <cell r="B68">
            <v>39140</v>
          </cell>
          <cell r="C68">
            <v>59.33</v>
          </cell>
          <cell r="D68" t="str">
            <v>12/2006</v>
          </cell>
          <cell r="E68">
            <v>411.77550000000002</v>
          </cell>
          <cell r="F68">
            <v>14.408336581462471</v>
          </cell>
          <cell r="G68">
            <v>2.7625000000000002</v>
          </cell>
          <cell r="H68">
            <v>276.25</v>
          </cell>
        </row>
        <row r="69">
          <cell r="B69">
            <v>39141</v>
          </cell>
          <cell r="C69">
            <v>59.33</v>
          </cell>
          <cell r="D69" t="str">
            <v>12/2006</v>
          </cell>
          <cell r="E69">
            <v>411.77550000000002</v>
          </cell>
          <cell r="F69">
            <v>14.408336581462471</v>
          </cell>
          <cell r="G69">
            <v>2.7349999999999999</v>
          </cell>
          <cell r="H69">
            <v>273.5</v>
          </cell>
        </row>
        <row r="70">
          <cell r="B70">
            <v>39142</v>
          </cell>
          <cell r="C70">
            <v>59.33</v>
          </cell>
          <cell r="D70" t="str">
            <v>12/2006</v>
          </cell>
          <cell r="E70">
            <v>411.79080000000005</v>
          </cell>
          <cell r="F70">
            <v>14.407801242766956</v>
          </cell>
          <cell r="G70">
            <v>2.7725</v>
          </cell>
          <cell r="H70">
            <v>277.25</v>
          </cell>
        </row>
        <row r="71">
          <cell r="B71">
            <v>39143</v>
          </cell>
          <cell r="C71">
            <v>59.33</v>
          </cell>
          <cell r="D71" t="str">
            <v>12/2006</v>
          </cell>
          <cell r="E71">
            <v>411.79080000000005</v>
          </cell>
          <cell r="F71">
            <v>14.407801242766956</v>
          </cell>
          <cell r="G71">
            <v>2.74</v>
          </cell>
          <cell r="H71">
            <v>274</v>
          </cell>
        </row>
        <row r="72">
          <cell r="B72">
            <v>39146</v>
          </cell>
          <cell r="C72">
            <v>59.33</v>
          </cell>
          <cell r="D72" t="str">
            <v>12/2006</v>
          </cell>
          <cell r="E72">
            <v>411.79080000000005</v>
          </cell>
          <cell r="F72">
            <v>14.407801242766956</v>
          </cell>
          <cell r="G72">
            <v>2.6875</v>
          </cell>
          <cell r="H72">
            <v>268.75</v>
          </cell>
        </row>
        <row r="73">
          <cell r="B73">
            <v>39147</v>
          </cell>
          <cell r="C73">
            <v>59.33</v>
          </cell>
          <cell r="D73" t="str">
            <v>12/2006</v>
          </cell>
          <cell r="E73">
            <v>411.79080000000005</v>
          </cell>
          <cell r="F73">
            <v>14.407801242766956</v>
          </cell>
          <cell r="G73">
            <v>2.7524999999999999</v>
          </cell>
          <cell r="H73">
            <v>275.25</v>
          </cell>
        </row>
        <row r="74">
          <cell r="B74">
            <v>39148</v>
          </cell>
          <cell r="C74">
            <v>59.33</v>
          </cell>
          <cell r="D74" t="str">
            <v>12/2006</v>
          </cell>
          <cell r="E74">
            <v>411.79080000000005</v>
          </cell>
          <cell r="F74">
            <v>14.407801242766956</v>
          </cell>
          <cell r="G74">
            <v>2.7800000000000002</v>
          </cell>
          <cell r="H74">
            <v>278</v>
          </cell>
        </row>
        <row r="75">
          <cell r="B75">
            <v>39149</v>
          </cell>
          <cell r="C75">
            <v>59.33</v>
          </cell>
          <cell r="D75" t="str">
            <v>12/2006</v>
          </cell>
          <cell r="E75">
            <v>411.79080000000005</v>
          </cell>
          <cell r="F75">
            <v>14.407801242766956</v>
          </cell>
          <cell r="G75">
            <v>2.81</v>
          </cell>
          <cell r="H75">
            <v>281</v>
          </cell>
        </row>
        <row r="76">
          <cell r="B76">
            <v>39150</v>
          </cell>
          <cell r="C76">
            <v>59.33</v>
          </cell>
          <cell r="D76" t="str">
            <v>12/2006</v>
          </cell>
          <cell r="E76">
            <v>411.79080000000005</v>
          </cell>
          <cell r="F76">
            <v>14.407801242766956</v>
          </cell>
          <cell r="G76">
            <v>2.8149999999999999</v>
          </cell>
          <cell r="H76">
            <v>281.5</v>
          </cell>
        </row>
        <row r="77">
          <cell r="B77">
            <v>39153</v>
          </cell>
          <cell r="C77">
            <v>59.33</v>
          </cell>
          <cell r="D77" t="str">
            <v>12/2006</v>
          </cell>
          <cell r="E77">
            <v>411.79080000000005</v>
          </cell>
          <cell r="F77">
            <v>14.407801242766956</v>
          </cell>
          <cell r="G77">
            <v>2.8650000000000002</v>
          </cell>
          <cell r="H77">
            <v>286.5</v>
          </cell>
        </row>
        <row r="78">
          <cell r="B78">
            <v>39154</v>
          </cell>
          <cell r="C78">
            <v>59.33</v>
          </cell>
          <cell r="D78" t="str">
            <v>12/2006</v>
          </cell>
          <cell r="E78">
            <v>411.79080000000005</v>
          </cell>
          <cell r="F78">
            <v>14.407801242766956</v>
          </cell>
          <cell r="G78">
            <v>2.8425000000000002</v>
          </cell>
          <cell r="H78">
            <v>284.25</v>
          </cell>
        </row>
        <row r="79">
          <cell r="B79">
            <v>39155</v>
          </cell>
          <cell r="C79">
            <v>59.33</v>
          </cell>
          <cell r="D79" t="str">
            <v>12/2006</v>
          </cell>
          <cell r="E79">
            <v>411.79080000000005</v>
          </cell>
          <cell r="F79">
            <v>14.407801242766956</v>
          </cell>
          <cell r="G79">
            <v>2.7475000000000001</v>
          </cell>
          <cell r="H79">
            <v>274.75</v>
          </cell>
        </row>
        <row r="80">
          <cell r="B80">
            <v>39156</v>
          </cell>
          <cell r="C80">
            <v>62.17</v>
          </cell>
          <cell r="D80" t="str">
            <v>12/2007</v>
          </cell>
          <cell r="E80">
            <v>411.79080000000005</v>
          </cell>
          <cell r="F80">
            <v>15.097471823071325</v>
          </cell>
          <cell r="G80">
            <v>2.79</v>
          </cell>
          <cell r="H80">
            <v>279</v>
          </cell>
        </row>
        <row r="81">
          <cell r="B81">
            <v>39157</v>
          </cell>
          <cell r="C81">
            <v>62.17</v>
          </cell>
          <cell r="D81" t="str">
            <v>12/2007</v>
          </cell>
          <cell r="E81">
            <v>411.79080000000005</v>
          </cell>
          <cell r="F81">
            <v>15.097471823071325</v>
          </cell>
          <cell r="G81">
            <v>2.7625000000000002</v>
          </cell>
          <cell r="H81">
            <v>276.25</v>
          </cell>
        </row>
        <row r="82">
          <cell r="B82">
            <v>39160</v>
          </cell>
          <cell r="C82">
            <v>62.17</v>
          </cell>
          <cell r="D82" t="str">
            <v>12/2007</v>
          </cell>
          <cell r="E82">
            <v>411.79080000000005</v>
          </cell>
          <cell r="F82">
            <v>15.097471823071325</v>
          </cell>
          <cell r="G82">
            <v>2.81</v>
          </cell>
          <cell r="H82">
            <v>281</v>
          </cell>
        </row>
        <row r="83">
          <cell r="B83">
            <v>39161</v>
          </cell>
          <cell r="C83">
            <v>62.17</v>
          </cell>
          <cell r="D83" t="str">
            <v>12/2007</v>
          </cell>
          <cell r="E83">
            <v>411.79080000000005</v>
          </cell>
          <cell r="F83">
            <v>15.097471823071325</v>
          </cell>
          <cell r="G83">
            <v>2.8375000000000004</v>
          </cell>
          <cell r="H83">
            <v>283.75000000000006</v>
          </cell>
        </row>
        <row r="84">
          <cell r="B84">
            <v>39162</v>
          </cell>
          <cell r="C84">
            <v>62.17</v>
          </cell>
          <cell r="D84" t="str">
            <v>12/2007</v>
          </cell>
          <cell r="E84">
            <v>411.79080000000005</v>
          </cell>
          <cell r="F84">
            <v>15.097471823071325</v>
          </cell>
          <cell r="G84">
            <v>2.88</v>
          </cell>
          <cell r="H84">
            <v>288</v>
          </cell>
        </row>
        <row r="85">
          <cell r="B85">
            <v>39163</v>
          </cell>
          <cell r="C85">
            <v>62.17</v>
          </cell>
          <cell r="D85" t="str">
            <v>12/2007</v>
          </cell>
          <cell r="E85">
            <v>411.79080000000005</v>
          </cell>
          <cell r="F85">
            <v>15.097471823071325</v>
          </cell>
          <cell r="G85">
            <v>2.8774999999999999</v>
          </cell>
          <cell r="H85">
            <v>287.75</v>
          </cell>
        </row>
        <row r="86">
          <cell r="B86">
            <v>39164</v>
          </cell>
          <cell r="C86">
            <v>62.17</v>
          </cell>
          <cell r="D86" t="str">
            <v>12/2007</v>
          </cell>
          <cell r="E86">
            <v>411.79080000000005</v>
          </cell>
          <cell r="F86">
            <v>15.097471823071325</v>
          </cell>
          <cell r="G86">
            <v>2.8925000000000001</v>
          </cell>
          <cell r="H86">
            <v>289.25</v>
          </cell>
        </row>
        <row r="87">
          <cell r="B87">
            <v>39167</v>
          </cell>
          <cell r="C87">
            <v>62.17</v>
          </cell>
          <cell r="D87" t="str">
            <v>12/2007</v>
          </cell>
          <cell r="E87">
            <v>411.79080000000005</v>
          </cell>
          <cell r="F87">
            <v>15.097471823071325</v>
          </cell>
          <cell r="G87">
            <v>2.8625000000000003</v>
          </cell>
          <cell r="H87">
            <v>286.25</v>
          </cell>
        </row>
        <row r="88">
          <cell r="B88">
            <v>39168</v>
          </cell>
          <cell r="C88">
            <v>62.17</v>
          </cell>
          <cell r="D88" t="str">
            <v>12/2007</v>
          </cell>
          <cell r="E88">
            <v>411.79080000000005</v>
          </cell>
          <cell r="F88">
            <v>15.097471823071325</v>
          </cell>
          <cell r="G88">
            <v>2.85</v>
          </cell>
          <cell r="H88">
            <v>285</v>
          </cell>
        </row>
        <row r="89">
          <cell r="B89">
            <v>39169</v>
          </cell>
          <cell r="C89">
            <v>62.17</v>
          </cell>
          <cell r="D89" t="str">
            <v>12/2007</v>
          </cell>
          <cell r="E89">
            <v>411.79080000000005</v>
          </cell>
          <cell r="F89">
            <v>15.097471823071325</v>
          </cell>
          <cell r="G89">
            <v>2.8250000000000002</v>
          </cell>
          <cell r="H89">
            <v>282.5</v>
          </cell>
        </row>
        <row r="90">
          <cell r="B90">
            <v>39170</v>
          </cell>
          <cell r="C90">
            <v>62.17</v>
          </cell>
          <cell r="D90" t="str">
            <v>12/2007</v>
          </cell>
          <cell r="E90">
            <v>411.79080000000005</v>
          </cell>
          <cell r="F90">
            <v>15.097471823071325</v>
          </cell>
          <cell r="G90">
            <v>2.8475000000000001</v>
          </cell>
          <cell r="H90">
            <v>284.75</v>
          </cell>
        </row>
        <row r="91">
          <cell r="B91">
            <v>39171</v>
          </cell>
          <cell r="C91">
            <v>62.17</v>
          </cell>
          <cell r="D91" t="str">
            <v>12/2007</v>
          </cell>
          <cell r="E91">
            <v>412.01350000000002</v>
          </cell>
          <cell r="F91">
            <v>15.08931139392277</v>
          </cell>
          <cell r="G91">
            <v>2.81</v>
          </cell>
          <cell r="H91">
            <v>281</v>
          </cell>
        </row>
        <row r="92">
          <cell r="B92">
            <v>39174</v>
          </cell>
          <cell r="C92">
            <v>62.17</v>
          </cell>
          <cell r="D92" t="str">
            <v>12/2007</v>
          </cell>
          <cell r="E92">
            <v>412.01350000000002</v>
          </cell>
          <cell r="F92">
            <v>15.08931139392277</v>
          </cell>
          <cell r="G92">
            <v>2.82</v>
          </cell>
          <cell r="H92">
            <v>282</v>
          </cell>
        </row>
        <row r="93">
          <cell r="B93">
            <v>39175</v>
          </cell>
          <cell r="C93">
            <v>62.17</v>
          </cell>
          <cell r="D93" t="str">
            <v>12/2007</v>
          </cell>
          <cell r="E93">
            <v>412.01350000000002</v>
          </cell>
          <cell r="F93">
            <v>15.08931139392277</v>
          </cell>
          <cell r="G93">
            <v>2.8725000000000001</v>
          </cell>
          <cell r="H93">
            <v>287.25</v>
          </cell>
        </row>
        <row r="94">
          <cell r="B94">
            <v>39176</v>
          </cell>
          <cell r="C94">
            <v>62.17</v>
          </cell>
          <cell r="D94" t="str">
            <v>12/2007</v>
          </cell>
          <cell r="E94">
            <v>412.01350000000002</v>
          </cell>
          <cell r="F94">
            <v>15.08931139392277</v>
          </cell>
          <cell r="G94">
            <v>2.84</v>
          </cell>
          <cell r="H94">
            <v>284</v>
          </cell>
        </row>
        <row r="95">
          <cell r="B95">
            <v>39177</v>
          </cell>
          <cell r="C95">
            <v>62.17</v>
          </cell>
          <cell r="D95" t="str">
            <v>12/2007</v>
          </cell>
          <cell r="E95">
            <v>412.01350000000002</v>
          </cell>
          <cell r="F95">
            <v>15.08931139392277</v>
          </cell>
          <cell r="G95">
            <v>2.8774999999999999</v>
          </cell>
          <cell r="H95">
            <v>287.75</v>
          </cell>
        </row>
        <row r="96">
          <cell r="B96">
            <v>39181</v>
          </cell>
          <cell r="C96">
            <v>62.17</v>
          </cell>
          <cell r="D96" t="str">
            <v>12/2007</v>
          </cell>
          <cell r="E96">
            <v>412.01350000000002</v>
          </cell>
          <cell r="F96">
            <v>15.08931139392277</v>
          </cell>
          <cell r="G96">
            <v>2.8774999999999999</v>
          </cell>
          <cell r="H96">
            <v>287.75</v>
          </cell>
        </row>
        <row r="97">
          <cell r="B97">
            <v>39182</v>
          </cell>
          <cell r="C97">
            <v>62.17</v>
          </cell>
          <cell r="D97" t="str">
            <v>12/2007</v>
          </cell>
          <cell r="E97">
            <v>412.01350000000002</v>
          </cell>
          <cell r="F97">
            <v>15.08931139392277</v>
          </cell>
          <cell r="G97">
            <v>2.875</v>
          </cell>
          <cell r="H97">
            <v>287.5</v>
          </cell>
        </row>
        <row r="98">
          <cell r="B98">
            <v>39183</v>
          </cell>
          <cell r="C98">
            <v>62.17</v>
          </cell>
          <cell r="D98" t="str">
            <v>12/2007</v>
          </cell>
          <cell r="E98">
            <v>412.01350000000002</v>
          </cell>
          <cell r="F98">
            <v>15.08931139392277</v>
          </cell>
          <cell r="G98">
            <v>2.8574999999999999</v>
          </cell>
          <cell r="H98">
            <v>285.75</v>
          </cell>
        </row>
        <row r="99">
          <cell r="B99">
            <v>39184</v>
          </cell>
          <cell r="C99">
            <v>62.17</v>
          </cell>
          <cell r="D99" t="str">
            <v>12/2007</v>
          </cell>
          <cell r="E99">
            <v>412.01350000000002</v>
          </cell>
          <cell r="F99">
            <v>15.08931139392277</v>
          </cell>
          <cell r="G99">
            <v>2.8475000000000001</v>
          </cell>
          <cell r="H99">
            <v>284.75</v>
          </cell>
        </row>
        <row r="100">
          <cell r="B100">
            <v>39185</v>
          </cell>
          <cell r="C100">
            <v>62.17</v>
          </cell>
          <cell r="D100" t="str">
            <v>12/2007</v>
          </cell>
          <cell r="E100">
            <v>412.01350000000002</v>
          </cell>
          <cell r="F100">
            <v>15.08931139392277</v>
          </cell>
          <cell r="G100">
            <v>2.8475000000000001</v>
          </cell>
          <cell r="H100">
            <v>284.75</v>
          </cell>
        </row>
        <row r="101">
          <cell r="B101">
            <v>39188</v>
          </cell>
          <cell r="C101">
            <v>62.17</v>
          </cell>
          <cell r="D101" t="str">
            <v>12/2007</v>
          </cell>
          <cell r="E101">
            <v>412.01350000000002</v>
          </cell>
          <cell r="F101">
            <v>15.08931139392277</v>
          </cell>
          <cell r="G101">
            <v>2.85</v>
          </cell>
          <cell r="H101">
            <v>285</v>
          </cell>
        </row>
        <row r="102">
          <cell r="B102">
            <v>39189</v>
          </cell>
          <cell r="C102">
            <v>62.17</v>
          </cell>
          <cell r="D102" t="str">
            <v>12/2007</v>
          </cell>
          <cell r="E102">
            <v>412.01350000000002</v>
          </cell>
          <cell r="F102">
            <v>15.08931139392277</v>
          </cell>
          <cell r="G102">
            <v>2.84</v>
          </cell>
          <cell r="H102">
            <v>284</v>
          </cell>
        </row>
        <row r="103">
          <cell r="B103">
            <v>39190</v>
          </cell>
          <cell r="C103">
            <v>62.17</v>
          </cell>
          <cell r="D103" t="str">
            <v>12/2007</v>
          </cell>
          <cell r="E103">
            <v>412.01350000000002</v>
          </cell>
          <cell r="F103">
            <v>15.08931139392277</v>
          </cell>
          <cell r="G103">
            <v>2.8175000000000003</v>
          </cell>
          <cell r="H103">
            <v>281.75000000000006</v>
          </cell>
        </row>
        <row r="104">
          <cell r="B104">
            <v>39191</v>
          </cell>
          <cell r="C104">
            <v>62.17</v>
          </cell>
          <cell r="D104" t="str">
            <v>12/2007</v>
          </cell>
          <cell r="E104">
            <v>412.01350000000002</v>
          </cell>
          <cell r="F104">
            <v>15.08931139392277</v>
          </cell>
          <cell r="G104">
            <v>2.8000000000000003</v>
          </cell>
          <cell r="H104">
            <v>280</v>
          </cell>
        </row>
        <row r="105">
          <cell r="B105">
            <v>39192</v>
          </cell>
          <cell r="C105">
            <v>62.17</v>
          </cell>
          <cell r="D105" t="str">
            <v>12/2007</v>
          </cell>
          <cell r="E105">
            <v>412.01350000000002</v>
          </cell>
          <cell r="F105">
            <v>15.08931139392277</v>
          </cell>
          <cell r="G105">
            <v>2.82</v>
          </cell>
          <cell r="H105">
            <v>282</v>
          </cell>
        </row>
        <row r="106">
          <cell r="B106">
            <v>39195</v>
          </cell>
          <cell r="C106">
            <v>62.17</v>
          </cell>
          <cell r="D106" t="str">
            <v>12/2007</v>
          </cell>
          <cell r="E106">
            <v>412.01350000000002</v>
          </cell>
          <cell r="F106">
            <v>15.08931139392277</v>
          </cell>
          <cell r="G106">
            <v>2.82</v>
          </cell>
          <cell r="H106">
            <v>282</v>
          </cell>
        </row>
        <row r="107">
          <cell r="B107">
            <v>39196</v>
          </cell>
          <cell r="C107">
            <v>62.17</v>
          </cell>
          <cell r="D107" t="str">
            <v>12/2007</v>
          </cell>
          <cell r="E107">
            <v>412.01350000000002</v>
          </cell>
          <cell r="F107">
            <v>15.08931139392277</v>
          </cell>
          <cell r="G107">
            <v>2.8025000000000002</v>
          </cell>
          <cell r="H107">
            <v>280.25</v>
          </cell>
        </row>
        <row r="108">
          <cell r="B108">
            <v>39197</v>
          </cell>
          <cell r="C108">
            <v>62.17</v>
          </cell>
          <cell r="D108" t="str">
            <v>12/2007</v>
          </cell>
          <cell r="E108">
            <v>412.01350000000002</v>
          </cell>
          <cell r="F108">
            <v>15.08931139392277</v>
          </cell>
          <cell r="G108">
            <v>2.81</v>
          </cell>
          <cell r="H108">
            <v>281</v>
          </cell>
        </row>
        <row r="109">
          <cell r="B109">
            <v>39198</v>
          </cell>
          <cell r="C109">
            <v>62.17</v>
          </cell>
          <cell r="D109" t="str">
            <v>12/2007</v>
          </cell>
          <cell r="E109">
            <v>412.01350000000002</v>
          </cell>
          <cell r="F109">
            <v>15.08931139392277</v>
          </cell>
          <cell r="G109">
            <v>2.82</v>
          </cell>
          <cell r="H109">
            <v>282</v>
          </cell>
        </row>
        <row r="110">
          <cell r="B110">
            <v>39199</v>
          </cell>
          <cell r="C110">
            <v>62.17</v>
          </cell>
          <cell r="D110" t="str">
            <v>12/2007</v>
          </cell>
          <cell r="E110">
            <v>412.01350000000002</v>
          </cell>
          <cell r="F110">
            <v>15.08931139392277</v>
          </cell>
          <cell r="G110">
            <v>2.8574999999999999</v>
          </cell>
          <cell r="H110">
            <v>285.75</v>
          </cell>
        </row>
        <row r="111">
          <cell r="B111">
            <v>39202</v>
          </cell>
          <cell r="C111">
            <v>62.17</v>
          </cell>
          <cell r="D111" t="str">
            <v>12/2007</v>
          </cell>
          <cell r="E111">
            <v>412.01850000000002</v>
          </cell>
          <cell r="F111">
            <v>15.089128279434053</v>
          </cell>
          <cell r="G111">
            <v>2.8450000000000002</v>
          </cell>
          <cell r="H111">
            <v>284.5</v>
          </cell>
        </row>
        <row r="112">
          <cell r="B112">
            <v>39203</v>
          </cell>
          <cell r="C112">
            <v>62.17</v>
          </cell>
          <cell r="D112" t="str">
            <v>12/2007</v>
          </cell>
          <cell r="E112">
            <v>412.01850000000002</v>
          </cell>
          <cell r="F112">
            <v>15.089128279434053</v>
          </cell>
          <cell r="G112">
            <v>2.8425000000000002</v>
          </cell>
          <cell r="H112">
            <v>284.25</v>
          </cell>
        </row>
        <row r="113">
          <cell r="B113">
            <v>39204</v>
          </cell>
          <cell r="C113">
            <v>62.17</v>
          </cell>
          <cell r="D113" t="str">
            <v>12/2007</v>
          </cell>
          <cell r="E113">
            <v>412.01850000000002</v>
          </cell>
          <cell r="F113">
            <v>15.089128279434053</v>
          </cell>
          <cell r="G113">
            <v>2.82</v>
          </cell>
          <cell r="H113">
            <v>282</v>
          </cell>
        </row>
        <row r="114">
          <cell r="B114">
            <v>39205</v>
          </cell>
          <cell r="C114">
            <v>62.17</v>
          </cell>
          <cell r="D114" t="str">
            <v>12/2007</v>
          </cell>
          <cell r="E114">
            <v>412.01850000000002</v>
          </cell>
          <cell r="F114">
            <v>15.089128279434053</v>
          </cell>
          <cell r="G114">
            <v>2.8050000000000002</v>
          </cell>
          <cell r="H114">
            <v>280.5</v>
          </cell>
        </row>
        <row r="115">
          <cell r="B115">
            <v>39206</v>
          </cell>
          <cell r="C115">
            <v>62.17</v>
          </cell>
          <cell r="D115" t="str">
            <v>12/2007</v>
          </cell>
          <cell r="E115">
            <v>412.01850000000002</v>
          </cell>
          <cell r="F115">
            <v>15.089128279434053</v>
          </cell>
          <cell r="G115">
            <v>2.81</v>
          </cell>
          <cell r="H115">
            <v>281</v>
          </cell>
        </row>
        <row r="116">
          <cell r="B116">
            <v>39209</v>
          </cell>
          <cell r="C116">
            <v>62.17</v>
          </cell>
          <cell r="D116" t="str">
            <v>12/2007</v>
          </cell>
          <cell r="E116">
            <v>412.01850000000002</v>
          </cell>
          <cell r="F116">
            <v>15.089128279434053</v>
          </cell>
          <cell r="G116">
            <v>2.81</v>
          </cell>
          <cell r="H116">
            <v>281</v>
          </cell>
        </row>
        <row r="117">
          <cell r="B117">
            <v>39210</v>
          </cell>
          <cell r="C117">
            <v>62.17</v>
          </cell>
          <cell r="D117" t="str">
            <v>12/2007</v>
          </cell>
          <cell r="E117">
            <v>412.01850000000002</v>
          </cell>
          <cell r="F117">
            <v>15.089128279434053</v>
          </cell>
          <cell r="G117">
            <v>2.8000000000000003</v>
          </cell>
          <cell r="H117">
            <v>280</v>
          </cell>
        </row>
        <row r="118">
          <cell r="B118">
            <v>39211</v>
          </cell>
          <cell r="C118">
            <v>62.17</v>
          </cell>
          <cell r="D118" t="str">
            <v>12/2007</v>
          </cell>
          <cell r="E118">
            <v>412.01850000000002</v>
          </cell>
          <cell r="F118">
            <v>15.089128279434053</v>
          </cell>
          <cell r="G118">
            <v>2.8000000000000003</v>
          </cell>
          <cell r="H118">
            <v>280</v>
          </cell>
        </row>
        <row r="119">
          <cell r="B119">
            <v>39212</v>
          </cell>
          <cell r="C119">
            <v>62.17</v>
          </cell>
          <cell r="D119" t="str">
            <v>12/2007</v>
          </cell>
          <cell r="E119">
            <v>412.01850000000002</v>
          </cell>
          <cell r="F119">
            <v>15.089128279434053</v>
          </cell>
          <cell r="G119">
            <v>2.8050000000000002</v>
          </cell>
          <cell r="H119">
            <v>280.5</v>
          </cell>
        </row>
        <row r="120">
          <cell r="B120">
            <v>39213</v>
          </cell>
          <cell r="C120">
            <v>62.17</v>
          </cell>
          <cell r="D120" t="str">
            <v>12/2007</v>
          </cell>
          <cell r="E120">
            <v>412.01850000000002</v>
          </cell>
          <cell r="F120">
            <v>15.089128279434053</v>
          </cell>
          <cell r="G120">
            <v>2.7850000000000001</v>
          </cell>
          <cell r="H120">
            <v>278.5</v>
          </cell>
        </row>
        <row r="121">
          <cell r="B121">
            <v>39216</v>
          </cell>
          <cell r="C121">
            <v>62.17</v>
          </cell>
          <cell r="D121" t="str">
            <v>12/2007</v>
          </cell>
          <cell r="E121">
            <v>412.01850000000002</v>
          </cell>
          <cell r="F121">
            <v>15.089128279434053</v>
          </cell>
          <cell r="G121">
            <v>2.7949999999999999</v>
          </cell>
          <cell r="H121">
            <v>279.5</v>
          </cell>
        </row>
        <row r="122">
          <cell r="B122">
            <v>39217</v>
          </cell>
          <cell r="C122">
            <v>62.17</v>
          </cell>
          <cell r="D122" t="str">
            <v>12/2007</v>
          </cell>
          <cell r="E122">
            <v>412.01850000000002</v>
          </cell>
          <cell r="F122">
            <v>15.089128279434053</v>
          </cell>
          <cell r="G122">
            <v>2.8050000000000002</v>
          </cell>
          <cell r="H122">
            <v>280.5</v>
          </cell>
        </row>
        <row r="123">
          <cell r="B123">
            <v>39218</v>
          </cell>
          <cell r="C123">
            <v>62.17</v>
          </cell>
          <cell r="D123" t="str">
            <v>12/2007</v>
          </cell>
          <cell r="E123">
            <v>412.01850000000002</v>
          </cell>
          <cell r="F123">
            <v>15.089128279434053</v>
          </cell>
          <cell r="G123">
            <v>2.8000000000000003</v>
          </cell>
          <cell r="H123">
            <v>280</v>
          </cell>
        </row>
        <row r="124">
          <cell r="B124">
            <v>39219</v>
          </cell>
          <cell r="C124">
            <v>62.230000000000004</v>
          </cell>
          <cell r="D124" t="str">
            <v>12/2007</v>
          </cell>
          <cell r="E124">
            <v>412.01850000000002</v>
          </cell>
          <cell r="F124">
            <v>15.10369073233362</v>
          </cell>
          <cell r="G124">
            <v>2.82</v>
          </cell>
          <cell r="H124">
            <v>282</v>
          </cell>
        </row>
        <row r="125">
          <cell r="B125">
            <v>39220</v>
          </cell>
          <cell r="C125">
            <v>62.230000000000004</v>
          </cell>
          <cell r="D125" t="str">
            <v>12/2007</v>
          </cell>
          <cell r="E125">
            <v>412.01850000000002</v>
          </cell>
          <cell r="F125">
            <v>15.10369073233362</v>
          </cell>
          <cell r="G125">
            <v>2.84</v>
          </cell>
          <cell r="H125">
            <v>284</v>
          </cell>
        </row>
        <row r="126">
          <cell r="B126">
            <v>39223</v>
          </cell>
          <cell r="C126">
            <v>62.230000000000004</v>
          </cell>
          <cell r="D126" t="str">
            <v>12/2007</v>
          </cell>
          <cell r="E126">
            <v>412.01850000000002</v>
          </cell>
          <cell r="F126">
            <v>15.10369073233362</v>
          </cell>
          <cell r="G126">
            <v>2.835</v>
          </cell>
          <cell r="H126">
            <v>283.5</v>
          </cell>
        </row>
        <row r="127">
          <cell r="B127">
            <v>39224</v>
          </cell>
          <cell r="C127">
            <v>62.230000000000004</v>
          </cell>
          <cell r="D127" t="str">
            <v>12/2007</v>
          </cell>
          <cell r="E127">
            <v>412.01850000000002</v>
          </cell>
          <cell r="F127">
            <v>15.10369073233362</v>
          </cell>
          <cell r="G127">
            <v>2.835</v>
          </cell>
          <cell r="H127">
            <v>283.5</v>
          </cell>
        </row>
        <row r="128">
          <cell r="B128">
            <v>39225</v>
          </cell>
          <cell r="C128">
            <v>62.230000000000004</v>
          </cell>
          <cell r="D128" t="str">
            <v>12/2007</v>
          </cell>
          <cell r="E128">
            <v>412.01850000000002</v>
          </cell>
          <cell r="F128">
            <v>15.10369073233362</v>
          </cell>
          <cell r="G128">
            <v>2.84</v>
          </cell>
          <cell r="H128">
            <v>284</v>
          </cell>
        </row>
        <row r="129">
          <cell r="B129">
            <v>39226</v>
          </cell>
          <cell r="C129">
            <v>62.230000000000004</v>
          </cell>
          <cell r="D129" t="str">
            <v>12/2007</v>
          </cell>
          <cell r="E129">
            <v>412.01850000000002</v>
          </cell>
          <cell r="F129">
            <v>15.10369073233362</v>
          </cell>
          <cell r="G129">
            <v>2.83</v>
          </cell>
          <cell r="H129">
            <v>283</v>
          </cell>
        </row>
        <row r="130">
          <cell r="B130">
            <v>39227</v>
          </cell>
          <cell r="C130">
            <v>62.230000000000004</v>
          </cell>
          <cell r="D130" t="str">
            <v>12/2007</v>
          </cell>
          <cell r="E130">
            <v>412.01850000000002</v>
          </cell>
          <cell r="F130">
            <v>15.10369073233362</v>
          </cell>
          <cell r="G130">
            <v>2.83</v>
          </cell>
          <cell r="H130">
            <v>283</v>
          </cell>
        </row>
        <row r="131">
          <cell r="B131">
            <v>39231</v>
          </cell>
          <cell r="C131">
            <v>62.230000000000004</v>
          </cell>
          <cell r="D131" t="str">
            <v>12/2007</v>
          </cell>
          <cell r="E131">
            <v>412.01850000000002</v>
          </cell>
          <cell r="F131">
            <v>15.10369073233362</v>
          </cell>
          <cell r="G131">
            <v>2.8425000000000002</v>
          </cell>
          <cell r="H131">
            <v>284.25</v>
          </cell>
        </row>
        <row r="132">
          <cell r="B132">
            <v>39232</v>
          </cell>
          <cell r="C132">
            <v>62.230000000000004</v>
          </cell>
          <cell r="D132" t="str">
            <v>12/2007</v>
          </cell>
          <cell r="E132">
            <v>412.01850000000002</v>
          </cell>
          <cell r="F132">
            <v>15.10369073233362</v>
          </cell>
          <cell r="G132">
            <v>2.8250000000000002</v>
          </cell>
          <cell r="H132">
            <v>282.5</v>
          </cell>
        </row>
        <row r="133">
          <cell r="B133">
            <v>39233</v>
          </cell>
          <cell r="C133">
            <v>62.230000000000004</v>
          </cell>
          <cell r="D133" t="str">
            <v>12/2007</v>
          </cell>
          <cell r="E133">
            <v>412.32570000000004</v>
          </cell>
          <cell r="F133">
            <v>15.092437847070894</v>
          </cell>
          <cell r="G133">
            <v>2.8475000000000001</v>
          </cell>
          <cell r="H133">
            <v>284.75</v>
          </cell>
        </row>
        <row r="134">
          <cell r="B134">
            <v>39234</v>
          </cell>
          <cell r="C134">
            <v>62.230000000000004</v>
          </cell>
          <cell r="D134" t="str">
            <v>12/2007</v>
          </cell>
          <cell r="E134">
            <v>412.32570000000004</v>
          </cell>
          <cell r="F134">
            <v>15.092437847070894</v>
          </cell>
          <cell r="G134">
            <v>2.87</v>
          </cell>
          <cell r="H134">
            <v>287</v>
          </cell>
        </row>
        <row r="135">
          <cell r="B135">
            <v>39237</v>
          </cell>
          <cell r="C135">
            <v>62.230000000000004</v>
          </cell>
          <cell r="D135" t="str">
            <v>12/2007</v>
          </cell>
          <cell r="E135">
            <v>412.32570000000004</v>
          </cell>
          <cell r="F135">
            <v>15.092437847070894</v>
          </cell>
          <cell r="G135">
            <v>2.8475000000000001</v>
          </cell>
          <cell r="H135">
            <v>284.75</v>
          </cell>
        </row>
        <row r="136">
          <cell r="B136">
            <v>39238</v>
          </cell>
          <cell r="C136">
            <v>62.230000000000004</v>
          </cell>
          <cell r="D136" t="str">
            <v>12/2007</v>
          </cell>
          <cell r="E136">
            <v>412.32570000000004</v>
          </cell>
          <cell r="F136">
            <v>15.092437847070894</v>
          </cell>
          <cell r="G136">
            <v>2.8149999999999999</v>
          </cell>
          <cell r="H136">
            <v>281.5</v>
          </cell>
        </row>
        <row r="137">
          <cell r="B137">
            <v>39239</v>
          </cell>
          <cell r="C137">
            <v>62.230000000000004</v>
          </cell>
          <cell r="D137" t="str">
            <v>12/2007</v>
          </cell>
          <cell r="E137">
            <v>412.32570000000004</v>
          </cell>
          <cell r="F137">
            <v>15.092437847070894</v>
          </cell>
          <cell r="G137">
            <v>2.7375000000000003</v>
          </cell>
          <cell r="H137">
            <v>273.75</v>
          </cell>
        </row>
        <row r="138">
          <cell r="B138">
            <v>39240</v>
          </cell>
          <cell r="C138">
            <v>62.230000000000004</v>
          </cell>
          <cell r="D138" t="str">
            <v>12/2007</v>
          </cell>
          <cell r="E138">
            <v>412.32570000000004</v>
          </cell>
          <cell r="F138">
            <v>15.092437847070894</v>
          </cell>
          <cell r="G138">
            <v>2.7225000000000001</v>
          </cell>
          <cell r="H138">
            <v>272.25</v>
          </cell>
        </row>
        <row r="139">
          <cell r="B139">
            <v>39241</v>
          </cell>
          <cell r="C139">
            <v>62.230000000000004</v>
          </cell>
          <cell r="D139" t="str">
            <v>12/2007</v>
          </cell>
          <cell r="E139">
            <v>412.32570000000004</v>
          </cell>
          <cell r="F139">
            <v>15.092437847070894</v>
          </cell>
          <cell r="G139">
            <v>2.6675</v>
          </cell>
          <cell r="H139">
            <v>266.75</v>
          </cell>
        </row>
        <row r="140">
          <cell r="B140">
            <v>39244</v>
          </cell>
          <cell r="C140">
            <v>62.230000000000004</v>
          </cell>
          <cell r="D140" t="str">
            <v>12/2007</v>
          </cell>
          <cell r="E140">
            <v>412.32570000000004</v>
          </cell>
          <cell r="F140">
            <v>15.092437847070894</v>
          </cell>
          <cell r="G140">
            <v>2.7149999999999999</v>
          </cell>
          <cell r="H140">
            <v>271.5</v>
          </cell>
        </row>
        <row r="141">
          <cell r="B141">
            <v>39245</v>
          </cell>
          <cell r="C141">
            <v>62.230000000000004</v>
          </cell>
          <cell r="D141" t="str">
            <v>12/2007</v>
          </cell>
          <cell r="E141">
            <v>412.32570000000004</v>
          </cell>
          <cell r="F141">
            <v>15.092437847070894</v>
          </cell>
          <cell r="G141">
            <v>2.6825000000000001</v>
          </cell>
          <cell r="H141">
            <v>268.25</v>
          </cell>
        </row>
        <row r="142">
          <cell r="B142">
            <v>39246</v>
          </cell>
          <cell r="C142">
            <v>62.230000000000004</v>
          </cell>
          <cell r="D142" t="str">
            <v>12/2007</v>
          </cell>
          <cell r="E142">
            <v>412.32570000000004</v>
          </cell>
          <cell r="F142">
            <v>15.092437847070894</v>
          </cell>
          <cell r="G142">
            <v>2.72</v>
          </cell>
          <cell r="H142">
            <v>272</v>
          </cell>
        </row>
        <row r="143">
          <cell r="B143">
            <v>39247</v>
          </cell>
          <cell r="C143">
            <v>62.230000000000004</v>
          </cell>
          <cell r="D143" t="str">
            <v>12/2007</v>
          </cell>
          <cell r="E143">
            <v>412.32570000000004</v>
          </cell>
          <cell r="F143">
            <v>15.092437847070894</v>
          </cell>
          <cell r="G143">
            <v>2.8050000000000002</v>
          </cell>
          <cell r="H143">
            <v>280.5</v>
          </cell>
        </row>
        <row r="144">
          <cell r="B144">
            <v>39248</v>
          </cell>
          <cell r="C144">
            <v>62.230000000000004</v>
          </cell>
          <cell r="D144" t="str">
            <v>12/2007</v>
          </cell>
          <cell r="E144">
            <v>412.32570000000004</v>
          </cell>
          <cell r="F144">
            <v>15.092437847070894</v>
          </cell>
          <cell r="G144">
            <v>2.83</v>
          </cell>
          <cell r="H144">
            <v>283</v>
          </cell>
        </row>
        <row r="145">
          <cell r="B145">
            <v>39251</v>
          </cell>
          <cell r="C145">
            <v>62.230000000000004</v>
          </cell>
          <cell r="D145" t="str">
            <v>12/2007</v>
          </cell>
          <cell r="E145">
            <v>412.32570000000004</v>
          </cell>
          <cell r="F145">
            <v>15.092437847070894</v>
          </cell>
          <cell r="G145">
            <v>2.8375000000000004</v>
          </cell>
          <cell r="H145">
            <v>283.75000000000006</v>
          </cell>
        </row>
        <row r="146">
          <cell r="B146">
            <v>39252</v>
          </cell>
          <cell r="C146">
            <v>62.230000000000004</v>
          </cell>
          <cell r="D146" t="str">
            <v>12/2007</v>
          </cell>
          <cell r="E146">
            <v>412.32570000000004</v>
          </cell>
          <cell r="F146">
            <v>15.092437847070894</v>
          </cell>
          <cell r="G146">
            <v>2.7800000000000002</v>
          </cell>
          <cell r="H146">
            <v>278</v>
          </cell>
        </row>
        <row r="147">
          <cell r="B147">
            <v>39253</v>
          </cell>
          <cell r="C147">
            <v>62.230000000000004</v>
          </cell>
          <cell r="D147" t="str">
            <v>12/2007</v>
          </cell>
          <cell r="E147">
            <v>412.32570000000004</v>
          </cell>
          <cell r="F147">
            <v>15.092437847070894</v>
          </cell>
          <cell r="G147">
            <v>2.7850000000000001</v>
          </cell>
          <cell r="H147">
            <v>278.5</v>
          </cell>
        </row>
        <row r="148">
          <cell r="B148">
            <v>39254</v>
          </cell>
          <cell r="C148">
            <v>62.230000000000004</v>
          </cell>
          <cell r="D148" t="str">
            <v>12/2007</v>
          </cell>
          <cell r="E148">
            <v>412.32570000000004</v>
          </cell>
          <cell r="F148">
            <v>15.092437847070894</v>
          </cell>
          <cell r="G148">
            <v>2.7349999999999999</v>
          </cell>
          <cell r="H148">
            <v>273.5</v>
          </cell>
        </row>
        <row r="149">
          <cell r="B149">
            <v>39255</v>
          </cell>
          <cell r="C149">
            <v>62.230000000000004</v>
          </cell>
          <cell r="D149" t="str">
            <v>12/2007</v>
          </cell>
          <cell r="E149">
            <v>412.32570000000004</v>
          </cell>
          <cell r="F149">
            <v>15.092437847070894</v>
          </cell>
          <cell r="G149">
            <v>2.71</v>
          </cell>
          <cell r="H149">
            <v>271</v>
          </cell>
        </row>
        <row r="150">
          <cell r="B150">
            <v>39258</v>
          </cell>
          <cell r="C150">
            <v>62.230000000000004</v>
          </cell>
          <cell r="D150" t="str">
            <v>12/2007</v>
          </cell>
          <cell r="E150">
            <v>412.32570000000004</v>
          </cell>
          <cell r="F150">
            <v>15.092437847070894</v>
          </cell>
          <cell r="G150">
            <v>2.7275</v>
          </cell>
          <cell r="H150">
            <v>272.75</v>
          </cell>
        </row>
        <row r="151">
          <cell r="B151">
            <v>39259</v>
          </cell>
          <cell r="C151">
            <v>62.230000000000004</v>
          </cell>
          <cell r="D151" t="str">
            <v>12/2007</v>
          </cell>
          <cell r="E151">
            <v>412.32570000000004</v>
          </cell>
          <cell r="F151">
            <v>15.092437847070894</v>
          </cell>
          <cell r="G151">
            <v>2.71</v>
          </cell>
          <cell r="H151">
            <v>271</v>
          </cell>
        </row>
        <row r="152">
          <cell r="B152">
            <v>39260</v>
          </cell>
          <cell r="C152">
            <v>62.230000000000004</v>
          </cell>
          <cell r="D152" t="str">
            <v>12/2007</v>
          </cell>
          <cell r="E152">
            <v>412.32570000000004</v>
          </cell>
          <cell r="F152">
            <v>15.092437847070894</v>
          </cell>
          <cell r="G152">
            <v>2.7</v>
          </cell>
          <cell r="H152">
            <v>270</v>
          </cell>
        </row>
        <row r="153">
          <cell r="B153">
            <v>39261</v>
          </cell>
          <cell r="C153">
            <v>62.230000000000004</v>
          </cell>
          <cell r="D153" t="str">
            <v>12/2007</v>
          </cell>
          <cell r="E153">
            <v>412.32570000000004</v>
          </cell>
          <cell r="F153">
            <v>15.092437847070894</v>
          </cell>
          <cell r="G153">
            <v>2.7275</v>
          </cell>
          <cell r="H153">
            <v>272.75</v>
          </cell>
        </row>
        <row r="154">
          <cell r="B154">
            <v>39262</v>
          </cell>
          <cell r="C154">
            <v>62.230000000000004</v>
          </cell>
          <cell r="D154" t="str">
            <v>12/2007</v>
          </cell>
          <cell r="E154">
            <v>412.41630000000004</v>
          </cell>
          <cell r="F154">
            <v>15.089122326154421</v>
          </cell>
          <cell r="G154">
            <v>2.7275</v>
          </cell>
          <cell r="H154">
            <v>272.75</v>
          </cell>
        </row>
        <row r="155">
          <cell r="B155">
            <v>39265</v>
          </cell>
          <cell r="C155">
            <v>62.230000000000004</v>
          </cell>
          <cell r="D155" t="str">
            <v>12/2007</v>
          </cell>
          <cell r="E155">
            <v>412.41630000000004</v>
          </cell>
          <cell r="F155">
            <v>15.089122326154421</v>
          </cell>
          <cell r="G155">
            <v>2.7149999999999999</v>
          </cell>
          <cell r="H155">
            <v>271.5</v>
          </cell>
        </row>
        <row r="156">
          <cell r="B156">
            <v>39266</v>
          </cell>
          <cell r="C156">
            <v>62.230000000000004</v>
          </cell>
          <cell r="D156" t="str">
            <v>12/2007</v>
          </cell>
          <cell r="E156">
            <v>412.41630000000004</v>
          </cell>
          <cell r="F156">
            <v>15.089122326154421</v>
          </cell>
          <cell r="G156">
            <v>2.74</v>
          </cell>
          <cell r="H156">
            <v>274</v>
          </cell>
        </row>
        <row r="157">
          <cell r="B157">
            <v>39268</v>
          </cell>
          <cell r="C157">
            <v>62.230000000000004</v>
          </cell>
          <cell r="D157" t="str">
            <v>12/2007</v>
          </cell>
          <cell r="E157">
            <v>412.41630000000004</v>
          </cell>
          <cell r="F157">
            <v>15.089122326154421</v>
          </cell>
          <cell r="G157">
            <v>2.7225000000000001</v>
          </cell>
          <cell r="H157">
            <v>272.25</v>
          </cell>
        </row>
        <row r="158">
          <cell r="B158">
            <v>39269</v>
          </cell>
          <cell r="C158">
            <v>62.230000000000004</v>
          </cell>
          <cell r="D158" t="str">
            <v>12/2007</v>
          </cell>
          <cell r="E158">
            <v>412.41630000000004</v>
          </cell>
          <cell r="F158">
            <v>15.089122326154421</v>
          </cell>
          <cell r="G158">
            <v>2.7275</v>
          </cell>
          <cell r="H158">
            <v>272.75</v>
          </cell>
        </row>
        <row r="159">
          <cell r="B159">
            <v>39272</v>
          </cell>
          <cell r="C159">
            <v>62.230000000000004</v>
          </cell>
          <cell r="D159" t="str">
            <v>12/2007</v>
          </cell>
          <cell r="E159">
            <v>412.41630000000004</v>
          </cell>
          <cell r="F159">
            <v>15.089122326154421</v>
          </cell>
          <cell r="G159">
            <v>2.71</v>
          </cell>
          <cell r="H159">
            <v>271</v>
          </cell>
        </row>
        <row r="160">
          <cell r="B160">
            <v>39273</v>
          </cell>
          <cell r="C160">
            <v>62.230000000000004</v>
          </cell>
          <cell r="D160" t="str">
            <v>12/2007</v>
          </cell>
          <cell r="E160">
            <v>412.41630000000004</v>
          </cell>
          <cell r="F160">
            <v>15.089122326154421</v>
          </cell>
          <cell r="G160">
            <v>2.6875</v>
          </cell>
          <cell r="H160">
            <v>268.75</v>
          </cell>
        </row>
        <row r="161">
          <cell r="B161">
            <v>39274</v>
          </cell>
          <cell r="C161">
            <v>62.230000000000004</v>
          </cell>
          <cell r="D161" t="str">
            <v>12/2007</v>
          </cell>
          <cell r="E161">
            <v>412.41630000000004</v>
          </cell>
          <cell r="F161">
            <v>15.089122326154421</v>
          </cell>
          <cell r="G161">
            <v>2.6</v>
          </cell>
          <cell r="H161">
            <v>260</v>
          </cell>
        </row>
        <row r="162">
          <cell r="B162">
            <v>39275</v>
          </cell>
          <cell r="C162">
            <v>62.230000000000004</v>
          </cell>
          <cell r="D162" t="str">
            <v>12/2007</v>
          </cell>
          <cell r="E162">
            <v>412.41630000000004</v>
          </cell>
          <cell r="F162">
            <v>15.089122326154421</v>
          </cell>
          <cell r="G162">
            <v>2.6550000000000002</v>
          </cell>
          <cell r="H162">
            <v>265.5</v>
          </cell>
        </row>
        <row r="163">
          <cell r="B163">
            <v>39276</v>
          </cell>
          <cell r="C163">
            <v>62.230000000000004</v>
          </cell>
          <cell r="D163" t="str">
            <v>12/2007</v>
          </cell>
          <cell r="E163">
            <v>412.41630000000004</v>
          </cell>
          <cell r="F163">
            <v>15.089122326154421</v>
          </cell>
          <cell r="G163">
            <v>2.6375000000000002</v>
          </cell>
          <cell r="H163">
            <v>263.75</v>
          </cell>
        </row>
        <row r="164">
          <cell r="B164">
            <v>39279</v>
          </cell>
          <cell r="C164">
            <v>62.230000000000004</v>
          </cell>
          <cell r="D164" t="str">
            <v>12/2007</v>
          </cell>
          <cell r="E164">
            <v>412.41630000000004</v>
          </cell>
          <cell r="F164">
            <v>15.089122326154421</v>
          </cell>
          <cell r="G164">
            <v>2.64</v>
          </cell>
          <cell r="H164">
            <v>264</v>
          </cell>
        </row>
        <row r="165">
          <cell r="B165">
            <v>39280</v>
          </cell>
          <cell r="C165">
            <v>62.230000000000004</v>
          </cell>
          <cell r="D165" t="str">
            <v>12/2007</v>
          </cell>
          <cell r="E165">
            <v>412.41630000000004</v>
          </cell>
          <cell r="F165">
            <v>15.089122326154421</v>
          </cell>
          <cell r="G165">
            <v>2.6074999999999999</v>
          </cell>
          <cell r="H165">
            <v>260.75</v>
          </cell>
        </row>
        <row r="166">
          <cell r="B166">
            <v>39281</v>
          </cell>
          <cell r="C166">
            <v>62.230000000000004</v>
          </cell>
          <cell r="D166" t="str">
            <v>12/2007</v>
          </cell>
          <cell r="E166">
            <v>412.41630000000004</v>
          </cell>
          <cell r="F166">
            <v>15.089122326154421</v>
          </cell>
          <cell r="G166">
            <v>2.5874999999999999</v>
          </cell>
          <cell r="H166">
            <v>258.75</v>
          </cell>
        </row>
        <row r="167">
          <cell r="B167">
            <v>39282</v>
          </cell>
          <cell r="C167">
            <v>64.849999999999994</v>
          </cell>
          <cell r="D167" t="str">
            <v>12/2007</v>
          </cell>
          <cell r="E167">
            <v>412.41630000000004</v>
          </cell>
          <cell r="F167">
            <v>15.72440274547829</v>
          </cell>
          <cell r="G167">
            <v>2.6</v>
          </cell>
          <cell r="H167">
            <v>260</v>
          </cell>
        </row>
        <row r="168">
          <cell r="B168">
            <v>39283</v>
          </cell>
          <cell r="C168">
            <v>64.849999999999994</v>
          </cell>
          <cell r="D168" t="str">
            <v>12/2007</v>
          </cell>
          <cell r="E168">
            <v>412.41630000000004</v>
          </cell>
          <cell r="F168">
            <v>15.72440274547829</v>
          </cell>
          <cell r="G168">
            <v>2.5750000000000002</v>
          </cell>
          <cell r="H168">
            <v>257.5</v>
          </cell>
        </row>
        <row r="169">
          <cell r="B169">
            <v>39286</v>
          </cell>
          <cell r="C169">
            <v>64.849999999999994</v>
          </cell>
          <cell r="D169" t="str">
            <v>12/2007</v>
          </cell>
          <cell r="E169">
            <v>412.41630000000004</v>
          </cell>
          <cell r="F169">
            <v>15.72440274547829</v>
          </cell>
          <cell r="G169">
            <v>2.5625</v>
          </cell>
          <cell r="H169">
            <v>256.25</v>
          </cell>
        </row>
        <row r="170">
          <cell r="B170">
            <v>39287</v>
          </cell>
          <cell r="C170">
            <v>64.849999999999994</v>
          </cell>
          <cell r="D170" t="str">
            <v>12/2007</v>
          </cell>
          <cell r="E170">
            <v>412.41630000000004</v>
          </cell>
          <cell r="F170">
            <v>15.72440274547829</v>
          </cell>
          <cell r="G170">
            <v>2.52</v>
          </cell>
          <cell r="H170">
            <v>252</v>
          </cell>
        </row>
        <row r="171">
          <cell r="B171">
            <v>39288</v>
          </cell>
          <cell r="C171">
            <v>64.849999999999994</v>
          </cell>
          <cell r="D171" t="str">
            <v>12/2007</v>
          </cell>
          <cell r="E171">
            <v>412.41630000000004</v>
          </cell>
          <cell r="F171">
            <v>15.72440274547829</v>
          </cell>
          <cell r="G171">
            <v>2.4575</v>
          </cell>
          <cell r="H171">
            <v>245.75</v>
          </cell>
        </row>
        <row r="172">
          <cell r="B172">
            <v>39289</v>
          </cell>
          <cell r="C172">
            <v>64.849999999999994</v>
          </cell>
          <cell r="D172" t="str">
            <v>12/2007</v>
          </cell>
          <cell r="E172">
            <v>412.41630000000004</v>
          </cell>
          <cell r="F172">
            <v>15.72440274547829</v>
          </cell>
          <cell r="G172">
            <v>2.3650000000000002</v>
          </cell>
          <cell r="H172">
            <v>236.50000000000003</v>
          </cell>
        </row>
        <row r="173">
          <cell r="B173">
            <v>39290</v>
          </cell>
          <cell r="C173">
            <v>64.849999999999994</v>
          </cell>
          <cell r="D173" t="str">
            <v>12/2007</v>
          </cell>
          <cell r="E173">
            <v>412.41630000000004</v>
          </cell>
          <cell r="F173">
            <v>15.72440274547829</v>
          </cell>
          <cell r="G173">
            <v>2.4025000000000003</v>
          </cell>
          <cell r="H173">
            <v>240.25000000000003</v>
          </cell>
        </row>
        <row r="174">
          <cell r="B174">
            <v>39293</v>
          </cell>
          <cell r="C174">
            <v>64.849999999999994</v>
          </cell>
          <cell r="D174" t="str">
            <v>12/2007</v>
          </cell>
          <cell r="E174">
            <v>412.41630000000004</v>
          </cell>
          <cell r="F174">
            <v>15.72440274547829</v>
          </cell>
          <cell r="G174">
            <v>2.41</v>
          </cell>
          <cell r="H174">
            <v>241</v>
          </cell>
        </row>
        <row r="175">
          <cell r="B175">
            <v>39294</v>
          </cell>
          <cell r="C175">
            <v>64.849999999999994</v>
          </cell>
          <cell r="D175" t="str">
            <v>12/2007</v>
          </cell>
          <cell r="E175">
            <v>412.41630000000004</v>
          </cell>
          <cell r="F175">
            <v>15.72440274547829</v>
          </cell>
          <cell r="G175">
            <v>2.4649999999999999</v>
          </cell>
          <cell r="H175">
            <v>246.5</v>
          </cell>
        </row>
        <row r="176">
          <cell r="B176">
            <v>39295</v>
          </cell>
          <cell r="C176">
            <v>64.849999999999994</v>
          </cell>
          <cell r="D176" t="str">
            <v>12/2007</v>
          </cell>
          <cell r="E176">
            <v>412.41630000000004</v>
          </cell>
          <cell r="F176">
            <v>15.72440274547829</v>
          </cell>
          <cell r="G176">
            <v>2.4075000000000002</v>
          </cell>
          <cell r="H176">
            <v>240.75000000000003</v>
          </cell>
        </row>
        <row r="177">
          <cell r="B177">
            <v>39296</v>
          </cell>
          <cell r="C177">
            <v>64.849999999999994</v>
          </cell>
          <cell r="D177" t="str">
            <v>12/2007</v>
          </cell>
          <cell r="E177">
            <v>412.41630000000004</v>
          </cell>
          <cell r="F177">
            <v>15.72440274547829</v>
          </cell>
          <cell r="G177">
            <v>2.4250000000000003</v>
          </cell>
          <cell r="H177">
            <v>242.50000000000003</v>
          </cell>
        </row>
        <row r="178">
          <cell r="B178">
            <v>39297</v>
          </cell>
          <cell r="C178">
            <v>64.849999999999994</v>
          </cell>
          <cell r="D178" t="str">
            <v>12/2007</v>
          </cell>
          <cell r="E178">
            <v>412.41630000000004</v>
          </cell>
          <cell r="F178">
            <v>15.72440274547829</v>
          </cell>
          <cell r="G178">
            <v>2.415</v>
          </cell>
          <cell r="H178">
            <v>241.5</v>
          </cell>
        </row>
        <row r="179">
          <cell r="B179">
            <v>39300</v>
          </cell>
          <cell r="C179">
            <v>64.849999999999994</v>
          </cell>
          <cell r="D179" t="str">
            <v>12/2007</v>
          </cell>
          <cell r="E179">
            <v>412.41630000000004</v>
          </cell>
          <cell r="F179">
            <v>15.72440274547829</v>
          </cell>
          <cell r="G179">
            <v>2.395</v>
          </cell>
          <cell r="H179">
            <v>239.5</v>
          </cell>
        </row>
        <row r="180">
          <cell r="B180">
            <v>39301</v>
          </cell>
          <cell r="C180">
            <v>64.849999999999994</v>
          </cell>
          <cell r="D180" t="str">
            <v>12/2007</v>
          </cell>
          <cell r="E180">
            <v>412.41630000000004</v>
          </cell>
          <cell r="F180">
            <v>15.72440274547829</v>
          </cell>
          <cell r="G180">
            <v>2.4300000000000002</v>
          </cell>
          <cell r="H180">
            <v>243.00000000000003</v>
          </cell>
        </row>
        <row r="181">
          <cell r="B181">
            <v>39302</v>
          </cell>
          <cell r="C181">
            <v>64.849999999999994</v>
          </cell>
          <cell r="D181" t="str">
            <v>12/2007</v>
          </cell>
          <cell r="E181">
            <v>412.41630000000004</v>
          </cell>
          <cell r="F181">
            <v>15.72440274547829</v>
          </cell>
          <cell r="G181">
            <v>2.4425000000000003</v>
          </cell>
          <cell r="H181">
            <v>244.25000000000003</v>
          </cell>
        </row>
        <row r="182">
          <cell r="B182">
            <v>39303</v>
          </cell>
          <cell r="C182">
            <v>64.849999999999994</v>
          </cell>
          <cell r="D182" t="str">
            <v>12/2007</v>
          </cell>
          <cell r="E182">
            <v>412.41630000000004</v>
          </cell>
          <cell r="F182">
            <v>15.72440274547829</v>
          </cell>
          <cell r="G182">
            <v>2.3850000000000002</v>
          </cell>
          <cell r="H182">
            <v>238.50000000000003</v>
          </cell>
        </row>
        <row r="183">
          <cell r="B183">
            <v>39304</v>
          </cell>
          <cell r="C183">
            <v>64.849999999999994</v>
          </cell>
          <cell r="D183" t="str">
            <v>12/2007</v>
          </cell>
          <cell r="E183">
            <v>412.41630000000004</v>
          </cell>
          <cell r="F183">
            <v>15.72440274547829</v>
          </cell>
          <cell r="G183">
            <v>2.3199999999999998</v>
          </cell>
          <cell r="H183">
            <v>231.99999999999997</v>
          </cell>
        </row>
        <row r="184">
          <cell r="B184">
            <v>39307</v>
          </cell>
          <cell r="C184">
            <v>64.849999999999994</v>
          </cell>
          <cell r="D184" t="str">
            <v>12/2007</v>
          </cell>
          <cell r="E184">
            <v>412.41630000000004</v>
          </cell>
          <cell r="F184">
            <v>15.72440274547829</v>
          </cell>
          <cell r="G184">
            <v>2.3650000000000002</v>
          </cell>
          <cell r="H184">
            <v>236.50000000000003</v>
          </cell>
        </row>
        <row r="185">
          <cell r="B185">
            <v>39308</v>
          </cell>
          <cell r="C185">
            <v>64.849999999999994</v>
          </cell>
          <cell r="D185" t="str">
            <v>12/2007</v>
          </cell>
          <cell r="E185">
            <v>412.41630000000004</v>
          </cell>
          <cell r="F185">
            <v>15.72440274547829</v>
          </cell>
          <cell r="G185">
            <v>2.3525</v>
          </cell>
          <cell r="H185">
            <v>235.25</v>
          </cell>
        </row>
        <row r="186">
          <cell r="B186">
            <v>39309</v>
          </cell>
          <cell r="C186">
            <v>64.849999999999994</v>
          </cell>
          <cell r="D186" t="str">
            <v>12/2007</v>
          </cell>
          <cell r="E186">
            <v>412.41630000000004</v>
          </cell>
          <cell r="F186">
            <v>15.72440274547829</v>
          </cell>
          <cell r="G186">
            <v>2.3425000000000002</v>
          </cell>
          <cell r="H186">
            <v>234.25000000000003</v>
          </cell>
        </row>
        <row r="187">
          <cell r="B187">
            <v>39310</v>
          </cell>
          <cell r="C187">
            <v>65.62</v>
          </cell>
          <cell r="D187" t="str">
            <v>12/2007</v>
          </cell>
          <cell r="E187">
            <v>412.41630000000004</v>
          </cell>
          <cell r="F187">
            <v>15.911107296195615</v>
          </cell>
          <cell r="G187">
            <v>2.2200000000000002</v>
          </cell>
          <cell r="H187">
            <v>222.00000000000003</v>
          </cell>
        </row>
        <row r="188">
          <cell r="B188">
            <v>39311</v>
          </cell>
          <cell r="C188">
            <v>65.62</v>
          </cell>
          <cell r="D188" t="str">
            <v>12/2007</v>
          </cell>
          <cell r="E188">
            <v>412.41630000000004</v>
          </cell>
          <cell r="F188">
            <v>15.911107296195615</v>
          </cell>
          <cell r="G188">
            <v>2.2650000000000001</v>
          </cell>
          <cell r="H188">
            <v>226.5</v>
          </cell>
        </row>
        <row r="189">
          <cell r="B189">
            <v>39314</v>
          </cell>
          <cell r="C189">
            <v>65.62</v>
          </cell>
          <cell r="D189" t="str">
            <v>12/2007</v>
          </cell>
          <cell r="E189">
            <v>412.41630000000004</v>
          </cell>
          <cell r="F189">
            <v>15.911107296195615</v>
          </cell>
          <cell r="G189">
            <v>2.2749999999999999</v>
          </cell>
          <cell r="H189">
            <v>227.5</v>
          </cell>
        </row>
        <row r="190">
          <cell r="B190">
            <v>39315</v>
          </cell>
          <cell r="C190">
            <v>65.62</v>
          </cell>
          <cell r="D190" t="str">
            <v>12/2007</v>
          </cell>
          <cell r="E190">
            <v>412.41630000000004</v>
          </cell>
          <cell r="F190">
            <v>15.911107296195615</v>
          </cell>
          <cell r="G190">
            <v>2.25</v>
          </cell>
          <cell r="H190">
            <v>225</v>
          </cell>
        </row>
        <row r="191">
          <cell r="B191">
            <v>39316</v>
          </cell>
          <cell r="C191">
            <v>65.62</v>
          </cell>
          <cell r="D191" t="str">
            <v>12/2007</v>
          </cell>
          <cell r="E191">
            <v>412.41630000000004</v>
          </cell>
          <cell r="F191">
            <v>15.911107296195615</v>
          </cell>
          <cell r="G191">
            <v>2.3199999999999998</v>
          </cell>
          <cell r="H191">
            <v>231.99999999999997</v>
          </cell>
        </row>
        <row r="192">
          <cell r="B192">
            <v>39317</v>
          </cell>
          <cell r="C192">
            <v>65.62</v>
          </cell>
          <cell r="D192" t="str">
            <v>12/2007</v>
          </cell>
          <cell r="E192">
            <v>412.41630000000004</v>
          </cell>
          <cell r="F192">
            <v>15.911107296195615</v>
          </cell>
          <cell r="G192">
            <v>2.3075000000000001</v>
          </cell>
          <cell r="H192">
            <v>230.75</v>
          </cell>
        </row>
        <row r="193">
          <cell r="B193">
            <v>39318</v>
          </cell>
          <cell r="C193">
            <v>65.62</v>
          </cell>
          <cell r="D193" t="str">
            <v>12/2007</v>
          </cell>
          <cell r="E193">
            <v>412.41630000000004</v>
          </cell>
          <cell r="F193">
            <v>15.911107296195615</v>
          </cell>
          <cell r="G193">
            <v>2.34</v>
          </cell>
          <cell r="H193">
            <v>234</v>
          </cell>
        </row>
        <row r="194">
          <cell r="B194">
            <v>39321</v>
          </cell>
          <cell r="C194">
            <v>65.62</v>
          </cell>
          <cell r="D194" t="str">
            <v>12/2007</v>
          </cell>
          <cell r="E194">
            <v>412.41630000000004</v>
          </cell>
          <cell r="F194">
            <v>15.911107296195615</v>
          </cell>
          <cell r="G194">
            <v>2.34</v>
          </cell>
          <cell r="H194">
            <v>234</v>
          </cell>
        </row>
        <row r="195">
          <cell r="B195">
            <v>39322</v>
          </cell>
          <cell r="C195">
            <v>65.62</v>
          </cell>
          <cell r="D195" t="str">
            <v>12/2007</v>
          </cell>
          <cell r="E195">
            <v>412.41630000000004</v>
          </cell>
          <cell r="F195">
            <v>15.911107296195615</v>
          </cell>
          <cell r="G195">
            <v>2.29</v>
          </cell>
          <cell r="H195">
            <v>229</v>
          </cell>
        </row>
        <row r="196">
          <cell r="B196">
            <v>39323</v>
          </cell>
          <cell r="C196">
            <v>65.62</v>
          </cell>
          <cell r="D196" t="str">
            <v>12/2007</v>
          </cell>
          <cell r="E196">
            <v>412.41630000000004</v>
          </cell>
          <cell r="F196">
            <v>15.911107296195615</v>
          </cell>
          <cell r="G196">
            <v>2.3075000000000001</v>
          </cell>
          <cell r="H196">
            <v>230.75</v>
          </cell>
        </row>
        <row r="197">
          <cell r="B197">
            <v>39324</v>
          </cell>
          <cell r="C197">
            <v>65.62</v>
          </cell>
          <cell r="D197" t="str">
            <v>12/2007</v>
          </cell>
          <cell r="E197">
            <v>412.41630000000004</v>
          </cell>
          <cell r="F197">
            <v>15.911107296195615</v>
          </cell>
          <cell r="G197">
            <v>2.3675000000000002</v>
          </cell>
          <cell r="H197">
            <v>236.75000000000003</v>
          </cell>
        </row>
        <row r="198">
          <cell r="B198">
            <v>39325</v>
          </cell>
          <cell r="C198">
            <v>65.62</v>
          </cell>
          <cell r="D198" t="str">
            <v>12/2007</v>
          </cell>
          <cell r="E198">
            <v>412.41830000000004</v>
          </cell>
          <cell r="F198">
            <v>15.9110301361506</v>
          </cell>
          <cell r="G198">
            <v>2.41</v>
          </cell>
          <cell r="H198">
            <v>241</v>
          </cell>
        </row>
        <row r="199">
          <cell r="B199">
            <v>39329</v>
          </cell>
          <cell r="C199">
            <v>65.62</v>
          </cell>
          <cell r="D199" t="str">
            <v>12/2007</v>
          </cell>
          <cell r="E199">
            <v>412.41830000000004</v>
          </cell>
          <cell r="F199">
            <v>15.9110301361506</v>
          </cell>
          <cell r="G199">
            <v>2.5500000000000003</v>
          </cell>
          <cell r="H199">
            <v>255.00000000000003</v>
          </cell>
        </row>
        <row r="200">
          <cell r="B200">
            <v>39330</v>
          </cell>
          <cell r="C200">
            <v>65.62</v>
          </cell>
          <cell r="D200" t="str">
            <v>12/2007</v>
          </cell>
          <cell r="E200">
            <v>412.41830000000004</v>
          </cell>
          <cell r="F200">
            <v>15.9110301361506</v>
          </cell>
          <cell r="G200">
            <v>2.5</v>
          </cell>
          <cell r="H200">
            <v>250</v>
          </cell>
        </row>
        <row r="201">
          <cell r="B201">
            <v>39331</v>
          </cell>
          <cell r="C201">
            <v>65.62</v>
          </cell>
          <cell r="D201" t="str">
            <v>12/2007</v>
          </cell>
          <cell r="E201">
            <v>412.41830000000004</v>
          </cell>
          <cell r="F201">
            <v>15.9110301361506</v>
          </cell>
          <cell r="G201">
            <v>2.5175000000000001</v>
          </cell>
          <cell r="H201">
            <v>251.75</v>
          </cell>
        </row>
        <row r="202">
          <cell r="B202">
            <v>39332</v>
          </cell>
          <cell r="C202">
            <v>65.62</v>
          </cell>
          <cell r="D202" t="str">
            <v>12/2007</v>
          </cell>
          <cell r="E202">
            <v>412.41830000000004</v>
          </cell>
          <cell r="F202">
            <v>15.9110301361506</v>
          </cell>
          <cell r="G202">
            <v>2.4550000000000001</v>
          </cell>
          <cell r="H202">
            <v>245.5</v>
          </cell>
        </row>
        <row r="203">
          <cell r="B203">
            <v>39335</v>
          </cell>
          <cell r="C203">
            <v>65.62</v>
          </cell>
          <cell r="D203" t="str">
            <v>12/2007</v>
          </cell>
          <cell r="E203">
            <v>412.41830000000004</v>
          </cell>
          <cell r="F203">
            <v>15.9110301361506</v>
          </cell>
          <cell r="G203">
            <v>2.4649999999999999</v>
          </cell>
          <cell r="H203">
            <v>246.5</v>
          </cell>
        </row>
        <row r="204">
          <cell r="B204">
            <v>39336</v>
          </cell>
          <cell r="C204">
            <v>65.62</v>
          </cell>
          <cell r="D204" t="str">
            <v>12/2007</v>
          </cell>
          <cell r="E204">
            <v>412.41830000000004</v>
          </cell>
          <cell r="F204">
            <v>15.9110301361506</v>
          </cell>
          <cell r="G204">
            <v>2.48</v>
          </cell>
          <cell r="H204">
            <v>248</v>
          </cell>
        </row>
        <row r="205">
          <cell r="B205">
            <v>39337</v>
          </cell>
          <cell r="C205">
            <v>65.62</v>
          </cell>
          <cell r="D205" t="str">
            <v>12/2007</v>
          </cell>
          <cell r="E205">
            <v>412.41830000000004</v>
          </cell>
          <cell r="F205">
            <v>15.9110301361506</v>
          </cell>
          <cell r="G205">
            <v>2.4300000000000002</v>
          </cell>
          <cell r="H205">
            <v>243.00000000000003</v>
          </cell>
        </row>
        <row r="206">
          <cell r="B206">
            <v>39338</v>
          </cell>
          <cell r="C206">
            <v>65.62</v>
          </cell>
          <cell r="D206" t="str">
            <v>12/2007</v>
          </cell>
          <cell r="E206">
            <v>412.41830000000004</v>
          </cell>
          <cell r="F206">
            <v>15.9110301361506</v>
          </cell>
          <cell r="G206">
            <v>2.4025000000000003</v>
          </cell>
          <cell r="H206">
            <v>240.25000000000003</v>
          </cell>
        </row>
        <row r="207">
          <cell r="B207">
            <v>39339</v>
          </cell>
          <cell r="C207">
            <v>65.62</v>
          </cell>
          <cell r="D207" t="str">
            <v>12/2007</v>
          </cell>
          <cell r="E207">
            <v>412.41830000000004</v>
          </cell>
          <cell r="F207">
            <v>15.9110301361506</v>
          </cell>
          <cell r="G207">
            <v>2.4000000000000004</v>
          </cell>
          <cell r="H207">
            <v>240.00000000000003</v>
          </cell>
        </row>
        <row r="208">
          <cell r="B208">
            <v>39342</v>
          </cell>
          <cell r="C208">
            <v>65.62</v>
          </cell>
          <cell r="D208" t="str">
            <v>12/2007</v>
          </cell>
          <cell r="E208">
            <v>412.41830000000004</v>
          </cell>
          <cell r="F208">
            <v>15.9110301361506</v>
          </cell>
          <cell r="G208">
            <v>2.3675000000000002</v>
          </cell>
          <cell r="H208">
            <v>236.75000000000003</v>
          </cell>
        </row>
        <row r="209">
          <cell r="B209">
            <v>39343</v>
          </cell>
          <cell r="C209">
            <v>65.62</v>
          </cell>
          <cell r="D209" t="str">
            <v>12/2007</v>
          </cell>
          <cell r="E209">
            <v>412.41830000000004</v>
          </cell>
          <cell r="F209">
            <v>15.9110301361506</v>
          </cell>
          <cell r="G209">
            <v>2.375</v>
          </cell>
          <cell r="H209">
            <v>237.5</v>
          </cell>
        </row>
        <row r="210">
          <cell r="B210">
            <v>39344</v>
          </cell>
          <cell r="C210">
            <v>65.62</v>
          </cell>
          <cell r="D210" t="str">
            <v>12/2007</v>
          </cell>
          <cell r="E210">
            <v>412.41830000000004</v>
          </cell>
          <cell r="F210">
            <v>15.9110301361506</v>
          </cell>
          <cell r="G210">
            <v>2.4000000000000004</v>
          </cell>
          <cell r="H210">
            <v>240.00000000000003</v>
          </cell>
        </row>
        <row r="211">
          <cell r="B211">
            <v>39345</v>
          </cell>
          <cell r="C211">
            <v>60.300000000000004</v>
          </cell>
          <cell r="D211" t="str">
            <v>12/2007</v>
          </cell>
          <cell r="E211">
            <v>412.41830000000004</v>
          </cell>
          <cell r="F211">
            <v>14.621077677687918</v>
          </cell>
          <cell r="G211">
            <v>2.34</v>
          </cell>
          <cell r="H211">
            <v>234</v>
          </cell>
        </row>
        <row r="212">
          <cell r="B212">
            <v>39346</v>
          </cell>
          <cell r="C212">
            <v>60.300000000000004</v>
          </cell>
          <cell r="D212" t="str">
            <v>12/2007</v>
          </cell>
          <cell r="E212">
            <v>412.41830000000004</v>
          </cell>
          <cell r="F212">
            <v>14.621077677687918</v>
          </cell>
          <cell r="G212">
            <v>2.3225000000000002</v>
          </cell>
          <cell r="H212">
            <v>232.25000000000003</v>
          </cell>
        </row>
        <row r="213">
          <cell r="B213">
            <v>39349</v>
          </cell>
          <cell r="C213">
            <v>60.300000000000004</v>
          </cell>
          <cell r="D213" t="str">
            <v>12/2007</v>
          </cell>
          <cell r="E213">
            <v>412.41830000000004</v>
          </cell>
          <cell r="F213">
            <v>14.621077677687918</v>
          </cell>
          <cell r="G213">
            <v>2.3225000000000002</v>
          </cell>
          <cell r="H213">
            <v>232.25000000000003</v>
          </cell>
        </row>
        <row r="214">
          <cell r="B214">
            <v>39350</v>
          </cell>
          <cell r="C214">
            <v>60.300000000000004</v>
          </cell>
          <cell r="D214" t="str">
            <v>12/2007</v>
          </cell>
          <cell r="E214">
            <v>412.41830000000004</v>
          </cell>
          <cell r="F214">
            <v>14.621077677687918</v>
          </cell>
          <cell r="G214">
            <v>2.2775000000000003</v>
          </cell>
          <cell r="H214">
            <v>227.75000000000003</v>
          </cell>
        </row>
        <row r="215">
          <cell r="B215">
            <v>39351</v>
          </cell>
          <cell r="C215">
            <v>60.300000000000004</v>
          </cell>
          <cell r="D215" t="str">
            <v>12/2007</v>
          </cell>
          <cell r="E215">
            <v>412.41830000000004</v>
          </cell>
          <cell r="F215">
            <v>14.621077677687918</v>
          </cell>
          <cell r="G215">
            <v>2.2949999999999999</v>
          </cell>
          <cell r="H215">
            <v>229.5</v>
          </cell>
        </row>
        <row r="216">
          <cell r="B216">
            <v>39352</v>
          </cell>
          <cell r="C216">
            <v>60.300000000000004</v>
          </cell>
          <cell r="D216" t="str">
            <v>12/2007</v>
          </cell>
          <cell r="E216">
            <v>412.41830000000004</v>
          </cell>
          <cell r="F216">
            <v>14.621077677687918</v>
          </cell>
          <cell r="G216">
            <v>2.2825000000000002</v>
          </cell>
          <cell r="H216">
            <v>228.25000000000003</v>
          </cell>
        </row>
        <row r="217">
          <cell r="B217">
            <v>39353</v>
          </cell>
          <cell r="C217">
            <v>60.300000000000004</v>
          </cell>
          <cell r="D217" t="str">
            <v>12/2007</v>
          </cell>
          <cell r="E217">
            <v>412.42</v>
          </cell>
          <cell r="F217">
            <v>14.62101740943698</v>
          </cell>
          <cell r="G217">
            <v>2.2850000000000001</v>
          </cell>
          <cell r="H217">
            <v>228.5</v>
          </cell>
        </row>
        <row r="218">
          <cell r="B218">
            <v>39356</v>
          </cell>
          <cell r="C218">
            <v>60.300000000000004</v>
          </cell>
          <cell r="D218" t="str">
            <v>12/2007</v>
          </cell>
          <cell r="E218">
            <v>412.42</v>
          </cell>
          <cell r="F218">
            <v>14.62101740943698</v>
          </cell>
          <cell r="G218">
            <v>2.2875000000000001</v>
          </cell>
          <cell r="H218">
            <v>228.75</v>
          </cell>
        </row>
        <row r="219">
          <cell r="B219">
            <v>39357</v>
          </cell>
          <cell r="C219">
            <v>60.300000000000004</v>
          </cell>
          <cell r="D219" t="str">
            <v>12/2007</v>
          </cell>
          <cell r="E219">
            <v>412.42</v>
          </cell>
          <cell r="F219">
            <v>14.62101740943698</v>
          </cell>
          <cell r="G219">
            <v>2.3199999999999998</v>
          </cell>
          <cell r="H219">
            <v>231.99999999999997</v>
          </cell>
        </row>
        <row r="220">
          <cell r="B220">
            <v>39358</v>
          </cell>
          <cell r="C220">
            <v>60.300000000000004</v>
          </cell>
          <cell r="D220" t="str">
            <v>12/2007</v>
          </cell>
          <cell r="E220">
            <v>412.42</v>
          </cell>
          <cell r="F220">
            <v>14.62101740943698</v>
          </cell>
          <cell r="G220">
            <v>2.31</v>
          </cell>
          <cell r="H220">
            <v>231</v>
          </cell>
        </row>
        <row r="221">
          <cell r="B221">
            <v>39359</v>
          </cell>
          <cell r="C221">
            <v>60.300000000000004</v>
          </cell>
          <cell r="D221" t="str">
            <v>12/2007</v>
          </cell>
          <cell r="E221">
            <v>412.42</v>
          </cell>
          <cell r="F221">
            <v>14.62101740943698</v>
          </cell>
          <cell r="G221">
            <v>2.3250000000000002</v>
          </cell>
          <cell r="H221">
            <v>232.50000000000003</v>
          </cell>
        </row>
        <row r="222">
          <cell r="B222">
            <v>39360</v>
          </cell>
          <cell r="C222">
            <v>60.300000000000004</v>
          </cell>
          <cell r="D222" t="str">
            <v>12/2007</v>
          </cell>
          <cell r="E222">
            <v>412.42</v>
          </cell>
          <cell r="F222">
            <v>14.62101740943698</v>
          </cell>
          <cell r="G222">
            <v>2.3025000000000002</v>
          </cell>
          <cell r="H222">
            <v>230.25000000000003</v>
          </cell>
        </row>
        <row r="223">
          <cell r="B223">
            <v>39363</v>
          </cell>
          <cell r="C223">
            <v>60.300000000000004</v>
          </cell>
          <cell r="D223" t="str">
            <v>12/2007</v>
          </cell>
          <cell r="E223">
            <v>412.42</v>
          </cell>
          <cell r="F223">
            <v>14.62101740943698</v>
          </cell>
          <cell r="G223">
            <v>2.2949999999999999</v>
          </cell>
          <cell r="H223">
            <v>229.5</v>
          </cell>
        </row>
        <row r="224">
          <cell r="B224">
            <v>39364</v>
          </cell>
          <cell r="C224">
            <v>60.300000000000004</v>
          </cell>
          <cell r="D224" t="str">
            <v>12/2007</v>
          </cell>
          <cell r="E224">
            <v>412.42</v>
          </cell>
          <cell r="F224">
            <v>14.62101740943698</v>
          </cell>
          <cell r="G224">
            <v>2.3149999999999999</v>
          </cell>
          <cell r="H224">
            <v>231.5</v>
          </cell>
        </row>
        <row r="225">
          <cell r="B225">
            <v>39365</v>
          </cell>
          <cell r="C225">
            <v>60.300000000000004</v>
          </cell>
          <cell r="D225" t="str">
            <v>12/2007</v>
          </cell>
          <cell r="E225">
            <v>412.42</v>
          </cell>
          <cell r="F225">
            <v>14.62101740943698</v>
          </cell>
          <cell r="G225">
            <v>2.3174999999999999</v>
          </cell>
          <cell r="H225">
            <v>231.75</v>
          </cell>
        </row>
        <row r="226">
          <cell r="B226">
            <v>39366</v>
          </cell>
          <cell r="C226">
            <v>60.300000000000004</v>
          </cell>
          <cell r="D226" t="str">
            <v>12/2007</v>
          </cell>
          <cell r="E226">
            <v>412.42</v>
          </cell>
          <cell r="F226">
            <v>14.62101740943698</v>
          </cell>
          <cell r="G226">
            <v>2.3475000000000001</v>
          </cell>
          <cell r="H226">
            <v>234.75</v>
          </cell>
        </row>
        <row r="227">
          <cell r="B227">
            <v>39367</v>
          </cell>
          <cell r="C227">
            <v>60.300000000000004</v>
          </cell>
          <cell r="D227" t="str">
            <v>12/2007</v>
          </cell>
          <cell r="E227">
            <v>412.42</v>
          </cell>
          <cell r="F227">
            <v>14.62101740943698</v>
          </cell>
          <cell r="G227">
            <v>2.3250000000000002</v>
          </cell>
          <cell r="H227">
            <v>232.50000000000003</v>
          </cell>
        </row>
        <row r="228">
          <cell r="B228">
            <v>39370</v>
          </cell>
          <cell r="C228">
            <v>60.300000000000004</v>
          </cell>
          <cell r="D228" t="str">
            <v>12/2007</v>
          </cell>
          <cell r="E228">
            <v>412.42</v>
          </cell>
          <cell r="F228">
            <v>14.62101740943698</v>
          </cell>
          <cell r="G228">
            <v>2.2949999999999999</v>
          </cell>
          <cell r="H228">
            <v>229.5</v>
          </cell>
        </row>
        <row r="229">
          <cell r="B229">
            <v>39371</v>
          </cell>
          <cell r="C229">
            <v>60.300000000000004</v>
          </cell>
          <cell r="D229" t="str">
            <v>12/2007</v>
          </cell>
          <cell r="E229">
            <v>412.42</v>
          </cell>
          <cell r="F229">
            <v>14.62101740943698</v>
          </cell>
          <cell r="G229">
            <v>2.2925</v>
          </cell>
          <cell r="H229">
            <v>229.25</v>
          </cell>
        </row>
        <row r="230">
          <cell r="B230">
            <v>39372</v>
          </cell>
          <cell r="C230">
            <v>60.300000000000004</v>
          </cell>
          <cell r="D230" t="str">
            <v>12/2007</v>
          </cell>
          <cell r="E230">
            <v>412.42</v>
          </cell>
          <cell r="F230">
            <v>14.62101740943698</v>
          </cell>
          <cell r="G230">
            <v>2.4000000000000004</v>
          </cell>
          <cell r="H230">
            <v>240.00000000000003</v>
          </cell>
        </row>
        <row r="231">
          <cell r="B231">
            <v>39373</v>
          </cell>
          <cell r="C231">
            <v>60.84</v>
          </cell>
          <cell r="D231" t="str">
            <v>12/2007</v>
          </cell>
          <cell r="E231">
            <v>412.42</v>
          </cell>
          <cell r="F231">
            <v>14.751951893700596</v>
          </cell>
          <cell r="G231">
            <v>2.3650000000000002</v>
          </cell>
          <cell r="H231">
            <v>236.50000000000003</v>
          </cell>
        </row>
        <row r="232">
          <cell r="B232">
            <v>39374</v>
          </cell>
          <cell r="C232">
            <v>60.84</v>
          </cell>
          <cell r="D232" t="str">
            <v>12/2007</v>
          </cell>
          <cell r="E232">
            <v>412.42</v>
          </cell>
          <cell r="F232">
            <v>14.751951893700596</v>
          </cell>
          <cell r="G232">
            <v>2.3425000000000002</v>
          </cell>
          <cell r="H232">
            <v>234.25000000000003</v>
          </cell>
        </row>
        <row r="233">
          <cell r="B233">
            <v>39377</v>
          </cell>
          <cell r="C233">
            <v>60.84</v>
          </cell>
          <cell r="D233" t="str">
            <v>12/2007</v>
          </cell>
          <cell r="E233">
            <v>412.42</v>
          </cell>
          <cell r="F233">
            <v>14.751951893700596</v>
          </cell>
          <cell r="G233">
            <v>2.2975000000000003</v>
          </cell>
          <cell r="H233">
            <v>229.75000000000003</v>
          </cell>
        </row>
        <row r="234">
          <cell r="B234" t="e">
            <v>#N/A</v>
          </cell>
          <cell r="C234" t="e">
            <v>#N/A</v>
          </cell>
          <cell r="D234" t="str">
            <v>12/2007</v>
          </cell>
          <cell r="E234" t="e">
            <v>#N/A</v>
          </cell>
          <cell r="F234" t="e">
            <v>#N/A</v>
          </cell>
          <cell r="G234" t="e">
            <v>#N/A</v>
          </cell>
          <cell r="H234" t="e">
            <v>#N/A</v>
          </cell>
        </row>
        <row r="235">
          <cell r="B235" t="e">
            <v>#N/A</v>
          </cell>
          <cell r="C235" t="e">
            <v>#N/A</v>
          </cell>
          <cell r="D235" t="str">
            <v>12/2007</v>
          </cell>
          <cell r="E235" t="e">
            <v>#N/A</v>
          </cell>
          <cell r="F235" t="e">
            <v>#N/A</v>
          </cell>
          <cell r="G235" t="e">
            <v>#N/A</v>
          </cell>
          <cell r="H235" t="e">
            <v>#N/A</v>
          </cell>
        </row>
        <row r="236">
          <cell r="B236" t="e">
            <v>#N/A</v>
          </cell>
          <cell r="C236" t="e">
            <v>#N/A</v>
          </cell>
          <cell r="D236" t="str">
            <v>12/2007</v>
          </cell>
          <cell r="E236" t="e">
            <v>#N/A</v>
          </cell>
          <cell r="F236" t="e">
            <v>#N/A</v>
          </cell>
          <cell r="G236" t="e">
            <v>#N/A</v>
          </cell>
          <cell r="H236" t="e">
            <v>#N/A</v>
          </cell>
        </row>
        <row r="237">
          <cell r="B237" t="e">
            <v>#N/A</v>
          </cell>
          <cell r="C237" t="e">
            <v>#N/A</v>
          </cell>
          <cell r="D237" t="str">
            <v>12/2007</v>
          </cell>
          <cell r="E237" t="e">
            <v>#N/A</v>
          </cell>
          <cell r="F237" t="e">
            <v>#N/A</v>
          </cell>
          <cell r="G237" t="e">
            <v>#N/A</v>
          </cell>
          <cell r="H237" t="e">
            <v>#N/A</v>
          </cell>
        </row>
        <row r="238">
          <cell r="B238" t="e">
            <v>#N/A</v>
          </cell>
          <cell r="C238" t="e">
            <v>#N/A</v>
          </cell>
          <cell r="D238" t="str">
            <v>12/2007</v>
          </cell>
          <cell r="E238" t="e">
            <v>#N/A</v>
          </cell>
          <cell r="F238" t="e">
            <v>#N/A</v>
          </cell>
          <cell r="G238" t="e">
            <v>#N/A</v>
          </cell>
          <cell r="H238" t="e">
            <v>#N/A</v>
          </cell>
        </row>
        <row r="239">
          <cell r="B239" t="e">
            <v>#N/A</v>
          </cell>
          <cell r="C239" t="e">
            <v>#N/A</v>
          </cell>
          <cell r="D239" t="str">
            <v>12/2007</v>
          </cell>
          <cell r="E239" t="e">
            <v>#N/A</v>
          </cell>
          <cell r="F239" t="e">
            <v>#N/A</v>
          </cell>
          <cell r="G239" t="e">
            <v>#N/A</v>
          </cell>
          <cell r="H239" t="e">
            <v>#N/A</v>
          </cell>
        </row>
        <row r="240">
          <cell r="B240" t="e">
            <v>#N/A</v>
          </cell>
          <cell r="C240" t="e">
            <v>#N/A</v>
          </cell>
          <cell r="D240" t="str">
            <v>12/2007</v>
          </cell>
          <cell r="E240" t="e">
            <v>#N/A</v>
          </cell>
          <cell r="F240" t="e">
            <v>#N/A</v>
          </cell>
          <cell r="G240" t="e">
            <v>#N/A</v>
          </cell>
          <cell r="H240" t="e">
            <v>#N/A</v>
          </cell>
        </row>
        <row r="241">
          <cell r="B241" t="e">
            <v>#N/A</v>
          </cell>
          <cell r="C241" t="e">
            <v>#N/A</v>
          </cell>
          <cell r="D241" t="str">
            <v>12/2007</v>
          </cell>
          <cell r="E241" t="e">
            <v>#N/A</v>
          </cell>
          <cell r="F241" t="e">
            <v>#N/A</v>
          </cell>
          <cell r="G241" t="e">
            <v>#N/A</v>
          </cell>
          <cell r="H241" t="e">
            <v>#N/A</v>
          </cell>
        </row>
        <row r="242">
          <cell r="B242" t="e">
            <v>#N/A</v>
          </cell>
          <cell r="C242" t="e">
            <v>#N/A</v>
          </cell>
          <cell r="D242" t="str">
            <v>12/2007</v>
          </cell>
          <cell r="E242" t="e">
            <v>#N/A</v>
          </cell>
          <cell r="F242" t="e">
            <v>#N/A</v>
          </cell>
          <cell r="G242" t="e">
            <v>#N/A</v>
          </cell>
          <cell r="H242" t="e">
            <v>#N/A</v>
          </cell>
        </row>
        <row r="243">
          <cell r="B243" t="e">
            <v>#N/A</v>
          </cell>
          <cell r="C243" t="e">
            <v>#N/A</v>
          </cell>
          <cell r="D243" t="str">
            <v>12/2007</v>
          </cell>
          <cell r="E243" t="e">
            <v>#N/A</v>
          </cell>
          <cell r="F243" t="e">
            <v>#N/A</v>
          </cell>
          <cell r="G243" t="e">
            <v>#N/A</v>
          </cell>
          <cell r="H243" t="e">
            <v>#N/A</v>
          </cell>
        </row>
        <row r="244">
          <cell r="B244" t="e">
            <v>#N/A</v>
          </cell>
          <cell r="C244" t="e">
            <v>#N/A</v>
          </cell>
          <cell r="D244" t="str">
            <v>12/2007</v>
          </cell>
          <cell r="E244" t="e">
            <v>#N/A</v>
          </cell>
          <cell r="F244" t="e">
            <v>#N/A</v>
          </cell>
          <cell r="G244" t="e">
            <v>#N/A</v>
          </cell>
          <cell r="H244" t="e">
            <v>#N/A</v>
          </cell>
        </row>
        <row r="245">
          <cell r="B245" t="e">
            <v>#N/A</v>
          </cell>
          <cell r="C245" t="e">
            <v>#N/A</v>
          </cell>
          <cell r="D245" t="str">
            <v>12/2007</v>
          </cell>
          <cell r="E245" t="e">
            <v>#N/A</v>
          </cell>
          <cell r="F245" t="e">
            <v>#N/A</v>
          </cell>
          <cell r="G245" t="e">
            <v>#N/A</v>
          </cell>
          <cell r="H245" t="e">
            <v>#N/A</v>
          </cell>
        </row>
        <row r="246">
          <cell r="B246" t="e">
            <v>#N/A</v>
          </cell>
          <cell r="C246" t="e">
            <v>#N/A</v>
          </cell>
          <cell r="D246" t="str">
            <v>12/2007</v>
          </cell>
          <cell r="E246" t="e">
            <v>#N/A</v>
          </cell>
          <cell r="F246" t="e">
            <v>#N/A</v>
          </cell>
          <cell r="G246" t="e">
            <v>#N/A</v>
          </cell>
          <cell r="H246" t="e">
            <v>#N/A</v>
          </cell>
        </row>
        <row r="247">
          <cell r="B247" t="e">
            <v>#N/A</v>
          </cell>
          <cell r="C247" t="e">
            <v>#N/A</v>
          </cell>
          <cell r="D247" t="str">
            <v>12/2007</v>
          </cell>
          <cell r="E247" t="e">
            <v>#N/A</v>
          </cell>
          <cell r="F247" t="e">
            <v>#N/A</v>
          </cell>
          <cell r="G247" t="e">
            <v>#N/A</v>
          </cell>
          <cell r="H247" t="e">
            <v>#N/A</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Qual_IS"/>
      <sheetName val="ACC_DIL"/>
      <sheetName val="Output"/>
      <sheetName val="__FDSCACHE__"/>
      <sheetName val="XRates"/>
      <sheetName val="AVP"/>
      <sheetName val="Football"/>
      <sheetName val="Handset"/>
      <sheetName val="Tra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Charts"/>
      <sheetName val="Bar"/>
      <sheetName val="Column"/>
      <sheetName val="Line"/>
      <sheetName val="Pie"/>
      <sheetName val="Stacked Bar"/>
      <sheetName val="Stacked Column"/>
      <sheetName val="Example Formats"/>
      <sheetName val="Stock Price Graph"/>
      <sheetName val="2 Chart (vertical)"/>
      <sheetName val="2 Chart (horizontal)"/>
      <sheetName val="Half&amp;Half Page"/>
      <sheetName val="4 Graphs Page (pies)"/>
      <sheetName val="4 Graphs Page (columns)"/>
      <sheetName val="Single Graph Page (no title)"/>
      <sheetName val="Vertical Bars Page"/>
      <sheetName val="Public Company-Stock Price"/>
      <sheetName val="Color Palette"/>
      <sheetName val="Complex Charts"/>
      <sheetName val="Price-Volume"/>
      <sheetName val="Volume"/>
      <sheetName val="Clustered Column 2 axes"/>
      <sheetName val="Scatter"/>
      <sheetName val="Bubble"/>
      <sheetName val="Football"/>
      <sheetName val="Football with Vertical Lines"/>
      <sheetName val="Waterfall"/>
      <sheetName val="Stacked Column with Totals"/>
      <sheetName val="EPS_Forecast"/>
      <sheetName val="Analyst_Coverage"/>
      <sheetName val="SPG"/>
      <sheetName val="Crude_v_BBA"/>
    </sheetNames>
    <sheetDataSet>
      <sheetData sheetId="0">
        <row r="7">
          <cell r="C7" t="str">
            <v>Basic Charts</v>
          </cell>
        </row>
      </sheetData>
      <sheetData sheetId="1" refreshError="1"/>
      <sheetData sheetId="2" refreshError="1"/>
      <sheetData sheetId="3" refreshError="1"/>
      <sheetData sheetId="4" refreshError="1"/>
      <sheetData sheetId="5">
        <row r="1">
          <cell r="B1" t="str">
            <v>Category 1</v>
          </cell>
          <cell r="C1" t="str">
            <v>Category 2</v>
          </cell>
        </row>
        <row r="2">
          <cell r="A2">
            <v>1</v>
          </cell>
          <cell r="B2">
            <v>10</v>
          </cell>
          <cell r="C2">
            <v>10</v>
          </cell>
        </row>
        <row r="3">
          <cell r="A3">
            <v>2</v>
          </cell>
          <cell r="B3">
            <v>10</v>
          </cell>
          <cell r="C3">
            <v>10</v>
          </cell>
          <cell r="H3" t="str">
            <v>PLEASE USE MACROS FOR THIS CHART TYPE</v>
          </cell>
        </row>
        <row r="4">
          <cell r="A4">
            <v>3</v>
          </cell>
          <cell r="B4">
            <v>10</v>
          </cell>
          <cell r="C4">
            <v>10</v>
          </cell>
        </row>
        <row r="5">
          <cell r="A5">
            <v>4</v>
          </cell>
          <cell r="B5">
            <v>10</v>
          </cell>
          <cell r="C5">
            <v>10</v>
          </cell>
        </row>
        <row r="6">
          <cell r="A6">
            <v>5</v>
          </cell>
          <cell r="B6">
            <v>10</v>
          </cell>
          <cell r="C6">
            <v>10</v>
          </cell>
        </row>
        <row r="7">
          <cell r="A7">
            <v>6</v>
          </cell>
          <cell r="B7">
            <v>10</v>
          </cell>
          <cell r="C7">
            <v>10</v>
          </cell>
        </row>
        <row r="8">
          <cell r="A8">
            <v>7</v>
          </cell>
          <cell r="B8">
            <v>10</v>
          </cell>
          <cell r="C8">
            <v>10</v>
          </cell>
        </row>
        <row r="9">
          <cell r="A9">
            <v>8</v>
          </cell>
          <cell r="B9">
            <v>10</v>
          </cell>
          <cell r="C9">
            <v>10</v>
          </cell>
        </row>
        <row r="10">
          <cell r="A10">
            <v>9</v>
          </cell>
          <cell r="B10">
            <v>10</v>
          </cell>
          <cell r="C10">
            <v>10</v>
          </cell>
        </row>
        <row r="11">
          <cell r="A11">
            <v>10</v>
          </cell>
          <cell r="B11">
            <v>10</v>
          </cell>
          <cell r="C11">
            <v>10</v>
          </cell>
        </row>
        <row r="12">
          <cell r="A12">
            <v>11</v>
          </cell>
          <cell r="B12">
            <v>10</v>
          </cell>
          <cell r="C12">
            <v>10</v>
          </cell>
        </row>
        <row r="13">
          <cell r="A13">
            <v>12</v>
          </cell>
          <cell r="B13">
            <v>10</v>
          </cell>
          <cell r="C13">
            <v>10</v>
          </cell>
        </row>
        <row r="14">
          <cell r="A14">
            <v>13</v>
          </cell>
          <cell r="B14">
            <v>10</v>
          </cell>
          <cell r="C14">
            <v>10</v>
          </cell>
        </row>
        <row r="15">
          <cell r="A15">
            <v>14</v>
          </cell>
          <cell r="B15">
            <v>10</v>
          </cell>
          <cell r="C15">
            <v>10</v>
          </cell>
        </row>
        <row r="16">
          <cell r="A16">
            <v>15</v>
          </cell>
          <cell r="B16">
            <v>10</v>
          </cell>
          <cell r="C16">
            <v>10</v>
          </cell>
        </row>
        <row r="17">
          <cell r="A17">
            <v>16</v>
          </cell>
          <cell r="B17">
            <v>10</v>
          </cell>
          <cell r="C17">
            <v>10</v>
          </cell>
        </row>
      </sheetData>
      <sheetData sheetId="6" refreshError="1"/>
      <sheetData sheetId="7" refreshError="1"/>
      <sheetData sheetId="8" refreshError="1"/>
      <sheetData sheetId="9">
        <row r="1">
          <cell r="B1" t="str">
            <v>License Revenue</v>
          </cell>
        </row>
      </sheetData>
      <sheetData sheetId="10">
        <row r="1">
          <cell r="A1" t="str">
            <v>Note: Edit this data only</v>
          </cell>
        </row>
      </sheetData>
      <sheetData sheetId="11">
        <row r="2">
          <cell r="A2" t="str">
            <v>Note: Edit this data only</v>
          </cell>
        </row>
      </sheetData>
      <sheetData sheetId="12">
        <row r="1">
          <cell r="B1" t="str">
            <v>2004A Revenue Mix</v>
          </cell>
        </row>
      </sheetData>
      <sheetData sheetId="13">
        <row r="1">
          <cell r="B1" t="str">
            <v>Revenue</v>
          </cell>
        </row>
      </sheetData>
      <sheetData sheetId="14">
        <row r="1">
          <cell r="B1" t="str">
            <v>series</v>
          </cell>
        </row>
      </sheetData>
      <sheetData sheetId="15">
        <row r="1">
          <cell r="C1" t="str">
            <v>TEV/2006E EBITDAP</v>
          </cell>
        </row>
      </sheetData>
      <sheetData sheetId="16">
        <row r="1">
          <cell r="B1" t="str">
            <v>VCI</v>
          </cell>
        </row>
      </sheetData>
      <sheetData sheetId="17">
        <row r="43">
          <cell r="D43" t="str">
            <v>R-G-B Colors</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 Items &amp; Notes"/>
      <sheetName val="Input Sheet"/>
      <sheetName val="Financials"/>
      <sheetName val="Debt Schedules"/>
      <sheetName val="IRR &amp; Primary vs Secondary"/>
      <sheetName val="AVP"/>
      <sheetName val="Module1"/>
      <sheetName val="Caroline Model"/>
      <sheetName val="INDEX"/>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mdata"/>
      <sheetName val="Toolpack-finance®"/>
      <sheetName val="Konsolidering"/>
      <sheetName val="Simulering"/>
      <sheetName val="Skabelon Item"/>
      <sheetName val="Skabelon Debitor"/>
      <sheetName val="21"/>
      <sheetName val="22"/>
      <sheetName val="23"/>
      <sheetName val="24"/>
      <sheetName val="25"/>
      <sheetName val="26"/>
      <sheetName val="27"/>
      <sheetName val="28"/>
      <sheetName val="30"/>
      <sheetName val="31"/>
      <sheetName val="32"/>
      <sheetName val="33"/>
      <sheetName val="34"/>
      <sheetName val="language"/>
      <sheetName val="Profile"/>
      <sheetName val="Account mapings"/>
      <sheetName val="Sum"/>
    </sheetNames>
    <sheetDataSet>
      <sheetData sheetId="0" refreshError="1"/>
      <sheetData sheetId="1">
        <row r="13">
          <cell r="B13">
            <v>2</v>
          </cell>
        </row>
      </sheetData>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B2" t="str">
            <v>kTP</v>
          </cell>
          <cell r="C2" t="str">
            <v>Toolpack-finance®</v>
          </cell>
          <cell r="D2" t="str">
            <v>Toolpack-finance®</v>
          </cell>
          <cell r="E2" t="str">
            <v>Toolpack-finance®</v>
          </cell>
          <cell r="F2" t="str">
            <v>Toolpack-Finance®</v>
          </cell>
        </row>
        <row r="3">
          <cell r="B3" t="str">
            <v>kAcc</v>
          </cell>
          <cell r="C3" t="str">
            <v>No.</v>
          </cell>
          <cell r="D3" t="str">
            <v>No.</v>
          </cell>
          <cell r="E3" t="str">
            <v>No.</v>
          </cell>
          <cell r="F3" t="str">
            <v>No.</v>
          </cell>
        </row>
        <row r="4">
          <cell r="B4" t="str">
            <v>kAccName</v>
          </cell>
          <cell r="C4" t="str">
            <v>Name</v>
          </cell>
          <cell r="D4" t="str">
            <v>Navn</v>
          </cell>
          <cell r="E4" t="str">
            <v>Namn</v>
          </cell>
          <cell r="F4" t="str">
            <v>Name</v>
          </cell>
        </row>
        <row r="5">
          <cell r="B5" t="str">
            <v>kTotal</v>
          </cell>
          <cell r="C5" t="str">
            <v>Total</v>
          </cell>
          <cell r="D5" t="str">
            <v>Total</v>
          </cell>
          <cell r="E5" t="str">
            <v>Total</v>
          </cell>
          <cell r="F5" t="str">
            <v>Gesamt</v>
          </cell>
        </row>
        <row r="6">
          <cell r="B6" t="str">
            <v>kBud</v>
          </cell>
          <cell r="C6" t="str">
            <v>Sales budget</v>
          </cell>
          <cell r="D6" t="str">
            <v>Salgsbudget</v>
          </cell>
          <cell r="E6" t="str">
            <v>Budgeteringsmodell</v>
          </cell>
          <cell r="F6" t="str">
            <v>Budget</v>
          </cell>
        </row>
        <row r="7">
          <cell r="B7" t="str">
            <v>kBudYear</v>
          </cell>
          <cell r="C7" t="str">
            <v>Budget year</v>
          </cell>
          <cell r="D7" t="str">
            <v>Budgetår</v>
          </cell>
          <cell r="E7" t="str">
            <v>Budgetår</v>
          </cell>
          <cell r="F7" t="str">
            <v>Budgetjahr</v>
          </cell>
        </row>
        <row r="8">
          <cell r="B8" t="str">
            <v>kDim1</v>
          </cell>
          <cell r="C8" t="str">
            <v>Dimension</v>
          </cell>
          <cell r="D8" t="str">
            <v>Dimension</v>
          </cell>
          <cell r="E8" t="str">
            <v>Dimension</v>
          </cell>
          <cell r="F8" t="str">
            <v>Dimension</v>
          </cell>
        </row>
        <row r="9">
          <cell r="B9" t="str">
            <v>kDim2</v>
          </cell>
          <cell r="C9" t="str">
            <v>Debitor</v>
          </cell>
          <cell r="D9" t="str">
            <v>Debitor</v>
          </cell>
          <cell r="E9" t="str">
            <v>Debitor</v>
          </cell>
          <cell r="F9" t="str">
            <v>Debitor</v>
          </cell>
        </row>
        <row r="10">
          <cell r="B10" t="str">
            <v>kDim3</v>
          </cell>
          <cell r="C10" t="str">
            <v>Debitor group</v>
          </cell>
          <cell r="D10" t="str">
            <v>Debitor gruppe</v>
          </cell>
          <cell r="E10" t="str">
            <v>Debitor group</v>
          </cell>
          <cell r="F10" t="str">
            <v>Debitor group</v>
          </cell>
        </row>
        <row r="11">
          <cell r="B11" t="str">
            <v>kDim4</v>
          </cell>
          <cell r="C11" t="str">
            <v>Dimension 4</v>
          </cell>
          <cell r="D11" t="str">
            <v>Dimension 4</v>
          </cell>
          <cell r="E11" t="str">
            <v>Dimension 4</v>
          </cell>
          <cell r="F11" t="str">
            <v>Dimension 4</v>
          </cell>
        </row>
        <row r="12">
          <cell r="B12" t="str">
            <v>kBudName</v>
          </cell>
          <cell r="C12" t="str">
            <v>Budget name - this year</v>
          </cell>
          <cell r="D12" t="str">
            <v>Budgetnavn - i år</v>
          </cell>
          <cell r="E12" t="str">
            <v>Budgetnamn - i år</v>
          </cell>
          <cell r="F12" t="str">
            <v>Budgetname- dieses Jahr</v>
          </cell>
        </row>
        <row r="13">
          <cell r="B13" t="str">
            <v>kBudNameLY</v>
          </cell>
          <cell r="C13" t="str">
            <v>Budget name - last year</v>
          </cell>
          <cell r="D13" t="str">
            <v>Budgetnavn - sidste år</v>
          </cell>
          <cell r="E13" t="str">
            <v>Budgetnamn - förra året</v>
          </cell>
          <cell r="F13" t="str">
            <v>Budgetname- letztes Jahr</v>
          </cell>
        </row>
        <row r="14">
          <cell r="B14" t="str">
            <v>kDSN</v>
          </cell>
          <cell r="C14" t="str">
            <v>Data source</v>
          </cell>
          <cell r="D14" t="str">
            <v>Datakilde</v>
          </cell>
          <cell r="E14" t="str">
            <v>Datakälla</v>
          </cell>
          <cell r="F14" t="str">
            <v>Datenquelle</v>
          </cell>
        </row>
        <row r="15">
          <cell r="B15" t="str">
            <v>kResult</v>
          </cell>
          <cell r="C15" t="str">
            <v>Result</v>
          </cell>
          <cell r="D15" t="str">
            <v>Resultat</v>
          </cell>
          <cell r="E15" t="str">
            <v>Resultat</v>
          </cell>
          <cell r="F15" t="str">
            <v>Ergebnis</v>
          </cell>
        </row>
        <row r="16">
          <cell r="B16" t="str">
            <v>kBalance</v>
          </cell>
          <cell r="C16" t="str">
            <v>Balance</v>
          </cell>
          <cell r="D16" t="str">
            <v>Balance</v>
          </cell>
          <cell r="E16" t="str">
            <v>Balans</v>
          </cell>
          <cell r="F16" t="str">
            <v>Bilanz</v>
          </cell>
        </row>
        <row r="17">
          <cell r="B17" t="str">
            <v>kConsBud</v>
          </cell>
          <cell r="C17" t="str">
            <v>Consolidation of budgets</v>
          </cell>
          <cell r="D17" t="str">
            <v>Konsolidering af budgetter</v>
          </cell>
          <cell r="E17" t="str">
            <v>Konsolidering av budgeter</v>
          </cell>
          <cell r="F17" t="str">
            <v>Konsolidierung der Budgets</v>
          </cell>
        </row>
        <row r="18">
          <cell r="B18" t="str">
            <v>kSetup</v>
          </cell>
          <cell r="C18" t="str">
            <v>Setup</v>
          </cell>
          <cell r="D18" t="str">
            <v>Opsætning</v>
          </cell>
          <cell r="E18" t="str">
            <v>Uppsättning</v>
          </cell>
          <cell r="F18" t="str">
            <v>Einstellung</v>
          </cell>
        </row>
        <row r="19">
          <cell r="B19" t="str">
            <v>kBudTemplate</v>
          </cell>
          <cell r="C19" t="str">
            <v>Budget Template</v>
          </cell>
          <cell r="D19" t="str">
            <v>Budget skabelon</v>
          </cell>
          <cell r="E19" t="str">
            <v>Budget skabelon</v>
          </cell>
          <cell r="F19" t="str">
            <v>Budgetschablone</v>
          </cell>
        </row>
        <row r="20">
          <cell r="B20" t="str">
            <v>kBudAm</v>
          </cell>
          <cell r="C20" t="str">
            <v>Budget value</v>
          </cell>
          <cell r="D20" t="str">
            <v>Budget værdi</v>
          </cell>
          <cell r="E20" t="str">
            <v>Budgetvärde</v>
          </cell>
          <cell r="F20" t="str">
            <v>Budgetwert</v>
          </cell>
        </row>
        <row r="21">
          <cell r="B21" t="str">
            <v>kFirstMonth</v>
          </cell>
          <cell r="C21" t="str">
            <v>First month</v>
          </cell>
          <cell r="D21" t="str">
            <v>Start måned</v>
          </cell>
          <cell r="E21" t="str">
            <v>Start måned</v>
          </cell>
          <cell r="F21" t="str">
            <v>Startmonat</v>
          </cell>
        </row>
        <row r="22">
          <cell r="B22" t="str">
            <v>kCompany</v>
          </cell>
          <cell r="C22" t="str">
            <v>Company</v>
          </cell>
          <cell r="D22" t="str">
            <v>Regnskab</v>
          </cell>
          <cell r="E22" t="str">
            <v>Regnskab</v>
          </cell>
          <cell r="F22" t="str">
            <v>Abschluss</v>
          </cell>
        </row>
        <row r="23">
          <cell r="B23" t="str">
            <v>konsolidering</v>
          </cell>
          <cell r="C23" t="str">
            <v>Consolidate</v>
          </cell>
          <cell r="D23" t="str">
            <v>Konsolidering</v>
          </cell>
          <cell r="E23" t="str">
            <v>Konsolidering</v>
          </cell>
          <cell r="F23" t="str">
            <v>Konsolidierung</v>
          </cell>
        </row>
        <row r="24">
          <cell r="B24" t="str">
            <v>DimBudget</v>
          </cell>
          <cell r="C24" t="str">
            <v>Dimensionary budget</v>
          </cell>
          <cell r="D24" t="str">
            <v>Dimensions budget</v>
          </cell>
          <cell r="E24" t="str">
            <v>Dimensions budget</v>
          </cell>
          <cell r="F24" t="str">
            <v>Dimensionsbudget</v>
          </cell>
        </row>
        <row r="25">
          <cell r="B25" t="str">
            <v>Ark2</v>
          </cell>
          <cell r="C25" t="str">
            <v>Template</v>
          </cell>
          <cell r="D25" t="str">
            <v>Skabelon</v>
          </cell>
          <cell r="E25" t="str">
            <v>Malle</v>
          </cell>
          <cell r="F25" t="str">
            <v>Schablone</v>
          </cell>
        </row>
        <row r="26">
          <cell r="B26">
            <v>124</v>
          </cell>
          <cell r="C26" t="str">
            <v>Consolidate budgets</v>
          </cell>
          <cell r="D26" t="str">
            <v>Konsoliderer budgetter</v>
          </cell>
          <cell r="E26" t="str">
            <v>Konsoliderar budgeter</v>
          </cell>
          <cell r="F26" t="str">
            <v>Konsolidiere Budgets</v>
          </cell>
        </row>
        <row r="27">
          <cell r="B27">
            <v>134</v>
          </cell>
          <cell r="C27" t="str">
            <v>Unable to consolidate item</v>
          </cell>
          <cell r="D27" t="str">
            <v>Kan ikke konsolidere varen</v>
          </cell>
          <cell r="E27" t="str">
            <v>Kan inte konsolidera konto</v>
          </cell>
          <cell r="F27" t="str">
            <v>Kann Konto nicht konsolidieren</v>
          </cell>
        </row>
        <row r="28">
          <cell r="B28">
            <v>135</v>
          </cell>
          <cell r="C28" t="str">
            <v>Consolidate</v>
          </cell>
          <cell r="D28" t="str">
            <v>Konsolider</v>
          </cell>
          <cell r="E28" t="str">
            <v>Konsolidera</v>
          </cell>
          <cell r="F28" t="str">
            <v>Konsolidiere</v>
          </cell>
        </row>
        <row r="29">
          <cell r="B29">
            <v>244</v>
          </cell>
          <cell r="C29" t="str">
            <v>Select only one column</v>
          </cell>
          <cell r="D29" t="str">
            <v>Vælg kun en kolonne</v>
          </cell>
          <cell r="E29" t="str">
            <v>Välj endast en kolumn</v>
          </cell>
          <cell r="F29" t="str">
            <v>Nur eine Spalte wählen</v>
          </cell>
        </row>
        <row r="30">
          <cell r="B30">
            <v>1007</v>
          </cell>
          <cell r="C30" t="str">
            <v>There is a formula in the cell</v>
          </cell>
          <cell r="D30" t="str">
            <v>Der er en formel i celle</v>
          </cell>
          <cell r="E30" t="str">
            <v>Det finns en formel i cellen</v>
          </cell>
          <cell r="F30" t="str">
            <v>Es befindet sich eine Formel in der Zelle</v>
          </cell>
        </row>
        <row r="31">
          <cell r="B31">
            <v>1008</v>
          </cell>
          <cell r="C31" t="str">
            <v>Do you want to overwrite it?</v>
          </cell>
          <cell r="D31" t="str">
            <v>Ønsker du at overskrive den?</v>
          </cell>
          <cell r="E31" t="str">
            <v>Vill du ersätta den?</v>
          </cell>
          <cell r="F31" t="str">
            <v>Wollen Sie diese überschreiben?</v>
          </cell>
        </row>
        <row r="32">
          <cell r="B32">
            <v>1010</v>
          </cell>
          <cell r="C32" t="str">
            <v>Distribution of figures</v>
          </cell>
          <cell r="D32" t="str">
            <v>Opdatering af tal</v>
          </cell>
          <cell r="E32" t="str">
            <v>Fördelning av tal</v>
          </cell>
          <cell r="F32" t="str">
            <v>Aktualisierung der Zahlen</v>
          </cell>
        </row>
        <row r="33">
          <cell r="B33">
            <v>55</v>
          </cell>
          <cell r="C33" t="str">
            <v>Select month</v>
          </cell>
          <cell r="D33" t="str">
            <v>Vælg måned</v>
          </cell>
          <cell r="E33" t="str">
            <v>Välj månad</v>
          </cell>
          <cell r="F33" t="str">
            <v>Monat wählen</v>
          </cell>
        </row>
        <row r="34">
          <cell r="B34">
            <v>56</v>
          </cell>
          <cell r="C34" t="str">
            <v>Starting month of quarter?</v>
          </cell>
          <cell r="D34" t="str">
            <v>Hvilken måned starter kvartalet?</v>
          </cell>
          <cell r="E34" t="str">
            <v>Vilken månad inleds kvartalet?</v>
          </cell>
          <cell r="F34" t="str">
            <v>In welchem Monat beginnt das Quartal?</v>
          </cell>
        </row>
        <row r="35">
          <cell r="B35">
            <v>57</v>
          </cell>
          <cell r="C35" t="str">
            <v>1st month of the year</v>
          </cell>
          <cell r="D35" t="str">
            <v>1. måned i året</v>
          </cell>
          <cell r="E35" t="str">
            <v>Årets 1:a månad</v>
          </cell>
          <cell r="F35" t="str">
            <v>1. Monat im Jahr</v>
          </cell>
        </row>
        <row r="36">
          <cell r="B36">
            <v>58</v>
          </cell>
          <cell r="C36" t="str">
            <v>2nd month of the year</v>
          </cell>
          <cell r="D36" t="str">
            <v>2. måned i året</v>
          </cell>
          <cell r="E36" t="str">
            <v>Årets 2:a månad</v>
          </cell>
          <cell r="F36" t="str">
            <v>2. Monat im Jahr</v>
          </cell>
        </row>
        <row r="37">
          <cell r="B37">
            <v>59</v>
          </cell>
          <cell r="C37" t="str">
            <v>3rd month of the year</v>
          </cell>
          <cell r="D37" t="str">
            <v>3. måned i året</v>
          </cell>
          <cell r="E37" t="str">
            <v>Årets 3:e månad</v>
          </cell>
          <cell r="F37" t="str">
            <v>3. Monat im Jahr</v>
          </cell>
        </row>
        <row r="38">
          <cell r="B38">
            <v>24</v>
          </cell>
          <cell r="C38" t="str">
            <v>Ok</v>
          </cell>
          <cell r="D38" t="str">
            <v>Ok</v>
          </cell>
          <cell r="E38" t="str">
            <v>Ok</v>
          </cell>
          <cell r="F38" t="str">
            <v>Ok</v>
          </cell>
        </row>
        <row r="39">
          <cell r="B39">
            <v>25</v>
          </cell>
          <cell r="C39" t="str">
            <v>Cancel</v>
          </cell>
          <cell r="D39" t="str">
            <v>Annuller</v>
          </cell>
          <cell r="E39" t="str">
            <v>Annullera</v>
          </cell>
          <cell r="F39" t="str">
            <v>Abbrechen</v>
          </cell>
        </row>
        <row r="40">
          <cell r="B40">
            <v>86</v>
          </cell>
          <cell r="C40" t="str">
            <v>Accrual</v>
          </cell>
          <cell r="D40" t="str">
            <v>Periodisering</v>
          </cell>
          <cell r="E40" t="str">
            <v>Periodisering</v>
          </cell>
          <cell r="F40" t="str">
            <v>Periodisierung</v>
          </cell>
        </row>
        <row r="41">
          <cell r="B41">
            <v>89</v>
          </cell>
          <cell r="C41" t="str">
            <v>Month</v>
          </cell>
          <cell r="D41" t="str">
            <v>Måned</v>
          </cell>
          <cell r="E41" t="str">
            <v>Månad</v>
          </cell>
          <cell r="F41" t="str">
            <v>Monat</v>
          </cell>
        </row>
        <row r="42">
          <cell r="B42">
            <v>90</v>
          </cell>
          <cell r="C42" t="str">
            <v>Quarter</v>
          </cell>
          <cell r="D42" t="str">
            <v>Kvartal</v>
          </cell>
          <cell r="E42" t="str">
            <v>Kvartal</v>
          </cell>
          <cell r="F42" t="str">
            <v>Quartal</v>
          </cell>
        </row>
        <row r="43">
          <cell r="B43">
            <v>91</v>
          </cell>
          <cell r="C43" t="str">
            <v>Percent</v>
          </cell>
          <cell r="D43" t="str">
            <v>Procent</v>
          </cell>
          <cell r="E43" t="str">
            <v>Procent</v>
          </cell>
          <cell r="F43" t="str">
            <v>Prozent</v>
          </cell>
        </row>
        <row r="44">
          <cell r="B44">
            <v>381</v>
          </cell>
          <cell r="C44" t="str">
            <v>Roll-back</v>
          </cell>
          <cell r="D44" t="str">
            <v>Roll-Back</v>
          </cell>
          <cell r="E44" t="str">
            <v>Roll-Back</v>
          </cell>
          <cell r="F44" t="str">
            <v>Roll-Back</v>
          </cell>
        </row>
        <row r="45">
          <cell r="B45">
            <v>313</v>
          </cell>
          <cell r="C45" t="str">
            <v>The current region totals to</v>
          </cell>
          <cell r="D45" t="str">
            <v>Nuværende område giver</v>
          </cell>
          <cell r="E45" t="str">
            <v>Nuvarande område ger</v>
          </cell>
          <cell r="F45" t="str">
            <v>Vorliegender Bereich ergibt</v>
          </cell>
        </row>
        <row r="46">
          <cell r="B46">
            <v>314</v>
          </cell>
          <cell r="C46" t="str">
            <v>Type new total of the selected region</v>
          </cell>
          <cell r="D46" t="str">
            <v>Angiv nyt beløb til fordeling:</v>
          </cell>
          <cell r="E46" t="str">
            <v>Ange nytt belopp för fördelning:</v>
          </cell>
          <cell r="F46" t="str">
            <v>Neuen Betrag für Verteilung angeben:</v>
          </cell>
        </row>
        <row r="47">
          <cell r="B47">
            <v>315</v>
          </cell>
          <cell r="C47" t="str">
            <v>Create new roll-back value</v>
          </cell>
          <cell r="D47" t="str">
            <v>Ny Roll-Back værdi</v>
          </cell>
          <cell r="E47" t="str">
            <v>Nytt Roll-Back-värde</v>
          </cell>
          <cell r="F47" t="str">
            <v>Neuer Roll-Back-Wert</v>
          </cell>
        </row>
        <row r="48">
          <cell r="B48">
            <v>912</v>
          </cell>
          <cell r="C48" t="str">
            <v>Yes</v>
          </cell>
          <cell r="D48" t="str">
            <v>Ja</v>
          </cell>
          <cell r="E48" t="str">
            <v>Ja</v>
          </cell>
          <cell r="F48" t="str">
            <v>Ja</v>
          </cell>
        </row>
        <row r="49">
          <cell r="B49">
            <v>913</v>
          </cell>
          <cell r="C49" t="str">
            <v>Yes to all</v>
          </cell>
          <cell r="D49" t="str">
            <v>Ja til Alle</v>
          </cell>
          <cell r="E49" t="str">
            <v>Ja till alla</v>
          </cell>
          <cell r="F49" t="str">
            <v>Ja zu Allen</v>
          </cell>
        </row>
        <row r="50">
          <cell r="B50">
            <v>914</v>
          </cell>
          <cell r="C50" t="str">
            <v>No</v>
          </cell>
          <cell r="D50" t="str">
            <v>Nej</v>
          </cell>
          <cell r="E50" t="str">
            <v>Nej</v>
          </cell>
          <cell r="F50" t="str">
            <v>Nein</v>
          </cell>
        </row>
        <row r="51">
          <cell r="B51">
            <v>915</v>
          </cell>
          <cell r="C51" t="str">
            <v>No to all</v>
          </cell>
          <cell r="D51" t="str">
            <v>Nej til Alle</v>
          </cell>
          <cell r="E51" t="str">
            <v>Nej till alla</v>
          </cell>
          <cell r="F51" t="str">
            <v>Nein zu Allen</v>
          </cell>
        </row>
        <row r="52">
          <cell r="B52">
            <v>270</v>
          </cell>
          <cell r="C52" t="str">
            <v>Please type in a numerical value for distribution</v>
          </cell>
          <cell r="D52" t="str">
            <v>Du skal angive en tal-værdi til fordeling</v>
          </cell>
          <cell r="E52" t="str">
            <v>Du ska ange ett nummervärde för fördelning</v>
          </cell>
          <cell r="F52" t="str">
            <v>Sie müssen einen Zahlenwert für die Verteilung angeben</v>
          </cell>
        </row>
      </sheetData>
      <sheetData sheetId="20"/>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mpl"/>
      <sheetName val="Monthly Reporting"/>
    </sheetNames>
    <definedNames>
      <definedName name="GotoInf_fromNo8"/>
    </defined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er input"/>
      <sheetName val="Basisinfo"/>
      <sheetName val="Vejledning"/>
      <sheetName val="Makrodata"/>
      <sheetName val="Kapitalstruktur"/>
      <sheetName val="Valuedriver"/>
      <sheetName val="Afkast -(ROIC-WACC)"/>
      <sheetName val="Chart2 ROIC-WACC spread"/>
      <sheetName val="Chart3 beta"/>
      <sheetName val="Følsomhedsanalyse"/>
      <sheetName val="Følsomhedsgraf"/>
      <sheetName val="Beta"/>
      <sheetName val="Multipel-oversigt"/>
      <sheetName val="Stock price chart"/>
      <sheetName val="Peer1"/>
      <sheetName val="Peer2"/>
      <sheetName val="Peer3"/>
      <sheetName val="Peer4"/>
      <sheetName val="Peer5"/>
      <sheetName val="Peer6"/>
      <sheetName val="Peer7"/>
      <sheetName val="Peer8"/>
      <sheetName val="Peer9"/>
      <sheetName val="Peer10"/>
      <sheetName val="Peer11"/>
      <sheetName val="Peer12"/>
      <sheetName val="Peer13"/>
      <sheetName val="Peer14"/>
      <sheetName val="Peer15"/>
      <sheetName val="Peer16"/>
      <sheetName val="Peer17"/>
      <sheetName val="Peer18"/>
      <sheetName val="Peer19"/>
      <sheetName val="Peer20"/>
      <sheetName val="Grafer"/>
      <sheetName val="Table"/>
      <sheetName val="Peer_input"/>
      <sheetName val="Afkast_-(ROIC-WACC)"/>
      <sheetName val="Chart2_ROIC-WACC_spread"/>
      <sheetName val="Chart3_beta"/>
      <sheetName val="Stock_price_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AQ3">
            <v>36444</v>
          </cell>
        </row>
      </sheetData>
      <sheetData sheetId="15" refreshError="1">
        <row r="3">
          <cell r="AQ3">
            <v>36444</v>
          </cell>
        </row>
      </sheetData>
      <sheetData sheetId="16" refreshError="1">
        <row r="3">
          <cell r="AQ3">
            <v>36444</v>
          </cell>
        </row>
      </sheetData>
      <sheetData sheetId="17" refreshError="1">
        <row r="3">
          <cell r="AQ3">
            <v>37174</v>
          </cell>
        </row>
      </sheetData>
      <sheetData sheetId="18" refreshError="1">
        <row r="3">
          <cell r="AQ3">
            <v>37174</v>
          </cell>
        </row>
      </sheetData>
      <sheetData sheetId="19" refreshError="1">
        <row r="3">
          <cell r="AQ3">
            <v>37174</v>
          </cell>
        </row>
      </sheetData>
      <sheetData sheetId="20" refreshError="1">
        <row r="3">
          <cell r="AQ3">
            <v>37174</v>
          </cell>
        </row>
      </sheetData>
      <sheetData sheetId="21" refreshError="1">
        <row r="3">
          <cell r="AQ3">
            <v>37174</v>
          </cell>
        </row>
      </sheetData>
      <sheetData sheetId="22" refreshError="1">
        <row r="3">
          <cell r="AQ3">
            <v>37174</v>
          </cell>
        </row>
      </sheetData>
      <sheetData sheetId="23" refreshError="1">
        <row r="3">
          <cell r="AQ3">
            <v>37174</v>
          </cell>
        </row>
      </sheetData>
      <sheetData sheetId="24" refreshError="1">
        <row r="3">
          <cell r="AQ3">
            <v>37174</v>
          </cell>
        </row>
      </sheetData>
      <sheetData sheetId="25" refreshError="1">
        <row r="3">
          <cell r="AQ3">
            <v>37174</v>
          </cell>
        </row>
      </sheetData>
      <sheetData sheetId="26" refreshError="1">
        <row r="3">
          <cell r="AQ3">
            <v>37174</v>
          </cell>
        </row>
      </sheetData>
      <sheetData sheetId="27" refreshError="1">
        <row r="3">
          <cell r="AQ3">
            <v>37174</v>
          </cell>
        </row>
      </sheetData>
      <sheetData sheetId="28" refreshError="1">
        <row r="3">
          <cell r="AQ3">
            <v>37174</v>
          </cell>
        </row>
      </sheetData>
      <sheetData sheetId="29" refreshError="1">
        <row r="3">
          <cell r="AQ3">
            <v>37174</v>
          </cell>
        </row>
      </sheetData>
      <sheetData sheetId="30" refreshError="1">
        <row r="3">
          <cell r="AQ3">
            <v>37174</v>
          </cell>
        </row>
      </sheetData>
      <sheetData sheetId="31" refreshError="1">
        <row r="3">
          <cell r="AQ3">
            <v>37174</v>
          </cell>
        </row>
      </sheetData>
      <sheetData sheetId="32" refreshError="1">
        <row r="3">
          <cell r="AQ3">
            <v>37174</v>
          </cell>
        </row>
      </sheetData>
      <sheetData sheetId="33" refreshError="1">
        <row r="3">
          <cell r="AQ3">
            <v>37174</v>
          </cell>
        </row>
      </sheetData>
      <sheetData sheetId="34" refreshError="1"/>
      <sheetData sheetId="35" refreshError="1"/>
      <sheetData sheetId="36"/>
      <sheetData sheetId="37"/>
      <sheetData sheetId="38"/>
      <sheetData sheetId="39"/>
      <sheetData sheetId="4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mpl"/>
      <sheetName val="Seniority"/>
    </sheetNames>
    <definedNames>
      <definedName name="GotoInf_fromNo8"/>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o. bal. - Vosko"/>
      <sheetName val="Vosko extraordinary items impac"/>
    </sheetNames>
    <definedNames>
      <definedName name="Header1" refersTo="#REFERENCE!"/>
    </defined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Outputs1"/>
      <sheetName val="Outputs2"/>
      <sheetName val="Jan"/>
      <sheetName val="Feb"/>
      <sheetName val="Mar"/>
      <sheetName val="Apr"/>
      <sheetName val="May"/>
      <sheetName val="June"/>
      <sheetName val="July"/>
      <sheetName val="August"/>
      <sheetName val="September"/>
      <sheetName val="October"/>
      <sheetName val="November"/>
      <sheetName val="December"/>
      <sheetName val="Hrs Wkd Per T"/>
    </sheetNames>
    <sheetDataSet>
      <sheetData sheetId="0" refreshError="1"/>
      <sheetData sheetId="1" refreshError="1">
        <row r="37">
          <cell r="C37">
            <v>319</v>
          </cell>
        </row>
        <row r="195">
          <cell r="BH195">
            <v>3</v>
          </cell>
          <cell r="BI195">
            <v>0</v>
          </cell>
          <cell r="BJ195">
            <v>0</v>
          </cell>
          <cell r="BK195">
            <v>66</v>
          </cell>
          <cell r="BL195">
            <v>0</v>
          </cell>
        </row>
        <row r="202">
          <cell r="BH202">
            <v>80</v>
          </cell>
          <cell r="BI202">
            <v>74</v>
          </cell>
          <cell r="BJ202">
            <v>40</v>
          </cell>
          <cell r="BK202">
            <v>32</v>
          </cell>
          <cell r="BL202">
            <v>0</v>
          </cell>
        </row>
        <row r="205">
          <cell r="BH205">
            <v>0</v>
          </cell>
          <cell r="BI205">
            <v>0</v>
          </cell>
          <cell r="BJ205">
            <v>0</v>
          </cell>
          <cell r="BK205">
            <v>0</v>
          </cell>
          <cell r="BL205">
            <v>0</v>
          </cell>
        </row>
        <row r="212">
          <cell r="BH212">
            <v>74</v>
          </cell>
          <cell r="BI212">
            <v>0</v>
          </cell>
          <cell r="BJ212">
            <v>0</v>
          </cell>
          <cell r="BK212">
            <v>0</v>
          </cell>
          <cell r="BL212">
            <v>0</v>
          </cell>
        </row>
        <row r="215">
          <cell r="BH215">
            <v>1</v>
          </cell>
          <cell r="BI215">
            <v>0</v>
          </cell>
          <cell r="BJ215">
            <v>0</v>
          </cell>
          <cell r="BK215">
            <v>0</v>
          </cell>
          <cell r="BL215">
            <v>0</v>
          </cell>
        </row>
        <row r="222">
          <cell r="BH222">
            <v>0</v>
          </cell>
          <cell r="BI222">
            <v>0</v>
          </cell>
          <cell r="BJ222">
            <v>117</v>
          </cell>
          <cell r="BK222">
            <v>0</v>
          </cell>
          <cell r="BL222">
            <v>0</v>
          </cell>
        </row>
        <row r="358">
          <cell r="D358" t="str">
            <v>J</v>
          </cell>
          <cell r="E358" t="str">
            <v>F</v>
          </cell>
          <cell r="F358" t="str">
            <v>M</v>
          </cell>
          <cell r="G358" t="str">
            <v>A</v>
          </cell>
          <cell r="H358" t="str">
            <v>M</v>
          </cell>
          <cell r="I358" t="str">
            <v>J</v>
          </cell>
          <cell r="J358" t="str">
            <v>J</v>
          </cell>
          <cell r="K358" t="str">
            <v>A</v>
          </cell>
          <cell r="L358" t="str">
            <v>S</v>
          </cell>
          <cell r="M358" t="str">
            <v>O</v>
          </cell>
          <cell r="N358" t="str">
            <v>N</v>
          </cell>
          <cell r="O358" t="str">
            <v>D</v>
          </cell>
          <cell r="P358" t="str">
            <v>J</v>
          </cell>
          <cell r="Q358" t="str">
            <v>F</v>
          </cell>
          <cell r="R358" t="str">
            <v>M</v>
          </cell>
          <cell r="S358" t="str">
            <v>A</v>
          </cell>
          <cell r="T358" t="str">
            <v>M</v>
          </cell>
          <cell r="U358" t="str">
            <v>J</v>
          </cell>
          <cell r="V358" t="str">
            <v>J</v>
          </cell>
          <cell r="W358" t="str">
            <v>A</v>
          </cell>
          <cell r="X358" t="str">
            <v>S</v>
          </cell>
          <cell r="Y358" t="str">
            <v>O</v>
          </cell>
          <cell r="Z358" t="str">
            <v>N</v>
          </cell>
          <cell r="AA358" t="str">
            <v>D</v>
          </cell>
        </row>
        <row r="359">
          <cell r="P359"/>
          <cell r="Q359"/>
          <cell r="R359"/>
          <cell r="S359"/>
          <cell r="T359"/>
          <cell r="U359"/>
          <cell r="V359"/>
          <cell r="W359"/>
          <cell r="X359"/>
          <cell r="Y359"/>
          <cell r="Z359"/>
          <cell r="AA359"/>
        </row>
        <row r="360">
          <cell r="P360"/>
          <cell r="Q360"/>
          <cell r="R360"/>
          <cell r="S360"/>
          <cell r="T360"/>
          <cell r="U360"/>
          <cell r="V360"/>
          <cell r="W360"/>
          <cell r="X360"/>
          <cell r="Y360"/>
          <cell r="Z360"/>
          <cell r="AA360"/>
        </row>
        <row r="361">
          <cell r="P361"/>
          <cell r="Q361"/>
          <cell r="R361"/>
          <cell r="S361"/>
          <cell r="T361"/>
          <cell r="U361"/>
          <cell r="V361"/>
          <cell r="W361"/>
          <cell r="X361"/>
          <cell r="Y361"/>
          <cell r="Z361"/>
          <cell r="AA361"/>
        </row>
        <row r="362">
          <cell r="P362"/>
          <cell r="Q362"/>
          <cell r="R362"/>
          <cell r="S362"/>
          <cell r="T362"/>
          <cell r="U362"/>
          <cell r="V362"/>
          <cell r="W362"/>
          <cell r="X362"/>
          <cell r="Y362"/>
          <cell r="Z362"/>
          <cell r="AA362"/>
        </row>
        <row r="363">
          <cell r="P363"/>
          <cell r="Q363"/>
          <cell r="R363"/>
          <cell r="S363"/>
          <cell r="T363"/>
          <cell r="U363"/>
          <cell r="V363"/>
          <cell r="W363"/>
          <cell r="X363"/>
          <cell r="Y363"/>
          <cell r="Z363"/>
          <cell r="AA363"/>
        </row>
        <row r="365">
          <cell r="P365"/>
          <cell r="Q365"/>
          <cell r="R365"/>
          <cell r="S365"/>
          <cell r="T365"/>
          <cell r="U365"/>
          <cell r="V365"/>
          <cell r="W365"/>
          <cell r="X365"/>
          <cell r="Y365"/>
          <cell r="Z365"/>
          <cell r="AA365"/>
        </row>
        <row r="367">
          <cell r="P367"/>
          <cell r="Q367"/>
          <cell r="R367"/>
          <cell r="S367"/>
          <cell r="T367"/>
          <cell r="U367"/>
          <cell r="V367"/>
          <cell r="W367"/>
          <cell r="X367"/>
          <cell r="Y367"/>
          <cell r="Z367"/>
          <cell r="AA367"/>
        </row>
        <row r="368">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row>
        <row r="380">
          <cell r="D380">
            <v>-10</v>
          </cell>
          <cell r="E380">
            <v>-12</v>
          </cell>
          <cell r="F380">
            <v>-12</v>
          </cell>
          <cell r="G380">
            <v>-22</v>
          </cell>
          <cell r="H380">
            <v>-14</v>
          </cell>
          <cell r="I380">
            <v>-20</v>
          </cell>
          <cell r="J380">
            <v>-19</v>
          </cell>
          <cell r="K380">
            <v>-31</v>
          </cell>
          <cell r="L380">
            <v>-21</v>
          </cell>
          <cell r="M380">
            <v>-26</v>
          </cell>
          <cell r="N380">
            <v>-5</v>
          </cell>
          <cell r="O380">
            <v>-12</v>
          </cell>
          <cell r="P380">
            <v>0</v>
          </cell>
          <cell r="Q380">
            <v>0</v>
          </cell>
          <cell r="R380">
            <v>0</v>
          </cell>
          <cell r="S380">
            <v>0</v>
          </cell>
          <cell r="T380">
            <v>0</v>
          </cell>
          <cell r="U380">
            <v>0</v>
          </cell>
          <cell r="V380">
            <v>0</v>
          </cell>
          <cell r="W380">
            <v>0</v>
          </cell>
          <cell r="X380">
            <v>0</v>
          </cell>
          <cell r="Y380">
            <v>0</v>
          </cell>
          <cell r="Z380">
            <v>0</v>
          </cell>
          <cell r="AA380">
            <v>0</v>
          </cell>
        </row>
        <row r="391">
          <cell r="D391">
            <v>1</v>
          </cell>
          <cell r="E391">
            <v>2</v>
          </cell>
          <cell r="F391">
            <v>3</v>
          </cell>
          <cell r="G391">
            <v>4</v>
          </cell>
          <cell r="H391">
            <v>5</v>
          </cell>
          <cell r="I391">
            <v>6</v>
          </cell>
          <cell r="J391">
            <v>7</v>
          </cell>
          <cell r="K391">
            <v>8</v>
          </cell>
          <cell r="L391">
            <v>9</v>
          </cell>
          <cell r="M391">
            <v>10</v>
          </cell>
          <cell r="N391">
            <v>11</v>
          </cell>
          <cell r="O391">
            <v>12</v>
          </cell>
          <cell r="P391">
            <v>13</v>
          </cell>
          <cell r="Q391">
            <v>14</v>
          </cell>
          <cell r="R391">
            <v>15</v>
          </cell>
          <cell r="S391">
            <v>16</v>
          </cell>
          <cell r="T391">
            <v>17</v>
          </cell>
          <cell r="U391">
            <v>18</v>
          </cell>
          <cell r="V391">
            <v>19</v>
          </cell>
          <cell r="W391">
            <v>20</v>
          </cell>
          <cell r="X391">
            <v>21</v>
          </cell>
          <cell r="Y391">
            <v>22</v>
          </cell>
          <cell r="Z391">
            <v>23</v>
          </cell>
          <cell r="AA391">
            <v>24</v>
          </cell>
          <cell r="AB391">
            <v>25</v>
          </cell>
          <cell r="AC391">
            <v>26</v>
          </cell>
          <cell r="AD391">
            <v>27</v>
          </cell>
          <cell r="AE391">
            <v>28</v>
          </cell>
          <cell r="AF391">
            <v>29</v>
          </cell>
          <cell r="AG391">
            <v>30</v>
          </cell>
          <cell r="AH391">
            <v>31</v>
          </cell>
          <cell r="AI391">
            <v>32</v>
          </cell>
          <cell r="AJ391">
            <v>33</v>
          </cell>
          <cell r="AK391">
            <v>34</v>
          </cell>
          <cell r="AL391">
            <v>35</v>
          </cell>
          <cell r="AM391">
            <v>36</v>
          </cell>
          <cell r="AN391">
            <v>37</v>
          </cell>
          <cell r="AO391">
            <v>38</v>
          </cell>
          <cell r="AP391">
            <v>39</v>
          </cell>
          <cell r="AQ391">
            <v>40</v>
          </cell>
          <cell r="AR391">
            <v>41</v>
          </cell>
          <cell r="AS391">
            <v>42</v>
          </cell>
          <cell r="AT391">
            <v>43</v>
          </cell>
          <cell r="AU391">
            <v>44</v>
          </cell>
          <cell r="AV391">
            <v>45</v>
          </cell>
          <cell r="AW391">
            <v>46</v>
          </cell>
          <cell r="AX391">
            <v>47</v>
          </cell>
          <cell r="AY391">
            <v>48</v>
          </cell>
          <cell r="AZ391">
            <v>49</v>
          </cell>
          <cell r="BA391">
            <v>50</v>
          </cell>
          <cell r="BB391">
            <v>51</v>
          </cell>
          <cell r="BC391">
            <v>52</v>
          </cell>
        </row>
        <row r="401">
          <cell r="D401">
            <v>343</v>
          </cell>
          <cell r="E401">
            <v>692</v>
          </cell>
          <cell r="F401">
            <v>691</v>
          </cell>
          <cell r="G401">
            <v>708</v>
          </cell>
          <cell r="H401">
            <v>657</v>
          </cell>
          <cell r="I401">
            <v>511</v>
          </cell>
          <cell r="J401">
            <v>716</v>
          </cell>
          <cell r="K401">
            <v>597</v>
          </cell>
          <cell r="L401">
            <v>656</v>
          </cell>
          <cell r="M401">
            <v>485</v>
          </cell>
          <cell r="N401">
            <v>733</v>
          </cell>
          <cell r="O401">
            <v>515</v>
          </cell>
          <cell r="P401">
            <v>439</v>
          </cell>
          <cell r="Q401">
            <v>0</v>
          </cell>
          <cell r="R401">
            <v>510</v>
          </cell>
          <cell r="S401">
            <v>574</v>
          </cell>
          <cell r="T401">
            <v>563</v>
          </cell>
          <cell r="U401">
            <v>558</v>
          </cell>
          <cell r="V401">
            <v>148</v>
          </cell>
          <cell r="W401">
            <v>156</v>
          </cell>
          <cell r="X401">
            <v>578</v>
          </cell>
          <cell r="Y401">
            <v>615</v>
          </cell>
          <cell r="Z401">
            <v>329</v>
          </cell>
          <cell r="AA401">
            <v>669</v>
          </cell>
          <cell r="AB401">
            <v>102</v>
          </cell>
          <cell r="AC401">
            <v>522</v>
          </cell>
          <cell r="AD401">
            <v>513</v>
          </cell>
          <cell r="AE401">
            <v>111</v>
          </cell>
          <cell r="AF401">
            <v>576</v>
          </cell>
          <cell r="AG401">
            <v>534</v>
          </cell>
          <cell r="AH401">
            <v>567</v>
          </cell>
          <cell r="AI401">
            <v>37</v>
          </cell>
          <cell r="AJ401">
            <v>468</v>
          </cell>
          <cell r="AK401">
            <v>457</v>
          </cell>
          <cell r="AL401">
            <v>372</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row>
        <row r="404">
          <cell r="D404">
            <v>91.5</v>
          </cell>
          <cell r="E404">
            <v>143</v>
          </cell>
          <cell r="F404">
            <v>529.20000000000005</v>
          </cell>
          <cell r="G404">
            <v>0</v>
          </cell>
          <cell r="H404">
            <v>0</v>
          </cell>
          <cell r="I404">
            <v>1100.2</v>
          </cell>
          <cell r="J404">
            <v>0</v>
          </cell>
          <cell r="K404">
            <v>0</v>
          </cell>
          <cell r="L404">
            <v>0</v>
          </cell>
          <cell r="M404">
            <v>1142.9000000000001</v>
          </cell>
          <cell r="N404">
            <v>0</v>
          </cell>
          <cell r="O404">
            <v>0</v>
          </cell>
          <cell r="P404">
            <v>810.1</v>
          </cell>
          <cell r="Q404">
            <v>0</v>
          </cell>
          <cell r="R404">
            <v>0</v>
          </cell>
          <cell r="S404">
            <v>0</v>
          </cell>
          <cell r="T404">
            <v>1032.2</v>
          </cell>
          <cell r="U404">
            <v>0</v>
          </cell>
          <cell r="V404">
            <v>0</v>
          </cell>
          <cell r="W404">
            <v>0</v>
          </cell>
          <cell r="X404">
            <v>598.20000000000005</v>
          </cell>
          <cell r="Y404">
            <v>0</v>
          </cell>
          <cell r="Z404">
            <v>0</v>
          </cell>
          <cell r="AA404">
            <v>0</v>
          </cell>
          <cell r="AB404">
            <v>0</v>
          </cell>
          <cell r="AC404">
            <v>954.4</v>
          </cell>
          <cell r="AD404">
            <v>72.3</v>
          </cell>
          <cell r="AE404">
            <v>0</v>
          </cell>
          <cell r="AF404">
            <v>0</v>
          </cell>
          <cell r="AG404">
            <v>0</v>
          </cell>
          <cell r="AH404">
            <v>1010</v>
          </cell>
          <cell r="AI404">
            <v>51.1</v>
          </cell>
          <cell r="AJ404">
            <v>0</v>
          </cell>
          <cell r="AK404">
            <v>0</v>
          </cell>
          <cell r="AL404">
            <v>856.4</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row>
        <row r="405">
          <cell r="D405">
            <v>1178.2</v>
          </cell>
          <cell r="E405">
            <v>2210</v>
          </cell>
          <cell r="F405">
            <v>2282.5</v>
          </cell>
          <cell r="G405">
            <v>2780</v>
          </cell>
          <cell r="H405">
            <v>2615.1</v>
          </cell>
          <cell r="I405">
            <v>2569</v>
          </cell>
          <cell r="J405">
            <v>0</v>
          </cell>
          <cell r="K405">
            <v>2325.7000000000003</v>
          </cell>
          <cell r="L405">
            <v>2540.4</v>
          </cell>
          <cell r="M405">
            <v>2635.2</v>
          </cell>
          <cell r="N405">
            <v>2728.7999999999997</v>
          </cell>
          <cell r="O405">
            <v>2815.9</v>
          </cell>
          <cell r="P405">
            <v>1967.6</v>
          </cell>
          <cell r="Q405">
            <v>1046.2</v>
          </cell>
          <cell r="R405">
            <v>2451.1000000000004</v>
          </cell>
          <cell r="S405">
            <v>2460.2999999999997</v>
          </cell>
          <cell r="T405">
            <v>2740.5</v>
          </cell>
          <cell r="U405">
            <v>2443.6999999999998</v>
          </cell>
          <cell r="V405">
            <v>1999.6</v>
          </cell>
          <cell r="W405">
            <v>2272.5</v>
          </cell>
          <cell r="X405">
            <v>2377.5</v>
          </cell>
          <cell r="Y405">
            <v>2219.4</v>
          </cell>
          <cell r="Z405">
            <v>629.6</v>
          </cell>
          <cell r="AA405">
            <v>2126.4</v>
          </cell>
          <cell r="AB405">
            <v>2313.6999999999998</v>
          </cell>
          <cell r="AC405">
            <v>2065</v>
          </cell>
          <cell r="AD405">
            <v>366.7</v>
          </cell>
          <cell r="AE405">
            <v>2358.1999999999998</v>
          </cell>
          <cell r="AF405">
            <v>1334.6999999999998</v>
          </cell>
          <cell r="AG405">
            <v>372.4</v>
          </cell>
          <cell r="AH405">
            <v>1898.1999999999998</v>
          </cell>
          <cell r="AI405">
            <v>1371.4</v>
          </cell>
          <cell r="AJ405">
            <v>146.1</v>
          </cell>
          <cell r="AK405">
            <v>1900</v>
          </cell>
          <cell r="AL405">
            <v>1846.6</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row>
        <row r="406">
          <cell r="D406">
            <v>0</v>
          </cell>
          <cell r="E406">
            <v>0</v>
          </cell>
          <cell r="F406">
            <v>0</v>
          </cell>
          <cell r="G406">
            <v>0</v>
          </cell>
          <cell r="H406">
            <v>337</v>
          </cell>
          <cell r="I406">
            <v>131.69999999999999</v>
          </cell>
          <cell r="J406">
            <v>624.1</v>
          </cell>
          <cell r="K406">
            <v>0</v>
          </cell>
          <cell r="L406">
            <v>583.5</v>
          </cell>
          <cell r="M406">
            <v>0</v>
          </cell>
          <cell r="N406">
            <v>0</v>
          </cell>
          <cell r="O406">
            <v>572.6</v>
          </cell>
          <cell r="P406">
            <v>0</v>
          </cell>
          <cell r="Q406">
            <v>319.89999999999998</v>
          </cell>
          <cell r="R406">
            <v>550.9</v>
          </cell>
          <cell r="S406">
            <v>0</v>
          </cell>
          <cell r="T406">
            <v>0</v>
          </cell>
          <cell r="U406">
            <v>533.1</v>
          </cell>
          <cell r="V406">
            <v>0</v>
          </cell>
          <cell r="W406">
            <v>617</v>
          </cell>
          <cell r="X406">
            <v>0</v>
          </cell>
          <cell r="Y406">
            <v>551</v>
          </cell>
          <cell r="Z406">
            <v>27.4</v>
          </cell>
          <cell r="AA406">
            <v>575.70000000000005</v>
          </cell>
          <cell r="AB406">
            <v>590.1</v>
          </cell>
          <cell r="AC406">
            <v>0</v>
          </cell>
          <cell r="AD406">
            <v>413.5</v>
          </cell>
          <cell r="AE406">
            <v>537.29999999999995</v>
          </cell>
          <cell r="AF406">
            <v>0</v>
          </cell>
          <cell r="AG406">
            <v>564.9</v>
          </cell>
          <cell r="AH406">
            <v>0</v>
          </cell>
          <cell r="AI406">
            <v>581.1</v>
          </cell>
          <cell r="AJ406">
            <v>365.1</v>
          </cell>
          <cell r="AK406">
            <v>574.5</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row>
        <row r="411">
          <cell r="D411">
            <v>311</v>
          </cell>
          <cell r="E411">
            <v>643.70000000000005</v>
          </cell>
          <cell r="F411">
            <v>668</v>
          </cell>
          <cell r="G411">
            <v>520.30000000000007</v>
          </cell>
          <cell r="H411">
            <v>669.6</v>
          </cell>
          <cell r="I411">
            <v>533.29999999999995</v>
          </cell>
          <cell r="J411">
            <v>631.79999999999995</v>
          </cell>
          <cell r="K411">
            <v>567.4</v>
          </cell>
          <cell r="L411">
            <v>698.09999999999991</v>
          </cell>
          <cell r="M411">
            <v>498.1</v>
          </cell>
          <cell r="N411">
            <v>665.4</v>
          </cell>
          <cell r="O411">
            <v>514.1</v>
          </cell>
          <cell r="P411">
            <v>359.9</v>
          </cell>
          <cell r="Q411">
            <v>0</v>
          </cell>
          <cell r="R411">
            <v>594.20000000000005</v>
          </cell>
          <cell r="S411">
            <v>561.20000000000005</v>
          </cell>
          <cell r="T411">
            <v>573.4</v>
          </cell>
          <cell r="U411">
            <v>512.6</v>
          </cell>
          <cell r="V411">
            <v>59.1</v>
          </cell>
          <cell r="W411">
            <v>61.8</v>
          </cell>
          <cell r="X411">
            <v>577.4</v>
          </cell>
          <cell r="Y411">
            <v>569.09999999999991</v>
          </cell>
          <cell r="Z411">
            <v>333.20000000000005</v>
          </cell>
          <cell r="AA411">
            <v>657.8</v>
          </cell>
          <cell r="AB411">
            <v>0</v>
          </cell>
          <cell r="AC411">
            <v>584</v>
          </cell>
          <cell r="AD411">
            <v>554.70000000000005</v>
          </cell>
          <cell r="AE411">
            <v>0</v>
          </cell>
          <cell r="AF411">
            <v>491.9</v>
          </cell>
          <cell r="AG411">
            <v>469.4</v>
          </cell>
          <cell r="AH411">
            <v>515.1</v>
          </cell>
          <cell r="AI411">
            <v>0</v>
          </cell>
          <cell r="AJ411">
            <v>518.5</v>
          </cell>
          <cell r="AK411">
            <v>435.6</v>
          </cell>
          <cell r="AL411">
            <v>360.6</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row>
        <row r="424">
          <cell r="D424">
            <v>77.074999999999989</v>
          </cell>
          <cell r="E424">
            <v>22.449999999999989</v>
          </cell>
          <cell r="F424">
            <v>6.8999999999999773</v>
          </cell>
          <cell r="G424">
            <v>13.699999999999989</v>
          </cell>
          <cell r="H424">
            <v>13.699999999999989</v>
          </cell>
          <cell r="I424">
            <v>13.699999999999989</v>
          </cell>
          <cell r="J424">
            <v>13.274999999999977</v>
          </cell>
          <cell r="K424">
            <v>13.274999999999977</v>
          </cell>
          <cell r="L424">
            <v>13.274999999999977</v>
          </cell>
          <cell r="M424">
            <v>39.749999999999972</v>
          </cell>
          <cell r="N424">
            <v>26.474999999999994</v>
          </cell>
          <cell r="O424">
            <v>26.474999999999994</v>
          </cell>
          <cell r="P424">
            <v>26.474999999999994</v>
          </cell>
          <cell r="Q424">
            <v>-0.55000000000001137</v>
          </cell>
          <cell r="R424">
            <v>-0.55000000000001137</v>
          </cell>
          <cell r="S424">
            <v>-0.55000000000001137</v>
          </cell>
          <cell r="T424">
            <v>-0.55000000000001137</v>
          </cell>
          <cell r="U424">
            <v>34.574999999999989</v>
          </cell>
          <cell r="V424">
            <v>34.574999999999989</v>
          </cell>
          <cell r="W424">
            <v>34.574999999999989</v>
          </cell>
          <cell r="X424">
            <v>34.574999999999989</v>
          </cell>
          <cell r="Y424">
            <v>0</v>
          </cell>
          <cell r="Z424">
            <v>25.525000000000006</v>
          </cell>
          <cell r="AA424">
            <v>25.450000000000006</v>
          </cell>
          <cell r="AB424">
            <v>25.450000000000006</v>
          </cell>
          <cell r="AC424">
            <v>25.450000000000006</v>
          </cell>
          <cell r="AD424">
            <v>-7.4999999999999289E-2</v>
          </cell>
          <cell r="AE424">
            <v>-40.75</v>
          </cell>
          <cell r="AF424">
            <v>-1.125</v>
          </cell>
          <cell r="AG424">
            <v>-1.125</v>
          </cell>
          <cell r="AH424">
            <v>2.875</v>
          </cell>
          <cell r="AI424">
            <v>104.27500000000001</v>
          </cell>
          <cell r="AJ424">
            <v>64.650000000000006</v>
          </cell>
          <cell r="AK424">
            <v>64.650000000000006</v>
          </cell>
          <cell r="AL424">
            <v>60.650000000000006</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row>
        <row r="425">
          <cell r="D425">
            <v>4.8249999999999886</v>
          </cell>
          <cell r="E425">
            <v>-24.899999999999977</v>
          </cell>
          <cell r="F425">
            <v>-96.149999999999977</v>
          </cell>
          <cell r="G425">
            <v>-104.77499999999998</v>
          </cell>
          <cell r="H425">
            <v>-195.45000000000005</v>
          </cell>
          <cell r="I425">
            <v>-223.27500000000009</v>
          </cell>
          <cell r="J425">
            <v>-274.07500000000005</v>
          </cell>
          <cell r="K425">
            <v>-273.52499999999998</v>
          </cell>
          <cell r="L425">
            <v>-253.82499999999993</v>
          </cell>
          <cell r="M425">
            <v>-168.62499999999989</v>
          </cell>
          <cell r="N425">
            <v>-27.124999999999943</v>
          </cell>
          <cell r="O425">
            <v>-32.950000000000102</v>
          </cell>
          <cell r="P425">
            <v>30.699999999999989</v>
          </cell>
          <cell r="Q425">
            <v>10.974999999999966</v>
          </cell>
          <cell r="R425">
            <v>-8.9750000000000227</v>
          </cell>
          <cell r="S425">
            <v>-17.224999999999909</v>
          </cell>
          <cell r="T425">
            <v>2.9750000000000227</v>
          </cell>
          <cell r="U425">
            <v>-42.774999999999977</v>
          </cell>
          <cell r="V425">
            <v>28.625</v>
          </cell>
          <cell r="W425">
            <v>137.49999999999997</v>
          </cell>
          <cell r="X425">
            <v>147.77499999999995</v>
          </cell>
          <cell r="Y425">
            <v>200.35</v>
          </cell>
          <cell r="Z425">
            <v>89.575000000000017</v>
          </cell>
          <cell r="AA425">
            <v>85.050000000000026</v>
          </cell>
          <cell r="AB425">
            <v>64.600000000000094</v>
          </cell>
          <cell r="AC425">
            <v>122.22500000000009</v>
          </cell>
          <cell r="AD425">
            <v>216.00000000000006</v>
          </cell>
          <cell r="AE425">
            <v>291.75000000000011</v>
          </cell>
          <cell r="AF425">
            <v>384.92500000000007</v>
          </cell>
          <cell r="AG425">
            <v>347.57500000000005</v>
          </cell>
          <cell r="AH425">
            <v>393.80000000000007</v>
          </cell>
          <cell r="AI425">
            <v>193.57500000000002</v>
          </cell>
          <cell r="AJ425">
            <v>108.70000000000002</v>
          </cell>
          <cell r="AK425">
            <v>87.975000000000023</v>
          </cell>
          <cell r="AL425">
            <v>-33.649999999999977</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row>
        <row r="426">
          <cell r="D426">
            <v>0</v>
          </cell>
          <cell r="E426">
            <v>32.5</v>
          </cell>
          <cell r="F426">
            <v>27.575000000000003</v>
          </cell>
          <cell r="G426">
            <v>19.049999999999997</v>
          </cell>
          <cell r="H426">
            <v>19.049999999999997</v>
          </cell>
          <cell r="I426">
            <v>-6.8250000000000028</v>
          </cell>
          <cell r="J426">
            <v>-1.9000000000000057</v>
          </cell>
          <cell r="K426">
            <v>6.625</v>
          </cell>
          <cell r="L426">
            <v>-16.025000000000006</v>
          </cell>
          <cell r="M426">
            <v>-22.650000000000006</v>
          </cell>
          <cell r="N426">
            <v>-29.375</v>
          </cell>
          <cell r="O426">
            <v>-25.849999999999994</v>
          </cell>
          <cell r="P426">
            <v>-3.1999999999999886</v>
          </cell>
          <cell r="Q426">
            <v>-3.1999999999999886</v>
          </cell>
          <cell r="R426">
            <v>6.5</v>
          </cell>
          <cell r="S426">
            <v>2.9749999999999943</v>
          </cell>
          <cell r="T426">
            <v>-4.7750000000000057</v>
          </cell>
          <cell r="U426">
            <v>-4.7750000000000057</v>
          </cell>
          <cell r="V426">
            <v>2</v>
          </cell>
          <cell r="W426">
            <v>-4.8499999999999996</v>
          </cell>
          <cell r="X426">
            <v>0.47499999999998899</v>
          </cell>
          <cell r="Y426">
            <v>-1.5500000000000167</v>
          </cell>
          <cell r="Z426">
            <v>-11.300000000000017</v>
          </cell>
          <cell r="AA426">
            <v>-13.325000000000017</v>
          </cell>
          <cell r="AB426">
            <v>10.275000000000006</v>
          </cell>
          <cell r="AC426">
            <v>12.300000000000011</v>
          </cell>
          <cell r="AD426">
            <v>29.075000000000017</v>
          </cell>
          <cell r="AE426">
            <v>37.950000000000017</v>
          </cell>
          <cell r="AF426">
            <v>7.25</v>
          </cell>
          <cell r="AG426">
            <v>23.974999999999994</v>
          </cell>
          <cell r="AH426">
            <v>36.199999999999989</v>
          </cell>
          <cell r="AI426">
            <v>66.199999999999989</v>
          </cell>
          <cell r="AJ426">
            <v>75.724999999999994</v>
          </cell>
          <cell r="AK426">
            <v>59</v>
          </cell>
          <cell r="AL426">
            <v>30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row>
        <row r="431">
          <cell r="D431">
            <v>72.749999999999972</v>
          </cell>
          <cell r="E431">
            <v>61.599999999999966</v>
          </cell>
          <cell r="F431">
            <v>43.949999999999989</v>
          </cell>
          <cell r="G431">
            <v>59.25</v>
          </cell>
          <cell r="H431">
            <v>19.725000000000023</v>
          </cell>
          <cell r="I431">
            <v>12.350000000000051</v>
          </cell>
          <cell r="J431">
            <v>14.650000000000034</v>
          </cell>
          <cell r="K431">
            <v>10.500000000000028</v>
          </cell>
          <cell r="L431">
            <v>3.3250000000000171</v>
          </cell>
          <cell r="M431">
            <v>33.625</v>
          </cell>
          <cell r="N431">
            <v>36.900000000000006</v>
          </cell>
          <cell r="O431">
            <v>-1.0500000000000114</v>
          </cell>
          <cell r="P431">
            <v>1.9249999999999829</v>
          </cell>
          <cell r="Q431">
            <v>-20.450000000000017</v>
          </cell>
          <cell r="R431">
            <v>-9.1000000000000227</v>
          </cell>
          <cell r="S431">
            <v>34.17499999999999</v>
          </cell>
          <cell r="T431">
            <v>54.525000000000006</v>
          </cell>
          <cell r="U431">
            <v>57.275000000000006</v>
          </cell>
          <cell r="V431">
            <v>57.400000000000034</v>
          </cell>
          <cell r="W431">
            <v>34.125000000000014</v>
          </cell>
          <cell r="X431">
            <v>13.375000000000028</v>
          </cell>
          <cell r="Y431">
            <v>38.725000000000023</v>
          </cell>
          <cell r="Z431">
            <v>11.75</v>
          </cell>
          <cell r="AA431">
            <v>2.375</v>
          </cell>
          <cell r="AB431">
            <v>27.324999999999989</v>
          </cell>
          <cell r="AC431">
            <v>22.849999999999994</v>
          </cell>
          <cell r="AD431">
            <v>54.5</v>
          </cell>
          <cell r="AE431">
            <v>77.900000000000006</v>
          </cell>
          <cell r="AF431">
            <v>59.400000000000006</v>
          </cell>
          <cell r="AG431">
            <v>25.75</v>
          </cell>
          <cell r="AH431">
            <v>14.949999999999989</v>
          </cell>
          <cell r="AI431">
            <v>4.8249999999999886</v>
          </cell>
          <cell r="AJ431">
            <v>-4.4250000000000114</v>
          </cell>
          <cell r="AK431">
            <v>8.1999999999999886</v>
          </cell>
          <cell r="AL431">
            <v>2.8499999999999943</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6">
          <cell r="B6" t="str">
            <v>Total Direct Hours Worked Per Tonne V'S Standard Direct Hours Per Tonne - Wirral</v>
          </cell>
        </row>
        <row r="12">
          <cell r="G12" t="str">
            <v>Worked</v>
          </cell>
          <cell r="H12" t="str">
            <v>Standard</v>
          </cell>
          <cell r="I12" t="str">
            <v xml:space="preserve"> Mfg</v>
          </cell>
          <cell r="J12" t="str">
            <v>Worked</v>
          </cell>
          <cell r="K12" t="str">
            <v>Standard</v>
          </cell>
          <cell r="L12" t="str">
            <v xml:space="preserve"> Mfg</v>
          </cell>
          <cell r="M12" t="str">
            <v>Worked</v>
          </cell>
          <cell r="N12" t="str">
            <v>Standard</v>
          </cell>
          <cell r="O12" t="str">
            <v xml:space="preserve"> Mfg</v>
          </cell>
          <cell r="P12" t="str">
            <v>Worked</v>
          </cell>
          <cell r="Q12" t="str">
            <v>Standard</v>
          </cell>
          <cell r="R12" t="str">
            <v xml:space="preserve"> Mfg</v>
          </cell>
          <cell r="S12" t="str">
            <v>Worked</v>
          </cell>
          <cell r="T12" t="str">
            <v>Standard</v>
          </cell>
          <cell r="U12" t="str">
            <v xml:space="preserve"> Mfg</v>
          </cell>
          <cell r="V12" t="str">
            <v>Worked</v>
          </cell>
          <cell r="W12" t="str">
            <v>Standard</v>
          </cell>
          <cell r="X12" t="str">
            <v xml:space="preserve"> Mfg</v>
          </cell>
          <cell r="Y12" t="str">
            <v>Worked</v>
          </cell>
          <cell r="Z12" t="str">
            <v>Standard</v>
          </cell>
          <cell r="AA12" t="str">
            <v xml:space="preserve"> Mfg</v>
          </cell>
          <cell r="AB12" t="str">
            <v>Worked</v>
          </cell>
          <cell r="AC12" t="str">
            <v>Standard</v>
          </cell>
          <cell r="AD12" t="str">
            <v xml:space="preserve"> Mfg</v>
          </cell>
          <cell r="AE12" t="str">
            <v>Worked</v>
          </cell>
          <cell r="AF12" t="str">
            <v>Standard</v>
          </cell>
          <cell r="AG12" t="str">
            <v xml:space="preserve"> Mfg</v>
          </cell>
          <cell r="AH12" t="str">
            <v>Worked</v>
          </cell>
          <cell r="AI12" t="str">
            <v>Standard</v>
          </cell>
          <cell r="AJ12" t="str">
            <v xml:space="preserve"> Mfg</v>
          </cell>
          <cell r="AK12" t="str">
            <v>Worked</v>
          </cell>
          <cell r="AL12" t="str">
            <v>Standard</v>
          </cell>
          <cell r="AM12" t="str">
            <v xml:space="preserve"> Mfg</v>
          </cell>
          <cell r="AN12" t="str">
            <v>Worked</v>
          </cell>
          <cell r="AO12" t="str">
            <v>Standard</v>
          </cell>
        </row>
        <row r="16">
          <cell r="G16">
            <v>2.6290720421876328</v>
          </cell>
          <cell r="H16">
            <v>-0.23679510079101762</v>
          </cell>
          <cell r="I16">
            <v>2.5440653129579234</v>
          </cell>
          <cell r="J16">
            <v>2.5957714046472682</v>
          </cell>
          <cell r="K16">
            <v>-5.1706091689344813E-2</v>
          </cell>
          <cell r="L16">
            <v>2.7739959155888361</v>
          </cell>
          <cell r="M16">
            <v>2.9571136827773996</v>
          </cell>
          <cell r="N16">
            <v>-0.18311776718856354</v>
          </cell>
          <cell r="O16">
            <v>2.9813780260707636</v>
          </cell>
          <cell r="P16">
            <v>2.9329608938547489</v>
          </cell>
          <cell r="Q16">
            <v>4.8417132216014735E-2</v>
          </cell>
          <cell r="R16">
            <v>2.6592530423835496</v>
          </cell>
          <cell r="S16">
            <v>3.1409987410826687</v>
          </cell>
          <cell r="T16">
            <v>-0.4817456986991191</v>
          </cell>
          <cell r="U16">
            <v>2.9150471960022211</v>
          </cell>
          <cell r="V16">
            <v>3.0020359059781607</v>
          </cell>
          <cell r="W16">
            <v>-8.698870997593966E-2</v>
          </cell>
          <cell r="X16">
            <v>2.7603968469692846</v>
          </cell>
          <cell r="Y16">
            <v>3.1272084805653706</v>
          </cell>
          <cell r="Z16">
            <v>-0.36681163359608604</v>
          </cell>
          <cell r="AA16">
            <v>2.4961078412758684</v>
          </cell>
          <cell r="AB16">
            <v>2.5327510917030565</v>
          </cell>
          <cell r="AC16">
            <v>-3.6643250427188079E-2</v>
          </cell>
        </row>
        <row r="18">
          <cell r="G18">
            <v>2.1405622489959839</v>
          </cell>
          <cell r="H18">
            <v>-0.62530120481927698</v>
          </cell>
          <cell r="I18">
            <v>1.3934723481414324</v>
          </cell>
          <cell r="J18">
            <v>1.971894832275612</v>
          </cell>
          <cell r="K18">
            <v>-0.57842248413417963</v>
          </cell>
          <cell r="L18">
            <v>1.6200317965023849</v>
          </cell>
          <cell r="M18">
            <v>2.7503974562798095</v>
          </cell>
          <cell r="N18">
            <v>-1.1303656597774245</v>
          </cell>
          <cell r="O18">
            <v>1.6198979591836733</v>
          </cell>
          <cell r="P18">
            <v>2.704081632653061</v>
          </cell>
          <cell r="Q18">
            <v>-1.0841836734693877</v>
          </cell>
          <cell r="R18">
            <v>1.6180215475024486</v>
          </cell>
          <cell r="S18">
            <v>3.525954946131244</v>
          </cell>
          <cell r="T18">
            <v>-1.9079333986287954</v>
          </cell>
          <cell r="U18">
            <v>1.6205035971223021</v>
          </cell>
          <cell r="V18">
            <v>3.4892086330935252</v>
          </cell>
          <cell r="W18">
            <v>-1.8687050359712232</v>
          </cell>
          <cell r="X18" t="e">
            <v>#DIV/0!</v>
          </cell>
          <cell r="Y18" t="e">
            <v>#DIV/0!</v>
          </cell>
          <cell r="Z18" t="e">
            <v>#DIV/0!</v>
          </cell>
          <cell r="AA18" t="e">
            <v>#DIV/0!</v>
          </cell>
          <cell r="AB18" t="e">
            <v>#DIV/0!</v>
          </cell>
          <cell r="AC18" t="e">
            <v>#DIV/0!</v>
          </cell>
        </row>
        <row r="20">
          <cell r="G20">
            <v>1.2812897751378871</v>
          </cell>
          <cell r="H20">
            <v>-0.32541366143402628</v>
          </cell>
          <cell r="I20" t="e">
            <v>#DIV/0!</v>
          </cell>
          <cell r="J20" t="e">
            <v>#DIV/0!</v>
          </cell>
          <cell r="K20" t="e">
            <v>#DIV/0!</v>
          </cell>
          <cell r="L20" t="e">
            <v>#DIV/0!</v>
          </cell>
          <cell r="M20" t="e">
            <v>#DIV/0!</v>
          </cell>
          <cell r="N20" t="e">
            <v>#DIV/0!</v>
          </cell>
          <cell r="O20" t="e">
            <v>#DIV/0!</v>
          </cell>
          <cell r="P20" t="e">
            <v>#DIV/0!</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cell r="AB20" t="e">
            <v>#DIV/0!</v>
          </cell>
          <cell r="AC20" t="e">
            <v>#DIV/0!</v>
          </cell>
        </row>
        <row r="22">
          <cell r="G22">
            <v>3.2648335745296673</v>
          </cell>
          <cell r="H22">
            <v>-6.657018813314064E-2</v>
          </cell>
          <cell r="I22">
            <v>2.8894937397931408</v>
          </cell>
          <cell r="J22">
            <v>2.7830702231899838</v>
          </cell>
          <cell r="K22">
            <v>0.10642351660315708</v>
          </cell>
          <cell r="L22">
            <v>2.8820726622989872</v>
          </cell>
          <cell r="M22">
            <v>2.9764740917212626</v>
          </cell>
          <cell r="N22">
            <v>-9.4401429422275474E-2</v>
          </cell>
          <cell r="O22">
            <v>3.0562728038170088</v>
          </cell>
          <cell r="P22">
            <v>2.9455515015436435</v>
          </cell>
          <cell r="Q22">
            <v>0.1107213022733653</v>
          </cell>
          <cell r="R22">
            <v>2.9431241655540714</v>
          </cell>
          <cell r="S22">
            <v>3.0360480640854473</v>
          </cell>
          <cell r="T22">
            <v>-9.2923898531375837E-2</v>
          </cell>
          <cell r="U22">
            <v>3.0635444604910256</v>
          </cell>
          <cell r="V22">
            <v>2.9461522591293585</v>
          </cell>
          <cell r="W22">
            <v>0.11739220136166706</v>
          </cell>
          <cell r="X22">
            <v>2.7603968469692846</v>
          </cell>
          <cell r="Y22">
            <v>3.1272084805653706</v>
          </cell>
          <cell r="Z22">
            <v>-0.36681163359608604</v>
          </cell>
          <cell r="AA22">
            <v>2.4961078412758684</v>
          </cell>
          <cell r="AB22">
            <v>2.4625023732675144</v>
          </cell>
          <cell r="AC22">
            <v>3.3605468008353956E-2</v>
          </cell>
        </row>
        <row r="26">
          <cell r="G26">
            <v>5.5406206760229297</v>
          </cell>
          <cell r="H26">
            <v>-0.10594979244910085</v>
          </cell>
          <cell r="I26">
            <v>5.5310359589041092</v>
          </cell>
          <cell r="J26">
            <v>5.0599315068493143</v>
          </cell>
          <cell r="K26">
            <v>0.4711044520547949</v>
          </cell>
          <cell r="L26">
            <v>5.1905639513453741</v>
          </cell>
          <cell r="M26">
            <v>4.9207519351271651</v>
          </cell>
          <cell r="N26">
            <v>0.26981201621820894</v>
          </cell>
          <cell r="O26">
            <v>5.0385161799526434</v>
          </cell>
          <cell r="P26">
            <v>5.2312549329123907</v>
          </cell>
          <cell r="Q26">
            <v>-0.19273875295974729</v>
          </cell>
          <cell r="R26">
            <v>4.9107508033888418</v>
          </cell>
          <cell r="S26">
            <v>4.8013438504236055</v>
          </cell>
          <cell r="T26">
            <v>0.10940695296523639</v>
          </cell>
          <cell r="U26">
            <v>4.6481194261341594</v>
          </cell>
          <cell r="V26">
            <v>5.257851880573865</v>
          </cell>
          <cell r="W26">
            <v>-0.60973245443970558</v>
          </cell>
          <cell r="X26">
            <v>5.3664658634538158</v>
          </cell>
          <cell r="Y26">
            <v>5.5020080321285141</v>
          </cell>
          <cell r="Z26">
            <v>-0.13554216867469826</v>
          </cell>
          <cell r="AA26">
            <v>5.0039577836411606</v>
          </cell>
          <cell r="AB26">
            <v>4.3290614398793821</v>
          </cell>
          <cell r="AC26">
            <v>0.67489634376177854</v>
          </cell>
        </row>
        <row r="28">
          <cell r="G28">
            <v>5.2918825561312604</v>
          </cell>
          <cell r="H28">
            <v>0.68290155440414591</v>
          </cell>
          <cell r="I28">
            <v>5.3748584371460923</v>
          </cell>
          <cell r="J28">
            <v>4.4469611174027932</v>
          </cell>
          <cell r="K28">
            <v>0.92789731974329914</v>
          </cell>
          <cell r="L28">
            <v>5.0674109059682264</v>
          </cell>
          <cell r="M28">
            <v>3.7956204379562042</v>
          </cell>
          <cell r="N28">
            <v>1.2717904680120222</v>
          </cell>
          <cell r="O28">
            <v>4.4333189469141132</v>
          </cell>
          <cell r="P28">
            <v>3.9792835563228315</v>
          </cell>
          <cell r="Q28">
            <v>0.45403539059128173</v>
          </cell>
          <cell r="R28">
            <v>3.973386356684002</v>
          </cell>
          <cell r="S28">
            <v>3.7993270113184461</v>
          </cell>
          <cell r="T28">
            <v>0.1740593453655559</v>
          </cell>
          <cell r="U28">
            <v>3.8414872798434438</v>
          </cell>
          <cell r="V28">
            <v>4.1174168297455971</v>
          </cell>
          <cell r="W28">
            <v>-0.27592954990215324</v>
          </cell>
          <cell r="X28">
            <v>4.1675503711558859</v>
          </cell>
          <cell r="Y28">
            <v>5.0371155885471897</v>
          </cell>
          <cell r="Z28">
            <v>-0.86956521739130377</v>
          </cell>
          <cell r="AA28">
            <v>3.3372031662269128</v>
          </cell>
          <cell r="AB28">
            <v>3.4678119709568076</v>
          </cell>
          <cell r="AC28">
            <v>-0.13060880472989478</v>
          </cell>
        </row>
        <row r="30">
          <cell r="G30">
            <v>5.5604203152364269</v>
          </cell>
          <cell r="H30">
            <v>-1.2977232924693514</v>
          </cell>
          <cell r="I30">
            <v>5.9513725490196085</v>
          </cell>
          <cell r="J30">
            <v>5.6</v>
          </cell>
          <cell r="K30">
            <v>0.3513725490196089</v>
          </cell>
          <cell r="L30">
            <v>5.5897269180754225</v>
          </cell>
          <cell r="M30">
            <v>5.7802340702210673</v>
          </cell>
          <cell r="N30">
            <v>-0.19050715214564473</v>
          </cell>
          <cell r="O30">
            <v>4.8827674567584873</v>
          </cell>
          <cell r="P30">
            <v>5.3747597693786027</v>
          </cell>
          <cell r="Q30">
            <v>-0.49199231262011534</v>
          </cell>
          <cell r="R30">
            <v>5.4656488549618318</v>
          </cell>
          <cell r="S30">
            <v>5.3587786259541987</v>
          </cell>
          <cell r="T30">
            <v>0.1068702290076331</v>
          </cell>
          <cell r="U30">
            <v>4.6404293381037567</v>
          </cell>
          <cell r="V30">
            <v>5.1341681574239724</v>
          </cell>
          <cell r="W30">
            <v>-0.49373881932021568</v>
          </cell>
          <cell r="X30">
            <v>5.5349929544387031</v>
          </cell>
          <cell r="Y30">
            <v>5.1949271958666028</v>
          </cell>
          <cell r="Z30">
            <v>0.34006575857210031</v>
          </cell>
          <cell r="AA30">
            <v>5.7942794279427945</v>
          </cell>
          <cell r="AB30">
            <v>4.7775051402401258</v>
          </cell>
          <cell r="AC30">
            <v>1.0167742877026686</v>
          </cell>
        </row>
        <row r="40">
          <cell r="G40">
            <v>17.503840939900588</v>
          </cell>
          <cell r="H40">
            <v>0.34017171260732226</v>
          </cell>
          <cell r="I40">
            <v>12.224166921430754</v>
          </cell>
          <cell r="J40">
            <v>10.975236930602261</v>
          </cell>
          <cell r="K40">
            <v>1.2489299908284934</v>
          </cell>
          <cell r="L40">
            <v>13.913924572370679</v>
          </cell>
          <cell r="M40">
            <v>13.258913237617639</v>
          </cell>
          <cell r="N40">
            <v>0.65501133475303952</v>
          </cell>
          <cell r="O40">
            <v>13.021237358715052</v>
          </cell>
          <cell r="P40">
            <v>12.804878048780488</v>
          </cell>
          <cell r="Q40">
            <v>0.21635930993456398</v>
          </cell>
          <cell r="R40">
            <v>12.575834943417057</v>
          </cell>
          <cell r="S40">
            <v>12.784639801269664</v>
          </cell>
          <cell r="T40">
            <v>-0.20880485785260738</v>
          </cell>
          <cell r="U40">
            <v>11.23099730458221</v>
          </cell>
          <cell r="V40">
            <v>10.886792452830189</v>
          </cell>
          <cell r="W40">
            <v>0.34420485175202131</v>
          </cell>
          <cell r="X40">
            <v>9.9808897929379867</v>
          </cell>
          <cell r="Y40">
            <v>10.758097324362385</v>
          </cell>
          <cell r="Z40">
            <v>-0.77720753142439847</v>
          </cell>
          <cell r="AA40">
            <v>10.76854672704817</v>
          </cell>
          <cell r="AB40">
            <v>12.243721696171264</v>
          </cell>
          <cell r="AC40">
            <v>-1.4751749691230938</v>
          </cell>
        </row>
        <row r="42">
          <cell r="G42">
            <v>13.690932311621967</v>
          </cell>
          <cell r="H42">
            <v>-3.9374201787994885</v>
          </cell>
          <cell r="I42">
            <v>10.093577981651377</v>
          </cell>
          <cell r="J42">
            <v>10.596330275229358</v>
          </cell>
          <cell r="K42">
            <v>-0.50275229357798068</v>
          </cell>
          <cell r="L42">
            <v>12.191011235955058</v>
          </cell>
          <cell r="M42">
            <v>13.183520599250937</v>
          </cell>
          <cell r="N42">
            <v>-0.9925093632958788</v>
          </cell>
          <cell r="O42">
            <v>9.8492366412213741</v>
          </cell>
          <cell r="P42">
            <v>9.8282442748091601</v>
          </cell>
          <cell r="Q42">
            <v>2.0992366412214025E-2</v>
          </cell>
          <cell r="R42">
            <v>11.615533980582525</v>
          </cell>
          <cell r="S42">
            <v>14.300970873786408</v>
          </cell>
          <cell r="T42">
            <v>-2.6854368932038835</v>
          </cell>
          <cell r="U42">
            <v>11.471153846153845</v>
          </cell>
          <cell r="V42">
            <v>12.698317307692307</v>
          </cell>
          <cell r="W42">
            <v>-1.2271634615384617</v>
          </cell>
          <cell r="X42">
            <v>10.124415341440598</v>
          </cell>
          <cell r="Y42">
            <v>8.5968194574368564</v>
          </cell>
          <cell r="Z42">
            <v>1.5275958840037411</v>
          </cell>
          <cell r="AA42">
            <v>10.254237288135593</v>
          </cell>
          <cell r="AB42">
            <v>14.967231638418077</v>
          </cell>
          <cell r="AC42">
            <v>-4.712994350282484</v>
          </cell>
        </row>
        <row r="44">
          <cell r="G44">
            <v>26.865897435897438</v>
          </cell>
          <cell r="H44">
            <v>0.40205128205128204</v>
          </cell>
          <cell r="I44">
            <v>26.311421226588322</v>
          </cell>
          <cell r="J44">
            <v>23.031582813073815</v>
          </cell>
          <cell r="K44">
            <v>3.2798384135145078</v>
          </cell>
          <cell r="L44">
            <v>26.603586206896551</v>
          </cell>
          <cell r="M44">
            <v>24.742896551724137</v>
          </cell>
          <cell r="N44">
            <v>1.8606896551724148</v>
          </cell>
          <cell r="O44">
            <v>24.876222275220602</v>
          </cell>
          <cell r="P44">
            <v>25.181254471738612</v>
          </cell>
          <cell r="Q44">
            <v>-0.30503219651800961</v>
          </cell>
          <cell r="R44">
            <v>25.637104072398191</v>
          </cell>
          <cell r="S44">
            <v>25.982503770739068</v>
          </cell>
          <cell r="T44">
            <v>-0.34539969834087714</v>
          </cell>
          <cell r="U44">
            <v>23.697241132210674</v>
          </cell>
          <cell r="V44">
            <v>24.981010390541023</v>
          </cell>
          <cell r="W44">
            <v>-1.2837692583303486</v>
          </cell>
          <cell r="X44">
            <v>24.928129462160875</v>
          </cell>
          <cell r="Y44">
            <v>30.482627320323655</v>
          </cell>
          <cell r="Z44">
            <v>-5.5544978581627795</v>
          </cell>
          <cell r="AA44">
            <v>25.462479155086168</v>
          </cell>
          <cell r="AB44">
            <v>31.008337965536413</v>
          </cell>
          <cell r="AC44">
            <v>-5.5458588104502446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IQHiddenCacheSheet"/>
      <sheetName val="CIQ_LinkingNames"/>
      <sheetName val="Input"/>
      <sheetName val="Output"/>
      <sheetName val="Output values"/>
      <sheetName val="Figure to report"/>
      <sheetName val="Figure to report values"/>
      <sheetName val="Scatter plots"/>
      <sheetName val="Index lookup"/>
    </sheetNames>
    <sheetDataSet>
      <sheetData sheetId="0"/>
      <sheetData sheetId="1"/>
      <sheetData sheetId="2">
        <row r="14">
          <cell r="B14" t="str">
            <v>TSX:TSGI</v>
          </cell>
        </row>
      </sheetData>
      <sheetData sheetId="3">
        <row r="3">
          <cell r="D3">
            <v>1</v>
          </cell>
        </row>
      </sheetData>
      <sheetData sheetId="4"/>
      <sheetData sheetId="5"/>
      <sheetData sheetId="6"/>
      <sheetData sheetId="7"/>
      <sheetData sheetId="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Charts"/>
      <sheetName val="Bar"/>
      <sheetName val="Column"/>
      <sheetName val="Line"/>
      <sheetName val="Pie"/>
      <sheetName val="Stacked Bar"/>
      <sheetName val="Stacked Column"/>
      <sheetName val="Example Formats"/>
      <sheetName val="Stock Price Graph"/>
      <sheetName val="2 Chart (vertical)"/>
      <sheetName val="2 Chart (horizontal)"/>
      <sheetName val="Half&amp;Half Page"/>
      <sheetName val="4 Graphs Page (pies)"/>
      <sheetName val="4 Graphs Page (columns)"/>
      <sheetName val="Single Graph Page (no title)"/>
      <sheetName val="Vertical Bars Page"/>
      <sheetName val="Public Company-Stock Price"/>
      <sheetName val="Color Palette"/>
      <sheetName val="Complex Charts"/>
      <sheetName val="Price-Volume"/>
      <sheetName val="Volume"/>
      <sheetName val="Clustered Column 2 axes"/>
      <sheetName val="Scatter"/>
      <sheetName val="Bubble"/>
      <sheetName val="Football"/>
      <sheetName val="Football with Vertical Lines"/>
      <sheetName val="Waterfall"/>
      <sheetName val="Stacked Column with Totals"/>
      <sheetName val="FY18 revenue build-up"/>
      <sheetName val="Inputs"/>
      <sheetName val="Table of 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A2" t="str">
            <v>Note: Edit this data only</v>
          </cell>
        </row>
        <row r="4">
          <cell r="A4" t="str">
            <v>Direct Marketing Spend</v>
          </cell>
        </row>
        <row r="5">
          <cell r="B5" t="str">
            <v>Telesales</v>
          </cell>
          <cell r="C5" t="str">
            <v>Direct Mail</v>
          </cell>
          <cell r="D5" t="str">
            <v>Catalog</v>
          </cell>
          <cell r="E5" t="str">
            <v>Television</v>
          </cell>
          <cell r="F5" t="str">
            <v>Other (1)</v>
          </cell>
          <cell r="G5" t="str">
            <v>Total</v>
          </cell>
        </row>
        <row r="6">
          <cell r="A6">
            <v>2005</v>
          </cell>
          <cell r="B6">
            <v>60.24</v>
          </cell>
          <cell r="C6">
            <v>54.509</v>
          </cell>
          <cell r="D6">
            <v>16.442</v>
          </cell>
          <cell r="E6">
            <v>5.3010000000000002</v>
          </cell>
          <cell r="F6">
            <v>7.6749999999999998</v>
          </cell>
          <cell r="G6">
            <v>144.167</v>
          </cell>
        </row>
        <row r="7">
          <cell r="A7">
            <v>2006</v>
          </cell>
          <cell r="B7">
            <v>63.570999999999998</v>
          </cell>
          <cell r="C7">
            <v>57.750999999999998</v>
          </cell>
          <cell r="D7">
            <v>17.234000000000002</v>
          </cell>
          <cell r="E7">
            <v>5.5250000000000004</v>
          </cell>
          <cell r="F7">
            <v>8.7349999999999994</v>
          </cell>
          <cell r="G7">
            <v>152.81600000000003</v>
          </cell>
        </row>
        <row r="8">
          <cell r="A8">
            <v>2007</v>
          </cell>
          <cell r="B8">
            <v>66.77</v>
          </cell>
          <cell r="C8">
            <v>60.753999999999998</v>
          </cell>
          <cell r="D8">
            <v>18.158000000000001</v>
          </cell>
          <cell r="E8">
            <v>5.843</v>
          </cell>
          <cell r="F8">
            <v>9.8510000000000009</v>
          </cell>
          <cell r="G8">
            <v>161.376</v>
          </cell>
        </row>
        <row r="9">
          <cell r="A9">
            <v>2008</v>
          </cell>
          <cell r="B9">
            <v>70.436000000000007</v>
          </cell>
          <cell r="C9">
            <v>64.241</v>
          </cell>
          <cell r="D9">
            <v>19.029</v>
          </cell>
          <cell r="E9">
            <v>6.0919999999999996</v>
          </cell>
          <cell r="F9">
            <v>10.935</v>
          </cell>
          <cell r="G9">
            <v>170.73300000000003</v>
          </cell>
        </row>
        <row r="10">
          <cell r="B10">
            <v>70.436000000000007</v>
          </cell>
          <cell r="C10">
            <v>64.241</v>
          </cell>
          <cell r="D10">
            <v>19.029</v>
          </cell>
          <cell r="E10">
            <v>6.0919999999999996</v>
          </cell>
          <cell r="F10">
            <v>10.935</v>
          </cell>
          <cell r="G10">
            <v>170.73300000000003</v>
          </cell>
        </row>
        <row r="11">
          <cell r="A11" t="str">
            <v xml:space="preserve"> '05-'08 CAGR </v>
          </cell>
          <cell r="B11">
            <v>5.3504933840211377E-2</v>
          </cell>
          <cell r="C11">
            <v>5.6285600247340195E-2</v>
          </cell>
          <cell r="D11">
            <v>4.9914114241316865E-2</v>
          </cell>
          <cell r="E11">
            <v>4.7451758353415086E-2</v>
          </cell>
          <cell r="F11">
            <v>0.12524424664249856</v>
          </cell>
          <cell r="G11">
            <v>5.7995620800652903E-2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xSum"/>
      <sheetName val="Ass."/>
      <sheetName val="Deal"/>
      <sheetName val="S&amp;LB"/>
      <sheetName val="P&amp;L Consolidated"/>
      <sheetName val="Ops Divisions NIF"/>
      <sheetName val="BAL"/>
      <sheetName val="P&amp;l Divisions NIF"/>
      <sheetName val="Ops concern-level"/>
      <sheetName val="CF"/>
      <sheetName val="Rat"/>
      <sheetName val="Ex"/>
      <sheetName val="IRR"/>
      <sheetName val="Val"/>
      <sheetName val="Drivers"/>
      <sheetName val="Sensitivity"/>
      <sheetName val="Chart"/>
      <sheetName val="Tree"/>
      <sheetName val="PFOB"/>
      <sheetName val="SDcol"/>
      <sheetName val="IP"/>
      <sheetName val="Ops management"/>
      <sheetName val="P&amp;L Mngt"/>
      <sheetName val="P&amp;L Divisions Mngt"/>
      <sheetName val="Module1"/>
      <sheetName val="Module2"/>
      <sheetName val="Module3"/>
      <sheetName val="System"/>
      <sheetName val="Tables"/>
      <sheetName val="entity"/>
      <sheetName val="Set-up 2"/>
      <sheetName val="ORU list"/>
      <sheetName val="Balance Rates History"/>
      <sheetName val="NOC - Currency"/>
      <sheetName val="ORU's"/>
      <sheetName val="List of Entities"/>
      <sheetName val="Z. Appendix"/>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t="str">
            <v>IRR's: Institutions</v>
          </cell>
        </row>
        <row r="31">
          <cell r="F31">
            <v>-22500</v>
          </cell>
          <cell r="G31">
            <v>0</v>
          </cell>
          <cell r="H31">
            <v>0</v>
          </cell>
        </row>
        <row r="32">
          <cell r="F32">
            <v>-22500</v>
          </cell>
          <cell r="G32">
            <v>0</v>
          </cell>
          <cell r="H32">
            <v>0</v>
          </cell>
          <cell r="I32">
            <v>0</v>
          </cell>
        </row>
        <row r="33">
          <cell r="F33">
            <v>-22500</v>
          </cell>
          <cell r="G33">
            <v>0</v>
          </cell>
          <cell r="H33">
            <v>0</v>
          </cell>
          <cell r="I33">
            <v>0</v>
          </cell>
          <cell r="J33">
            <v>0</v>
          </cell>
        </row>
        <row r="34">
          <cell r="F34">
            <v>-22500</v>
          </cell>
          <cell r="G34">
            <v>0</v>
          </cell>
          <cell r="H34">
            <v>0</v>
          </cell>
          <cell r="I34">
            <v>0</v>
          </cell>
          <cell r="J34">
            <v>0</v>
          </cell>
        </row>
        <row r="35">
          <cell r="F35">
            <v>-22500</v>
          </cell>
          <cell r="G35">
            <v>0</v>
          </cell>
          <cell r="H35">
            <v>0</v>
          </cell>
          <cell r="I35">
            <v>0</v>
          </cell>
          <cell r="J35">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sheetName val="Inputs and Calc"/>
      <sheetName val="Total Paid Hours"/>
      <sheetName val="Monthly Labour"/>
      <sheetName val="Weekly Labour"/>
      <sheetName val="Sickness"/>
      <sheetName val="Wkd Per Tonne"/>
    </sheetNames>
    <sheetDataSet>
      <sheetData sheetId="0" refreshError="1"/>
      <sheetData sheetId="1" refreshError="1">
        <row r="235">
          <cell r="BG235" t="str">
            <v>Week 49</v>
          </cell>
          <cell r="BH235" t="str">
            <v>Week 50</v>
          </cell>
          <cell r="BI235" t="str">
            <v>Week 51</v>
          </cell>
          <cell r="BJ235" t="str">
            <v>Week 52</v>
          </cell>
        </row>
        <row r="237">
          <cell r="BG237">
            <v>332</v>
          </cell>
          <cell r="BH237">
            <v>393</v>
          </cell>
          <cell r="BI237">
            <v>367</v>
          </cell>
          <cell r="BJ237">
            <v>87</v>
          </cell>
        </row>
        <row r="238">
          <cell r="BG238">
            <v>422</v>
          </cell>
          <cell r="BH238">
            <v>366.5</v>
          </cell>
          <cell r="BI238">
            <v>446</v>
          </cell>
          <cell r="BJ238">
            <v>157.5</v>
          </cell>
        </row>
        <row r="239">
          <cell r="BG239">
            <v>0</v>
          </cell>
          <cell r="BH239">
            <v>0</v>
          </cell>
          <cell r="BI239">
            <v>0</v>
          </cell>
          <cell r="BJ239">
            <v>0</v>
          </cell>
        </row>
        <row r="240">
          <cell r="BG240">
            <v>72</v>
          </cell>
          <cell r="BH240">
            <v>45</v>
          </cell>
          <cell r="BI240">
            <v>36</v>
          </cell>
          <cell r="BJ240">
            <v>0</v>
          </cell>
        </row>
        <row r="241">
          <cell r="BG241">
            <v>0</v>
          </cell>
          <cell r="BH241">
            <v>0</v>
          </cell>
          <cell r="BI241">
            <v>0</v>
          </cell>
          <cell r="BJ241">
            <v>0</v>
          </cell>
        </row>
        <row r="243">
          <cell r="BG243">
            <v>117</v>
          </cell>
          <cell r="BH243">
            <v>78</v>
          </cell>
          <cell r="BI243">
            <v>62</v>
          </cell>
          <cell r="BJ243">
            <v>16</v>
          </cell>
        </row>
        <row r="244">
          <cell r="BG244">
            <v>0</v>
          </cell>
          <cell r="BH244">
            <v>39</v>
          </cell>
          <cell r="BI244">
            <v>16</v>
          </cell>
          <cell r="BJ244">
            <v>32</v>
          </cell>
        </row>
        <row r="245">
          <cell r="BG245">
            <v>0</v>
          </cell>
          <cell r="BH245">
            <v>0</v>
          </cell>
          <cell r="BI245">
            <v>0</v>
          </cell>
          <cell r="BJ245">
            <v>0</v>
          </cell>
        </row>
        <row r="246">
          <cell r="BG246">
            <v>0</v>
          </cell>
          <cell r="BH246">
            <v>0</v>
          </cell>
          <cell r="BI246">
            <v>39</v>
          </cell>
          <cell r="BJ246">
            <v>0</v>
          </cell>
        </row>
        <row r="247">
          <cell r="BG247">
            <v>0</v>
          </cell>
          <cell r="BH247">
            <v>0</v>
          </cell>
          <cell r="BI247">
            <v>0</v>
          </cell>
          <cell r="BJ247">
            <v>0</v>
          </cell>
        </row>
        <row r="249">
          <cell r="BG249">
            <v>40.22</v>
          </cell>
          <cell r="BH249">
            <v>47</v>
          </cell>
          <cell r="BI249">
            <v>27.63</v>
          </cell>
          <cell r="BJ249">
            <v>29.7</v>
          </cell>
        </row>
        <row r="250">
          <cell r="BG250">
            <v>69.78</v>
          </cell>
          <cell r="BH250">
            <v>0</v>
          </cell>
          <cell r="BI250">
            <v>106.36999999999999</v>
          </cell>
          <cell r="BJ250">
            <v>74.31</v>
          </cell>
        </row>
        <row r="251">
          <cell r="BG251">
            <v>0</v>
          </cell>
          <cell r="BH251">
            <v>0</v>
          </cell>
          <cell r="BI251">
            <v>0</v>
          </cell>
          <cell r="BJ251">
            <v>0</v>
          </cell>
        </row>
        <row r="252">
          <cell r="BG252">
            <v>0</v>
          </cell>
          <cell r="BH252">
            <v>0</v>
          </cell>
          <cell r="BI252">
            <v>0</v>
          </cell>
          <cell r="BJ252">
            <v>0</v>
          </cell>
        </row>
        <row r="253">
          <cell r="BG253">
            <v>0</v>
          </cell>
          <cell r="BH253">
            <v>0</v>
          </cell>
          <cell r="BI253">
            <v>0</v>
          </cell>
          <cell r="BJ253">
            <v>0</v>
          </cell>
        </row>
        <row r="255">
          <cell r="BG255">
            <v>0</v>
          </cell>
          <cell r="BH255">
            <v>0</v>
          </cell>
          <cell r="BI255">
            <v>0</v>
          </cell>
          <cell r="BJ255">
            <v>16</v>
          </cell>
        </row>
        <row r="256">
          <cell r="BG256">
            <v>39</v>
          </cell>
          <cell r="BH256">
            <v>55</v>
          </cell>
          <cell r="BI256">
            <v>39</v>
          </cell>
          <cell r="BJ256">
            <v>24</v>
          </cell>
        </row>
        <row r="257">
          <cell r="BG257">
            <v>0</v>
          </cell>
          <cell r="BH257">
            <v>0</v>
          </cell>
          <cell r="BI257">
            <v>0</v>
          </cell>
          <cell r="BJ257">
            <v>0</v>
          </cell>
        </row>
        <row r="258">
          <cell r="BG258">
            <v>0</v>
          </cell>
          <cell r="BH258">
            <v>0</v>
          </cell>
          <cell r="BI258">
            <v>0</v>
          </cell>
          <cell r="BJ258">
            <v>0</v>
          </cell>
        </row>
        <row r="259">
          <cell r="BG259">
            <v>0</v>
          </cell>
          <cell r="BH259">
            <v>0</v>
          </cell>
          <cell r="BI259">
            <v>0</v>
          </cell>
          <cell r="BJ259">
            <v>0</v>
          </cell>
        </row>
        <row r="261">
          <cell r="BG261">
            <v>0</v>
          </cell>
          <cell r="BH261">
            <v>0</v>
          </cell>
          <cell r="BI261">
            <v>0</v>
          </cell>
          <cell r="BJ261">
            <v>0</v>
          </cell>
        </row>
        <row r="262">
          <cell r="BG262">
            <v>0</v>
          </cell>
          <cell r="BH262">
            <v>0</v>
          </cell>
          <cell r="BI262">
            <v>0</v>
          </cell>
          <cell r="BJ262">
            <v>0</v>
          </cell>
        </row>
        <row r="263">
          <cell r="BG263">
            <v>0</v>
          </cell>
          <cell r="BH263">
            <v>0</v>
          </cell>
          <cell r="BI263">
            <v>0</v>
          </cell>
          <cell r="BJ263">
            <v>0</v>
          </cell>
        </row>
        <row r="264">
          <cell r="BG264">
            <v>0</v>
          </cell>
          <cell r="BH264">
            <v>0</v>
          </cell>
          <cell r="BI264">
            <v>0</v>
          </cell>
          <cell r="BJ264">
            <v>0</v>
          </cell>
        </row>
        <row r="265">
          <cell r="BG265">
            <v>0</v>
          </cell>
          <cell r="BH265">
            <v>0</v>
          </cell>
          <cell r="BI265">
            <v>0</v>
          </cell>
          <cell r="BJ265">
            <v>0</v>
          </cell>
        </row>
        <row r="267">
          <cell r="BG267">
            <v>64.600000000000009</v>
          </cell>
          <cell r="BH267">
            <v>65.460000000000008</v>
          </cell>
          <cell r="BI267">
            <v>64.349999999999994</v>
          </cell>
          <cell r="BJ267">
            <v>51.129999999999995</v>
          </cell>
        </row>
        <row r="268">
          <cell r="BG268">
            <v>63.400000000000006</v>
          </cell>
          <cell r="BH268">
            <v>60.53</v>
          </cell>
          <cell r="BI268">
            <v>44.66</v>
          </cell>
          <cell r="BJ268">
            <v>14.370000000000001</v>
          </cell>
        </row>
        <row r="269">
          <cell r="BG269">
            <v>0</v>
          </cell>
          <cell r="BH269">
            <v>0</v>
          </cell>
          <cell r="BI269">
            <v>0</v>
          </cell>
          <cell r="BJ269">
            <v>0</v>
          </cell>
        </row>
        <row r="270">
          <cell r="BG270">
            <v>6</v>
          </cell>
          <cell r="BH270">
            <v>17</v>
          </cell>
          <cell r="BI270">
            <v>3</v>
          </cell>
          <cell r="BJ270">
            <v>0</v>
          </cell>
        </row>
        <row r="271">
          <cell r="BG271">
            <v>0</v>
          </cell>
          <cell r="BH271">
            <v>0</v>
          </cell>
          <cell r="BI271">
            <v>0</v>
          </cell>
          <cell r="BJ271">
            <v>0</v>
          </cell>
        </row>
        <row r="315">
          <cell r="F315" t="str">
            <v>Sachets</v>
          </cell>
          <cell r="G315" t="str">
            <v>Sacks</v>
          </cell>
          <cell r="H315" t="str">
            <v>Mill</v>
          </cell>
          <cell r="I315" t="str">
            <v>Niro</v>
          </cell>
          <cell r="J315" t="str">
            <v>Others</v>
          </cell>
        </row>
        <row r="316">
          <cell r="F316">
            <v>1179</v>
          </cell>
          <cell r="G316">
            <v>1392</v>
          </cell>
          <cell r="H316">
            <v>0</v>
          </cell>
          <cell r="I316">
            <v>153</v>
          </cell>
        </row>
        <row r="317">
          <cell r="F317">
            <v>273</v>
          </cell>
          <cell r="G317">
            <v>87</v>
          </cell>
          <cell r="H317">
            <v>0</v>
          </cell>
          <cell r="I317">
            <v>39</v>
          </cell>
        </row>
        <row r="319">
          <cell r="F319">
            <v>144.54999999999998</v>
          </cell>
          <cell r="G319">
            <v>250.45999999999998</v>
          </cell>
          <cell r="H319">
            <v>0</v>
          </cell>
          <cell r="I319">
            <v>0</v>
          </cell>
        </row>
        <row r="320">
          <cell r="F320">
            <v>16</v>
          </cell>
          <cell r="G320">
            <v>157</v>
          </cell>
          <cell r="H320">
            <v>0</v>
          </cell>
          <cell r="I320">
            <v>0</v>
          </cell>
        </row>
        <row r="322">
          <cell r="F322">
            <v>0</v>
          </cell>
          <cell r="G322">
            <v>0</v>
          </cell>
          <cell r="H322">
            <v>0</v>
          </cell>
          <cell r="I322">
            <v>0</v>
          </cell>
        </row>
        <row r="323">
          <cell r="F323">
            <v>245.54</v>
          </cell>
          <cell r="G323">
            <v>182.96</v>
          </cell>
          <cell r="H323">
            <v>0</v>
          </cell>
          <cell r="I323">
            <v>26</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oolpack-finance®"/>
      <sheetName val="Månedsrapport"/>
      <sheetName val="Balance"/>
      <sheetName val="Estimat"/>
      <sheetName val="Kvartalsrapport"/>
      <sheetName val="Dashboard"/>
      <sheetName val="Dimensions ad-hoc rapport"/>
      <sheetName val="Formateringer"/>
      <sheetName val="Sum konti"/>
      <sheetName val="settings"/>
      <sheetName val="language"/>
      <sheetName val="RangeControl"/>
      <sheetName val="shtSpec"/>
    </sheetNames>
    <sheetDataSet>
      <sheetData sheetId="0">
        <row r="3">
          <cell r="A3" t="str">
            <v>09000</v>
          </cell>
          <cell r="D3" t="str">
            <v>NY</v>
          </cell>
          <cell r="F3">
            <v>1</v>
          </cell>
          <cell r="L3">
            <v>0</v>
          </cell>
          <cell r="M3">
            <v>0</v>
          </cell>
          <cell r="N3">
            <v>0</v>
          </cell>
          <cell r="O3">
            <v>0</v>
          </cell>
          <cell r="P3">
            <v>0</v>
          </cell>
          <cell r="Q3">
            <v>0</v>
          </cell>
          <cell r="R3">
            <v>0</v>
          </cell>
          <cell r="S3">
            <v>0</v>
          </cell>
          <cell r="T3">
            <v>0</v>
          </cell>
          <cell r="U3">
            <v>0</v>
          </cell>
          <cell r="V3">
            <v>0</v>
          </cell>
          <cell r="W3">
            <v>0</v>
          </cell>
          <cell r="X3">
            <v>0</v>
          </cell>
          <cell r="Y3">
            <v>0</v>
          </cell>
        </row>
        <row r="4">
          <cell r="A4" t="str">
            <v>09999</v>
          </cell>
          <cell r="B4" t="str">
            <v>Fast betaling</v>
          </cell>
          <cell r="D4" t="str">
            <v>NY</v>
          </cell>
          <cell r="F4">
            <v>3</v>
          </cell>
          <cell r="L4">
            <v>0</v>
          </cell>
          <cell r="M4">
            <v>0</v>
          </cell>
          <cell r="N4">
            <v>0</v>
          </cell>
          <cell r="O4">
            <v>0</v>
          </cell>
          <cell r="P4">
            <v>0</v>
          </cell>
          <cell r="Q4">
            <v>0</v>
          </cell>
          <cell r="R4">
            <v>0</v>
          </cell>
          <cell r="S4">
            <v>0</v>
          </cell>
          <cell r="T4">
            <v>0</v>
          </cell>
          <cell r="U4">
            <v>0</v>
          </cell>
          <cell r="V4">
            <v>0</v>
          </cell>
          <cell r="W4">
            <v>0</v>
          </cell>
          <cell r="X4">
            <v>0</v>
          </cell>
          <cell r="Y4">
            <v>0</v>
          </cell>
        </row>
        <row r="5">
          <cell r="A5" t="str">
            <v>10100</v>
          </cell>
          <cell r="B5" t="str">
            <v>Fast selskabsbetaling</v>
          </cell>
          <cell r="D5">
            <v>10100</v>
          </cell>
          <cell r="F5">
            <v>0</v>
          </cell>
          <cell r="L5">
            <v>-724350</v>
          </cell>
          <cell r="M5">
            <v>-181087.5</v>
          </cell>
          <cell r="N5">
            <v>-181087.5</v>
          </cell>
          <cell r="O5">
            <v>-181087.5</v>
          </cell>
          <cell r="P5">
            <v>-181087.5</v>
          </cell>
          <cell r="Q5">
            <v>0</v>
          </cell>
          <cell r="R5">
            <v>0</v>
          </cell>
          <cell r="S5">
            <v>0</v>
          </cell>
          <cell r="T5">
            <v>0</v>
          </cell>
          <cell r="U5">
            <v>0</v>
          </cell>
          <cell r="V5">
            <v>0</v>
          </cell>
          <cell r="W5">
            <v>0</v>
          </cell>
          <cell r="X5">
            <v>0</v>
          </cell>
          <cell r="Y5">
            <v>-724350</v>
          </cell>
        </row>
        <row r="6">
          <cell r="A6" t="str">
            <v>10200</v>
          </cell>
          <cell r="B6" t="str">
            <v>Fast præmiegebyr</v>
          </cell>
          <cell r="D6">
            <v>10200</v>
          </cell>
          <cell r="F6">
            <v>0</v>
          </cell>
          <cell r="L6">
            <v>-25645136.899999999</v>
          </cell>
          <cell r="M6">
            <v>-6244744.5899999999</v>
          </cell>
          <cell r="N6">
            <v>-6717396.1100000003</v>
          </cell>
          <cell r="O6">
            <v>-6264186.5999999996</v>
          </cell>
          <cell r="P6">
            <v>-6418809.5999999996</v>
          </cell>
          <cell r="Q6">
            <v>0</v>
          </cell>
          <cell r="R6">
            <v>0</v>
          </cell>
          <cell r="S6">
            <v>0</v>
          </cell>
          <cell r="T6">
            <v>0</v>
          </cell>
          <cell r="U6">
            <v>0</v>
          </cell>
          <cell r="V6">
            <v>0</v>
          </cell>
          <cell r="W6">
            <v>0</v>
          </cell>
          <cell r="X6">
            <v>0</v>
          </cell>
          <cell r="Y6">
            <v>-25645136.899999999</v>
          </cell>
        </row>
        <row r="7">
          <cell r="A7" t="str">
            <v>10999</v>
          </cell>
          <cell r="B7" t="str">
            <v>Fast betaling i alt</v>
          </cell>
          <cell r="D7">
            <v>10300</v>
          </cell>
          <cell r="F7">
            <v>4</v>
          </cell>
          <cell r="L7">
            <v>0</v>
          </cell>
          <cell r="M7">
            <v>0</v>
          </cell>
          <cell r="N7">
            <v>0</v>
          </cell>
          <cell r="O7">
            <v>0</v>
          </cell>
          <cell r="P7">
            <v>0</v>
          </cell>
          <cell r="Q7">
            <v>0</v>
          </cell>
          <cell r="R7">
            <v>0</v>
          </cell>
          <cell r="S7">
            <v>0</v>
          </cell>
          <cell r="T7">
            <v>0</v>
          </cell>
          <cell r="U7">
            <v>0</v>
          </cell>
          <cell r="V7">
            <v>0</v>
          </cell>
          <cell r="W7">
            <v>0</v>
          </cell>
          <cell r="X7">
            <v>0</v>
          </cell>
          <cell r="Y7">
            <v>0</v>
          </cell>
        </row>
        <row r="8">
          <cell r="A8" t="str">
            <v>11000</v>
          </cell>
          <cell r="B8" t="str">
            <v>EDB Produktion</v>
          </cell>
          <cell r="D8" t="str">
            <v>NY</v>
          </cell>
          <cell r="F8">
            <v>3</v>
          </cell>
          <cell r="L8">
            <v>0</v>
          </cell>
          <cell r="M8">
            <v>0</v>
          </cell>
          <cell r="N8">
            <v>0</v>
          </cell>
          <cell r="O8">
            <v>0</v>
          </cell>
          <cell r="P8">
            <v>0</v>
          </cell>
          <cell r="Q8">
            <v>0</v>
          </cell>
          <cell r="R8">
            <v>0</v>
          </cell>
          <cell r="S8">
            <v>0</v>
          </cell>
          <cell r="T8">
            <v>0</v>
          </cell>
          <cell r="U8">
            <v>0</v>
          </cell>
          <cell r="V8">
            <v>0</v>
          </cell>
          <cell r="W8">
            <v>0</v>
          </cell>
          <cell r="X8">
            <v>0</v>
          </cell>
          <cell r="Y8">
            <v>0</v>
          </cell>
        </row>
        <row r="9">
          <cell r="A9" t="str">
            <v>11100</v>
          </cell>
          <cell r="B9" t="str">
            <v>Royalty EDB Produktion</v>
          </cell>
          <cell r="D9">
            <v>11100</v>
          </cell>
          <cell r="F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t="str">
            <v>11200</v>
          </cell>
          <cell r="B10" t="str">
            <v>EDB produktion grundgebyr</v>
          </cell>
          <cell r="D10">
            <v>11200</v>
          </cell>
          <cell r="F10">
            <v>0</v>
          </cell>
          <cell r="L10">
            <v>-7893942.9800000004</v>
          </cell>
          <cell r="M10">
            <v>-2056692.7</v>
          </cell>
          <cell r="N10">
            <v>-2091629.42</v>
          </cell>
          <cell r="O10">
            <v>-1720660.94</v>
          </cell>
          <cell r="P10">
            <v>-2024959.92</v>
          </cell>
          <cell r="Q10">
            <v>0</v>
          </cell>
          <cell r="R10">
            <v>0</v>
          </cell>
          <cell r="S10">
            <v>0</v>
          </cell>
          <cell r="T10">
            <v>0</v>
          </cell>
          <cell r="U10">
            <v>0</v>
          </cell>
          <cell r="V10">
            <v>0</v>
          </cell>
          <cell r="W10">
            <v>0</v>
          </cell>
          <cell r="X10">
            <v>0</v>
          </cell>
          <cell r="Y10">
            <v>-7893942.9800000004</v>
          </cell>
        </row>
        <row r="11">
          <cell r="A11" t="str">
            <v>11300</v>
          </cell>
          <cell r="B11" t="str">
            <v>EDB produktion on-line</v>
          </cell>
          <cell r="D11">
            <v>11300</v>
          </cell>
          <cell r="F11">
            <v>0</v>
          </cell>
          <cell r="L11">
            <v>-11247074.299999999</v>
          </cell>
          <cell r="M11">
            <v>-3184281.03</v>
          </cell>
          <cell r="N11">
            <v>-2908886.86</v>
          </cell>
          <cell r="O11">
            <v>-3027122.38</v>
          </cell>
          <cell r="P11">
            <v>-2126784.0299999998</v>
          </cell>
          <cell r="Q11">
            <v>0</v>
          </cell>
          <cell r="R11">
            <v>0</v>
          </cell>
          <cell r="S11">
            <v>0</v>
          </cell>
          <cell r="T11">
            <v>0</v>
          </cell>
          <cell r="U11">
            <v>0</v>
          </cell>
          <cell r="V11">
            <v>0</v>
          </cell>
          <cell r="W11">
            <v>0</v>
          </cell>
          <cell r="X11">
            <v>0</v>
          </cell>
          <cell r="Y11">
            <v>-11247074.299999999</v>
          </cell>
        </row>
        <row r="12">
          <cell r="A12" t="str">
            <v>11400</v>
          </cell>
          <cell r="B12" t="str">
            <v>EDB produktion batch</v>
          </cell>
          <cell r="D12">
            <v>11400</v>
          </cell>
          <cell r="F12">
            <v>0</v>
          </cell>
          <cell r="L12">
            <v>-5061679.29</v>
          </cell>
          <cell r="M12">
            <v>-1441475.21</v>
          </cell>
          <cell r="N12">
            <v>-1267573.45</v>
          </cell>
          <cell r="O12">
            <v>-1259637.69</v>
          </cell>
          <cell r="P12">
            <v>-1092992.94</v>
          </cell>
          <cell r="Q12">
            <v>0</v>
          </cell>
          <cell r="R12">
            <v>0</v>
          </cell>
          <cell r="S12">
            <v>0</v>
          </cell>
          <cell r="T12">
            <v>0</v>
          </cell>
          <cell r="U12">
            <v>0</v>
          </cell>
          <cell r="V12">
            <v>0</v>
          </cell>
          <cell r="W12">
            <v>0</v>
          </cell>
          <cell r="X12">
            <v>0</v>
          </cell>
          <cell r="Y12">
            <v>-5061679.29</v>
          </cell>
        </row>
        <row r="13">
          <cell r="A13" t="str">
            <v>11500</v>
          </cell>
          <cell r="B13" t="str">
            <v>Maskintesttimer</v>
          </cell>
          <cell r="D13">
            <v>11500</v>
          </cell>
          <cell r="F13">
            <v>0</v>
          </cell>
          <cell r="L13">
            <v>-788155.66999999993</v>
          </cell>
          <cell r="M13">
            <v>-125605.11</v>
          </cell>
          <cell r="N13">
            <v>-85198.06</v>
          </cell>
          <cell r="O13">
            <v>-247820.13</v>
          </cell>
          <cell r="P13">
            <v>-329532.37</v>
          </cell>
          <cell r="Q13">
            <v>0</v>
          </cell>
          <cell r="R13">
            <v>0</v>
          </cell>
          <cell r="S13">
            <v>0</v>
          </cell>
          <cell r="T13">
            <v>0</v>
          </cell>
          <cell r="U13">
            <v>0</v>
          </cell>
          <cell r="V13">
            <v>0</v>
          </cell>
          <cell r="W13">
            <v>0</v>
          </cell>
          <cell r="X13">
            <v>0</v>
          </cell>
          <cell r="Y13">
            <v>-788155.66999999993</v>
          </cell>
        </row>
        <row r="14">
          <cell r="A14" t="str">
            <v>11600</v>
          </cell>
          <cell r="B14" t="str">
            <v>TSO/SAS</v>
          </cell>
          <cell r="D14">
            <v>11600</v>
          </cell>
          <cell r="F14">
            <v>0</v>
          </cell>
          <cell r="L14">
            <v>-639836.94000000006</v>
          </cell>
          <cell r="M14">
            <v>-169282.92</v>
          </cell>
          <cell r="N14">
            <v>-183915.12</v>
          </cell>
          <cell r="O14">
            <v>-183680.48</v>
          </cell>
          <cell r="P14">
            <v>-102958.42</v>
          </cell>
          <cell r="Q14">
            <v>0</v>
          </cell>
          <cell r="R14">
            <v>0</v>
          </cell>
          <cell r="S14">
            <v>0</v>
          </cell>
          <cell r="T14">
            <v>0</v>
          </cell>
          <cell r="U14">
            <v>0</v>
          </cell>
          <cell r="V14">
            <v>0</v>
          </cell>
          <cell r="W14">
            <v>0</v>
          </cell>
          <cell r="X14">
            <v>0</v>
          </cell>
          <cell r="Y14">
            <v>-639836.94000000006</v>
          </cell>
        </row>
        <row r="15">
          <cell r="A15" t="str">
            <v>11700</v>
          </cell>
          <cell r="B15" t="str">
            <v>Diskleje</v>
          </cell>
          <cell r="D15">
            <v>11700</v>
          </cell>
          <cell r="F15">
            <v>0</v>
          </cell>
          <cell r="L15">
            <v>-3498698.66</v>
          </cell>
          <cell r="M15">
            <v>-927377.63</v>
          </cell>
          <cell r="N15">
            <v>-855823.3</v>
          </cell>
          <cell r="O15">
            <v>-860594.08</v>
          </cell>
          <cell r="P15">
            <v>-854903.65</v>
          </cell>
          <cell r="Q15">
            <v>0</v>
          </cell>
          <cell r="R15">
            <v>0</v>
          </cell>
          <cell r="S15">
            <v>0</v>
          </cell>
          <cell r="T15">
            <v>0</v>
          </cell>
          <cell r="U15">
            <v>0</v>
          </cell>
          <cell r="V15">
            <v>0</v>
          </cell>
          <cell r="W15">
            <v>0</v>
          </cell>
          <cell r="X15">
            <v>0</v>
          </cell>
          <cell r="Y15">
            <v>-3498698.66</v>
          </cell>
        </row>
        <row r="16">
          <cell r="A16" t="str">
            <v>11800</v>
          </cell>
          <cell r="B16" t="str">
            <v>Rabat EDB Produktion</v>
          </cell>
          <cell r="D16">
            <v>11800</v>
          </cell>
          <cell r="F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11900</v>
          </cell>
          <cell r="B17" t="str">
            <v>Kompensation for oppetider</v>
          </cell>
          <cell r="F17">
            <v>0</v>
          </cell>
          <cell r="L17">
            <v>515157.11000000004</v>
          </cell>
          <cell r="M17">
            <v>220713.84</v>
          </cell>
          <cell r="N17">
            <v>92451.66</v>
          </cell>
          <cell r="O17">
            <v>100917.91</v>
          </cell>
          <cell r="P17">
            <v>101073.7</v>
          </cell>
          <cell r="Q17">
            <v>0</v>
          </cell>
          <cell r="R17">
            <v>0</v>
          </cell>
          <cell r="S17">
            <v>0</v>
          </cell>
          <cell r="T17">
            <v>0</v>
          </cell>
          <cell r="U17">
            <v>0</v>
          </cell>
          <cell r="V17">
            <v>0</v>
          </cell>
          <cell r="W17">
            <v>0</v>
          </cell>
          <cell r="X17">
            <v>0</v>
          </cell>
          <cell r="Y17">
            <v>515157.11000000004</v>
          </cell>
        </row>
        <row r="18">
          <cell r="A18" t="str">
            <v>11999</v>
          </cell>
          <cell r="B18" t="str">
            <v>EDB produktion ialt</v>
          </cell>
          <cell r="D18">
            <v>11900</v>
          </cell>
          <cell r="F18">
            <v>4</v>
          </cell>
          <cell r="L18">
            <v>0</v>
          </cell>
          <cell r="M18">
            <v>0</v>
          </cell>
          <cell r="N18">
            <v>0</v>
          </cell>
          <cell r="O18">
            <v>0</v>
          </cell>
          <cell r="P18">
            <v>0</v>
          </cell>
          <cell r="Q18">
            <v>0</v>
          </cell>
          <cell r="R18">
            <v>0</v>
          </cell>
          <cell r="S18">
            <v>0</v>
          </cell>
          <cell r="T18">
            <v>0</v>
          </cell>
          <cell r="U18">
            <v>0</v>
          </cell>
          <cell r="V18">
            <v>0</v>
          </cell>
          <cell r="W18">
            <v>0</v>
          </cell>
          <cell r="X18">
            <v>0</v>
          </cell>
          <cell r="Y18">
            <v>0</v>
          </cell>
        </row>
        <row r="19">
          <cell r="A19" t="str">
            <v>12000</v>
          </cell>
          <cell r="B19" t="str">
            <v>Serviceaft., tek supp. og netv</v>
          </cell>
          <cell r="D19" t="str">
            <v>NY</v>
          </cell>
          <cell r="F19">
            <v>3</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t="str">
            <v>12100</v>
          </cell>
          <cell r="B20" t="str">
            <v>Netværksforbindelser</v>
          </cell>
          <cell r="D20">
            <v>12100</v>
          </cell>
          <cell r="F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12200</v>
          </cell>
          <cell r="B21" t="str">
            <v>Internet</v>
          </cell>
          <cell r="D21">
            <v>12200</v>
          </cell>
          <cell r="F21">
            <v>0</v>
          </cell>
          <cell r="L21">
            <v>-17800</v>
          </cell>
          <cell r="M21">
            <v>-4450</v>
          </cell>
          <cell r="N21">
            <v>-4450</v>
          </cell>
          <cell r="O21">
            <v>-4450</v>
          </cell>
          <cell r="P21">
            <v>-4450</v>
          </cell>
          <cell r="Q21">
            <v>0</v>
          </cell>
          <cell r="R21">
            <v>0</v>
          </cell>
          <cell r="S21">
            <v>0</v>
          </cell>
          <cell r="T21">
            <v>0</v>
          </cell>
          <cell r="U21">
            <v>0</v>
          </cell>
          <cell r="V21">
            <v>0</v>
          </cell>
          <cell r="W21">
            <v>0</v>
          </cell>
          <cell r="X21">
            <v>0</v>
          </cell>
          <cell r="Y21">
            <v>-17800</v>
          </cell>
        </row>
        <row r="22">
          <cell r="A22" t="str">
            <v>12250</v>
          </cell>
          <cell r="B22" t="str">
            <v>E-mail</v>
          </cell>
          <cell r="D22" t="str">
            <v>NY</v>
          </cell>
          <cell r="F22">
            <v>0</v>
          </cell>
          <cell r="L22">
            <v>-26806.97</v>
          </cell>
          <cell r="M22">
            <v>-10083.549999999999</v>
          </cell>
          <cell r="N22">
            <v>-7761.27</v>
          </cell>
          <cell r="O22">
            <v>-3679.84</v>
          </cell>
          <cell r="P22">
            <v>-5282.31</v>
          </cell>
          <cell r="Q22">
            <v>0</v>
          </cell>
          <cell r="R22">
            <v>0</v>
          </cell>
          <cell r="S22">
            <v>0</v>
          </cell>
          <cell r="T22">
            <v>0</v>
          </cell>
          <cell r="U22">
            <v>0</v>
          </cell>
          <cell r="V22">
            <v>0</v>
          </cell>
          <cell r="W22">
            <v>0</v>
          </cell>
          <cell r="X22">
            <v>0</v>
          </cell>
          <cell r="Y22">
            <v>-26806.97</v>
          </cell>
        </row>
        <row r="23">
          <cell r="A23" t="str">
            <v>12300</v>
          </cell>
          <cell r="B23" t="str">
            <v>Serviceaftaler</v>
          </cell>
          <cell r="D23">
            <v>12300</v>
          </cell>
          <cell r="F23">
            <v>0</v>
          </cell>
          <cell r="L23">
            <v>-6579673.1499999994</v>
          </cell>
          <cell r="M23">
            <v>-1907121.36</v>
          </cell>
          <cell r="N23">
            <v>-1787601.51</v>
          </cell>
          <cell r="O23">
            <v>-1480008.56</v>
          </cell>
          <cell r="P23">
            <v>-1404941.72</v>
          </cell>
          <cell r="Q23">
            <v>0</v>
          </cell>
          <cell r="R23">
            <v>0</v>
          </cell>
          <cell r="S23">
            <v>0</v>
          </cell>
          <cell r="T23">
            <v>0</v>
          </cell>
          <cell r="U23">
            <v>0</v>
          </cell>
          <cell r="V23">
            <v>0</v>
          </cell>
          <cell r="W23">
            <v>0</v>
          </cell>
          <cell r="X23">
            <v>0</v>
          </cell>
          <cell r="Y23">
            <v>-6579673.1499999994</v>
          </cell>
        </row>
        <row r="24">
          <cell r="A24" t="str">
            <v>12400</v>
          </cell>
          <cell r="B24" t="str">
            <v>Drift og Teknik</v>
          </cell>
          <cell r="D24">
            <v>12400</v>
          </cell>
          <cell r="F24">
            <v>0</v>
          </cell>
          <cell r="L24">
            <v>-1249716.7200000002</v>
          </cell>
          <cell r="M24">
            <v>-413096</v>
          </cell>
          <cell r="N24">
            <v>-312459.84000000003</v>
          </cell>
          <cell r="O24">
            <v>-336177.51</v>
          </cell>
          <cell r="P24">
            <v>-187983.37</v>
          </cell>
          <cell r="Q24">
            <v>0</v>
          </cell>
          <cell r="R24">
            <v>0</v>
          </cell>
          <cell r="S24">
            <v>0</v>
          </cell>
          <cell r="T24">
            <v>0</v>
          </cell>
          <cell r="U24">
            <v>0</v>
          </cell>
          <cell r="V24">
            <v>0</v>
          </cell>
          <cell r="W24">
            <v>0</v>
          </cell>
          <cell r="X24">
            <v>0</v>
          </cell>
          <cell r="Y24">
            <v>-1249716.7200000002</v>
          </cell>
        </row>
        <row r="25">
          <cell r="A25" t="str">
            <v>12998</v>
          </cell>
          <cell r="B25" t="str">
            <v>Service, teknik og netv. ialt</v>
          </cell>
          <cell r="D25" t="str">
            <v>NY</v>
          </cell>
          <cell r="F25">
            <v>4</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A26" t="str">
            <v>12999</v>
          </cell>
          <cell r="B26" t="str">
            <v>Efterbehandling</v>
          </cell>
          <cell r="D26" t="str">
            <v>NY</v>
          </cell>
          <cell r="F26">
            <v>3</v>
          </cell>
          <cell r="L26">
            <v>0</v>
          </cell>
          <cell r="M26">
            <v>0</v>
          </cell>
          <cell r="N26">
            <v>0</v>
          </cell>
          <cell r="O26">
            <v>0</v>
          </cell>
          <cell r="P26">
            <v>0</v>
          </cell>
          <cell r="Q26">
            <v>0</v>
          </cell>
          <cell r="R26">
            <v>0</v>
          </cell>
          <cell r="S26">
            <v>0</v>
          </cell>
          <cell r="T26">
            <v>0</v>
          </cell>
          <cell r="U26">
            <v>0</v>
          </cell>
          <cell r="V26">
            <v>0</v>
          </cell>
          <cell r="W26">
            <v>0</v>
          </cell>
          <cell r="X26">
            <v>0</v>
          </cell>
          <cell r="Y26">
            <v>0</v>
          </cell>
        </row>
        <row r="27">
          <cell r="A27" t="str">
            <v>13100</v>
          </cell>
          <cell r="B27" t="str">
            <v>Klikafgifter mv.</v>
          </cell>
          <cell r="D27" t="str">
            <v>NY</v>
          </cell>
          <cell r="F27">
            <v>0</v>
          </cell>
          <cell r="L27">
            <v>-311274.54000000004</v>
          </cell>
          <cell r="M27">
            <v>-92338.11</v>
          </cell>
          <cell r="N27">
            <v>-79224.47</v>
          </cell>
          <cell r="O27">
            <v>-79303.240000000005</v>
          </cell>
          <cell r="P27">
            <v>-60408.72</v>
          </cell>
          <cell r="Q27">
            <v>0</v>
          </cell>
          <cell r="R27">
            <v>0</v>
          </cell>
          <cell r="S27">
            <v>0</v>
          </cell>
          <cell r="T27">
            <v>0</v>
          </cell>
          <cell r="U27">
            <v>0</v>
          </cell>
          <cell r="V27">
            <v>0</v>
          </cell>
          <cell r="W27">
            <v>0</v>
          </cell>
          <cell r="X27">
            <v>0</v>
          </cell>
          <cell r="Y27">
            <v>-311274.54000000004</v>
          </cell>
        </row>
        <row r="28">
          <cell r="A28" t="str">
            <v>13200</v>
          </cell>
          <cell r="B28" t="str">
            <v>Efterbehandling Timeydelse</v>
          </cell>
          <cell r="D28">
            <v>13200</v>
          </cell>
          <cell r="F28">
            <v>0</v>
          </cell>
          <cell r="L28">
            <v>-302971.62</v>
          </cell>
          <cell r="M28">
            <v>-87058.5</v>
          </cell>
          <cell r="N28">
            <v>-71616</v>
          </cell>
          <cell r="O28">
            <v>-76028.52</v>
          </cell>
          <cell r="P28">
            <v>-68268.600000000006</v>
          </cell>
          <cell r="Q28">
            <v>0</v>
          </cell>
          <cell r="R28">
            <v>0</v>
          </cell>
          <cell r="S28">
            <v>0</v>
          </cell>
          <cell r="T28">
            <v>0</v>
          </cell>
          <cell r="U28">
            <v>0</v>
          </cell>
          <cell r="V28">
            <v>0</v>
          </cell>
          <cell r="W28">
            <v>0</v>
          </cell>
          <cell r="X28">
            <v>0</v>
          </cell>
          <cell r="Y28">
            <v>-302971.62</v>
          </cell>
        </row>
        <row r="29">
          <cell r="A29" t="str">
            <v>13300</v>
          </cell>
          <cell r="B29" t="str">
            <v>Andre efterbehandlingsydelser</v>
          </cell>
          <cell r="D29" t="str">
            <v>NY</v>
          </cell>
          <cell r="F29">
            <v>0</v>
          </cell>
          <cell r="L29">
            <v>-115523.40999999999</v>
          </cell>
          <cell r="M29">
            <v>-26250.639999999999</v>
          </cell>
          <cell r="N29">
            <v>-24729.51</v>
          </cell>
          <cell r="O29">
            <v>-30350.65</v>
          </cell>
          <cell r="P29">
            <v>-34192.61</v>
          </cell>
          <cell r="Q29">
            <v>-250000</v>
          </cell>
          <cell r="R29">
            <v>0</v>
          </cell>
          <cell r="S29">
            <v>0</v>
          </cell>
          <cell r="T29">
            <v>0</v>
          </cell>
          <cell r="U29">
            <v>0</v>
          </cell>
          <cell r="V29">
            <v>0</v>
          </cell>
          <cell r="W29">
            <v>0</v>
          </cell>
          <cell r="X29">
            <v>0</v>
          </cell>
          <cell r="Y29">
            <v>-365523.41</v>
          </cell>
        </row>
        <row r="30">
          <cell r="A30" t="str">
            <v>13998</v>
          </cell>
          <cell r="B30" t="str">
            <v>Efterbehandling ialt</v>
          </cell>
          <cell r="D30">
            <v>13400</v>
          </cell>
          <cell r="F30">
            <v>4</v>
          </cell>
          <cell r="L30">
            <v>0</v>
          </cell>
          <cell r="M30">
            <v>0</v>
          </cell>
          <cell r="N30">
            <v>0</v>
          </cell>
          <cell r="O30">
            <v>0</v>
          </cell>
          <cell r="P30">
            <v>0</v>
          </cell>
          <cell r="Q30">
            <v>0</v>
          </cell>
          <cell r="R30">
            <v>0</v>
          </cell>
          <cell r="S30">
            <v>0</v>
          </cell>
          <cell r="T30">
            <v>0</v>
          </cell>
          <cell r="U30">
            <v>0</v>
          </cell>
          <cell r="V30">
            <v>0</v>
          </cell>
          <cell r="W30">
            <v>0</v>
          </cell>
          <cell r="X30">
            <v>0</v>
          </cell>
          <cell r="Y30">
            <v>0</v>
          </cell>
        </row>
        <row r="31">
          <cell r="A31" t="str">
            <v>13999</v>
          </cell>
          <cell r="B31" t="str">
            <v>Formularer</v>
          </cell>
          <cell r="D31" t="str">
            <v>NY</v>
          </cell>
          <cell r="F31">
            <v>3</v>
          </cell>
          <cell r="L31">
            <v>0</v>
          </cell>
          <cell r="M31">
            <v>0</v>
          </cell>
          <cell r="N31">
            <v>0</v>
          </cell>
          <cell r="O31">
            <v>0</v>
          </cell>
          <cell r="P31">
            <v>0</v>
          </cell>
          <cell r="Q31">
            <v>0</v>
          </cell>
          <cell r="R31">
            <v>0</v>
          </cell>
          <cell r="S31">
            <v>0</v>
          </cell>
          <cell r="T31">
            <v>0</v>
          </cell>
          <cell r="U31">
            <v>0</v>
          </cell>
          <cell r="V31">
            <v>0</v>
          </cell>
          <cell r="W31">
            <v>0</v>
          </cell>
          <cell r="X31">
            <v>0</v>
          </cell>
          <cell r="Y31">
            <v>0</v>
          </cell>
        </row>
        <row r="32">
          <cell r="A32" t="str">
            <v>14100</v>
          </cell>
          <cell r="B32" t="str">
            <v>Formularer</v>
          </cell>
          <cell r="D32">
            <v>14100</v>
          </cell>
          <cell r="F32">
            <v>0</v>
          </cell>
          <cell r="L32">
            <v>-67048.899999999994</v>
          </cell>
          <cell r="M32">
            <v>-10273.34</v>
          </cell>
          <cell r="N32">
            <v>-17180.560000000001</v>
          </cell>
          <cell r="O32">
            <v>-7370</v>
          </cell>
          <cell r="P32">
            <v>-32225</v>
          </cell>
          <cell r="Q32">
            <v>0</v>
          </cell>
          <cell r="R32">
            <v>0</v>
          </cell>
          <cell r="S32">
            <v>0</v>
          </cell>
          <cell r="T32">
            <v>0</v>
          </cell>
          <cell r="U32">
            <v>0</v>
          </cell>
          <cell r="V32">
            <v>0</v>
          </cell>
          <cell r="W32">
            <v>0</v>
          </cell>
          <cell r="X32">
            <v>0</v>
          </cell>
          <cell r="Y32">
            <v>-67048.899999999994</v>
          </cell>
        </row>
        <row r="33">
          <cell r="A33" t="str">
            <v>14200</v>
          </cell>
          <cell r="B33" t="str">
            <v>Formular ialt</v>
          </cell>
          <cell r="D33">
            <v>14200</v>
          </cell>
          <cell r="F33">
            <v>4</v>
          </cell>
          <cell r="L33">
            <v>0</v>
          </cell>
          <cell r="M33">
            <v>0</v>
          </cell>
          <cell r="N33">
            <v>0</v>
          </cell>
          <cell r="O33">
            <v>0</v>
          </cell>
          <cell r="P33">
            <v>0</v>
          </cell>
          <cell r="Q33">
            <v>0</v>
          </cell>
          <cell r="R33">
            <v>0</v>
          </cell>
          <cell r="S33">
            <v>0</v>
          </cell>
          <cell r="T33">
            <v>0</v>
          </cell>
          <cell r="U33">
            <v>0</v>
          </cell>
          <cell r="V33">
            <v>0</v>
          </cell>
          <cell r="W33">
            <v>0</v>
          </cell>
          <cell r="X33">
            <v>0</v>
          </cell>
          <cell r="Y33">
            <v>0</v>
          </cell>
        </row>
        <row r="34">
          <cell r="A34" t="str">
            <v>14998</v>
          </cell>
          <cell r="B34" t="str">
            <v>Andre ydelser</v>
          </cell>
          <cell r="D34" t="str">
            <v>NY</v>
          </cell>
          <cell r="F34">
            <v>3</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15100</v>
          </cell>
          <cell r="B35" t="str">
            <v>Andre Ydelser</v>
          </cell>
          <cell r="D35">
            <v>15100</v>
          </cell>
          <cell r="F35">
            <v>0</v>
          </cell>
          <cell r="L35">
            <v>-1544507.7999999998</v>
          </cell>
          <cell r="M35">
            <v>-259751.95</v>
          </cell>
          <cell r="N35">
            <v>-638876.94999999995</v>
          </cell>
          <cell r="O35">
            <v>-386126.95</v>
          </cell>
          <cell r="P35">
            <v>-259751.95</v>
          </cell>
          <cell r="Q35">
            <v>0</v>
          </cell>
          <cell r="R35">
            <v>0</v>
          </cell>
          <cell r="S35">
            <v>0</v>
          </cell>
          <cell r="T35">
            <v>0</v>
          </cell>
          <cell r="U35">
            <v>0</v>
          </cell>
          <cell r="V35">
            <v>0</v>
          </cell>
          <cell r="W35">
            <v>0</v>
          </cell>
          <cell r="X35">
            <v>0</v>
          </cell>
          <cell r="Y35">
            <v>-1544507.7999999998</v>
          </cell>
        </row>
        <row r="36">
          <cell r="A36" t="str">
            <v>15200</v>
          </cell>
          <cell r="B36" t="str">
            <v>Motorregister</v>
          </cell>
          <cell r="D36">
            <v>15200</v>
          </cell>
          <cell r="F36">
            <v>0</v>
          </cell>
          <cell r="L36">
            <v>0</v>
          </cell>
          <cell r="M36">
            <v>0</v>
          </cell>
          <cell r="N36">
            <v>0</v>
          </cell>
          <cell r="O36">
            <v>0</v>
          </cell>
          <cell r="P36">
            <v>0</v>
          </cell>
          <cell r="Q36">
            <v>0</v>
          </cell>
          <cell r="R36">
            <v>0</v>
          </cell>
          <cell r="S36">
            <v>0</v>
          </cell>
          <cell r="T36">
            <v>0</v>
          </cell>
          <cell r="U36">
            <v>0</v>
          </cell>
          <cell r="V36">
            <v>0</v>
          </cell>
          <cell r="W36">
            <v>0</v>
          </cell>
          <cell r="X36">
            <v>0</v>
          </cell>
          <cell r="Y36">
            <v>0</v>
          </cell>
        </row>
        <row r="37">
          <cell r="A37" t="str">
            <v>15300</v>
          </cell>
          <cell r="B37" t="str">
            <v>AutoTaks,nummeroplysning</v>
          </cell>
          <cell r="D37">
            <v>15300</v>
          </cell>
          <cell r="F37">
            <v>0</v>
          </cell>
          <cell r="L37">
            <v>0</v>
          </cell>
          <cell r="M37">
            <v>0</v>
          </cell>
          <cell r="N37">
            <v>0</v>
          </cell>
          <cell r="O37">
            <v>0</v>
          </cell>
          <cell r="P37">
            <v>0</v>
          </cell>
          <cell r="Q37">
            <v>0</v>
          </cell>
          <cell r="R37">
            <v>0</v>
          </cell>
          <cell r="S37">
            <v>0</v>
          </cell>
          <cell r="T37">
            <v>0</v>
          </cell>
          <cell r="U37">
            <v>0</v>
          </cell>
          <cell r="V37">
            <v>0</v>
          </cell>
          <cell r="W37">
            <v>0</v>
          </cell>
          <cell r="X37">
            <v>0</v>
          </cell>
          <cell r="Y37">
            <v>0</v>
          </cell>
        </row>
        <row r="38">
          <cell r="A38" t="str">
            <v>15400</v>
          </cell>
          <cell r="B38" t="str">
            <v>EDI</v>
          </cell>
          <cell r="D38">
            <v>15400</v>
          </cell>
          <cell r="F38">
            <v>0</v>
          </cell>
          <cell r="L38">
            <v>-42727.72</v>
          </cell>
          <cell r="M38">
            <v>-8609.7999999999993</v>
          </cell>
          <cell r="N38">
            <v>-11559.8</v>
          </cell>
          <cell r="O38">
            <v>-11013.92</v>
          </cell>
          <cell r="P38">
            <v>-11544.2</v>
          </cell>
          <cell r="Q38">
            <v>0</v>
          </cell>
          <cell r="R38">
            <v>0</v>
          </cell>
          <cell r="S38">
            <v>0</v>
          </cell>
          <cell r="T38">
            <v>0</v>
          </cell>
          <cell r="U38">
            <v>0</v>
          </cell>
          <cell r="V38">
            <v>0</v>
          </cell>
          <cell r="W38">
            <v>0</v>
          </cell>
          <cell r="X38">
            <v>0</v>
          </cell>
          <cell r="Y38">
            <v>-42727.72</v>
          </cell>
        </row>
        <row r="39">
          <cell r="A39" t="str">
            <v>15998</v>
          </cell>
          <cell r="B39" t="str">
            <v>Andre ydelser ialt</v>
          </cell>
          <cell r="D39">
            <v>15500</v>
          </cell>
          <cell r="F39">
            <v>4</v>
          </cell>
          <cell r="L39">
            <v>0</v>
          </cell>
          <cell r="M39">
            <v>0</v>
          </cell>
          <cell r="N39">
            <v>0</v>
          </cell>
          <cell r="O39">
            <v>0</v>
          </cell>
          <cell r="P39">
            <v>0</v>
          </cell>
          <cell r="Q39">
            <v>0</v>
          </cell>
          <cell r="R39">
            <v>0</v>
          </cell>
          <cell r="S39">
            <v>0</v>
          </cell>
          <cell r="T39">
            <v>0</v>
          </cell>
          <cell r="U39">
            <v>0</v>
          </cell>
          <cell r="V39">
            <v>0</v>
          </cell>
          <cell r="W39">
            <v>0</v>
          </cell>
          <cell r="X39">
            <v>0</v>
          </cell>
          <cell r="Y39">
            <v>0</v>
          </cell>
        </row>
        <row r="40">
          <cell r="A40" t="str">
            <v>15999</v>
          </cell>
          <cell r="B40" t="str">
            <v>Licens og releaseafgifter</v>
          </cell>
          <cell r="D40" t="str">
            <v>NY</v>
          </cell>
          <cell r="F40">
            <v>3</v>
          </cell>
          <cell r="L40">
            <v>0</v>
          </cell>
          <cell r="M40">
            <v>0</v>
          </cell>
          <cell r="N40">
            <v>0</v>
          </cell>
          <cell r="O40">
            <v>0</v>
          </cell>
          <cell r="P40">
            <v>0</v>
          </cell>
          <cell r="Q40">
            <v>0</v>
          </cell>
          <cell r="R40">
            <v>0</v>
          </cell>
          <cell r="S40">
            <v>0</v>
          </cell>
          <cell r="T40">
            <v>0</v>
          </cell>
          <cell r="U40">
            <v>0</v>
          </cell>
          <cell r="V40">
            <v>0</v>
          </cell>
          <cell r="W40">
            <v>0</v>
          </cell>
          <cell r="X40">
            <v>0</v>
          </cell>
          <cell r="Y40">
            <v>0</v>
          </cell>
        </row>
        <row r="41">
          <cell r="A41" t="str">
            <v>16100</v>
          </cell>
          <cell r="B41" t="str">
            <v>Licens</v>
          </cell>
          <cell r="D41" t="str">
            <v>NY</v>
          </cell>
          <cell r="F41">
            <v>0</v>
          </cell>
          <cell r="L41">
            <v>-3778260.91</v>
          </cell>
          <cell r="M41">
            <v>-950205.45</v>
          </cell>
          <cell r="N41">
            <v>-953110.39</v>
          </cell>
          <cell r="O41">
            <v>-940392.68</v>
          </cell>
          <cell r="P41">
            <v>-934552.39</v>
          </cell>
          <cell r="Q41">
            <v>0</v>
          </cell>
          <cell r="R41">
            <v>0</v>
          </cell>
          <cell r="S41">
            <v>0</v>
          </cell>
          <cell r="T41">
            <v>0</v>
          </cell>
          <cell r="U41">
            <v>0</v>
          </cell>
          <cell r="V41">
            <v>0</v>
          </cell>
          <cell r="W41">
            <v>0</v>
          </cell>
          <cell r="X41">
            <v>0</v>
          </cell>
          <cell r="Y41">
            <v>-3778260.91</v>
          </cell>
        </row>
        <row r="42">
          <cell r="A42" t="str">
            <v>16200</v>
          </cell>
          <cell r="B42" t="str">
            <v>Release Aftaler</v>
          </cell>
          <cell r="D42">
            <v>16200</v>
          </cell>
          <cell r="F42">
            <v>0</v>
          </cell>
          <cell r="L42">
            <v>-763093.09000000008</v>
          </cell>
          <cell r="M42">
            <v>-194450.59</v>
          </cell>
          <cell r="N42">
            <v>-194752.68</v>
          </cell>
          <cell r="O42">
            <v>-188525.06</v>
          </cell>
          <cell r="P42">
            <v>-185364.76</v>
          </cell>
          <cell r="Q42">
            <v>0</v>
          </cell>
          <cell r="R42">
            <v>0</v>
          </cell>
          <cell r="S42">
            <v>0</v>
          </cell>
          <cell r="T42">
            <v>0</v>
          </cell>
          <cell r="U42">
            <v>0</v>
          </cell>
          <cell r="V42">
            <v>0</v>
          </cell>
          <cell r="W42">
            <v>0</v>
          </cell>
          <cell r="X42">
            <v>0</v>
          </cell>
          <cell r="Y42">
            <v>-763093.09000000008</v>
          </cell>
        </row>
        <row r="43">
          <cell r="A43" t="str">
            <v>16998</v>
          </cell>
          <cell r="B43" t="str">
            <v>Licens og release i alt</v>
          </cell>
          <cell r="D43" t="str">
            <v>NY</v>
          </cell>
          <cell r="F43">
            <v>4</v>
          </cell>
          <cell r="L43">
            <v>0</v>
          </cell>
          <cell r="M43">
            <v>0</v>
          </cell>
          <cell r="N43">
            <v>0</v>
          </cell>
          <cell r="O43">
            <v>0</v>
          </cell>
          <cell r="P43">
            <v>0</v>
          </cell>
          <cell r="Q43">
            <v>0</v>
          </cell>
          <cell r="R43">
            <v>0</v>
          </cell>
          <cell r="S43">
            <v>0</v>
          </cell>
          <cell r="T43">
            <v>0</v>
          </cell>
          <cell r="U43">
            <v>0</v>
          </cell>
          <cell r="V43">
            <v>0</v>
          </cell>
          <cell r="W43">
            <v>0</v>
          </cell>
          <cell r="X43">
            <v>0</v>
          </cell>
          <cell r="Y43">
            <v>0</v>
          </cell>
        </row>
        <row r="44">
          <cell r="A44" t="str">
            <v>16999</v>
          </cell>
          <cell r="B44" t="str">
            <v>Udvikling og vedligeholdelse</v>
          </cell>
          <cell r="D44" t="str">
            <v>NY</v>
          </cell>
          <cell r="F44">
            <v>3</v>
          </cell>
          <cell r="L44">
            <v>0</v>
          </cell>
          <cell r="M44">
            <v>0</v>
          </cell>
          <cell r="N44">
            <v>0</v>
          </cell>
          <cell r="O44">
            <v>0</v>
          </cell>
          <cell r="P44">
            <v>0</v>
          </cell>
          <cell r="Q44">
            <v>0</v>
          </cell>
          <cell r="R44">
            <v>0</v>
          </cell>
          <cell r="S44">
            <v>0</v>
          </cell>
          <cell r="T44">
            <v>0</v>
          </cell>
          <cell r="U44">
            <v>0</v>
          </cell>
          <cell r="V44">
            <v>0</v>
          </cell>
          <cell r="W44">
            <v>0</v>
          </cell>
          <cell r="X44">
            <v>0</v>
          </cell>
          <cell r="Y44">
            <v>0</v>
          </cell>
        </row>
        <row r="45">
          <cell r="A45" t="str">
            <v>17100</v>
          </cell>
          <cell r="B45" t="str">
            <v>Fællesprojekter</v>
          </cell>
          <cell r="D45">
            <v>17100</v>
          </cell>
          <cell r="F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t="str">
            <v>17200</v>
          </cell>
          <cell r="B46" t="str">
            <v>Vedligeholdelsesaftale</v>
          </cell>
          <cell r="D46">
            <v>17200</v>
          </cell>
          <cell r="F46">
            <v>0</v>
          </cell>
          <cell r="L46">
            <v>-1185840.2799999998</v>
          </cell>
          <cell r="M46">
            <v>-298812</v>
          </cell>
          <cell r="N46">
            <v>-299005.2</v>
          </cell>
          <cell r="O46">
            <v>-295022.15999999997</v>
          </cell>
          <cell r="P46">
            <v>-293000.92</v>
          </cell>
          <cell r="Q46">
            <v>0</v>
          </cell>
          <cell r="R46">
            <v>0</v>
          </cell>
          <cell r="S46">
            <v>0</v>
          </cell>
          <cell r="T46">
            <v>0</v>
          </cell>
          <cell r="U46">
            <v>0</v>
          </cell>
          <cell r="V46">
            <v>0</v>
          </cell>
          <cell r="W46">
            <v>0</v>
          </cell>
          <cell r="X46">
            <v>0</v>
          </cell>
          <cell r="Y46">
            <v>-1185840.2799999998</v>
          </cell>
        </row>
        <row r="47">
          <cell r="A47" t="str">
            <v>17300</v>
          </cell>
          <cell r="B47" t="str">
            <v>Udviklingsprojekt fastpris</v>
          </cell>
          <cell r="D47" t="str">
            <v>NY</v>
          </cell>
          <cell r="F47">
            <v>0</v>
          </cell>
          <cell r="L47">
            <v>-843719.72</v>
          </cell>
          <cell r="M47">
            <v>-332492.43</v>
          </cell>
          <cell r="N47">
            <v>-332492.43</v>
          </cell>
          <cell r="O47">
            <v>153757.57</v>
          </cell>
          <cell r="P47">
            <v>-332492.43</v>
          </cell>
          <cell r="Q47">
            <v>0</v>
          </cell>
          <cell r="R47">
            <v>486250</v>
          </cell>
          <cell r="S47">
            <v>0</v>
          </cell>
          <cell r="T47">
            <v>0</v>
          </cell>
          <cell r="U47">
            <v>486250</v>
          </cell>
          <cell r="V47">
            <v>0</v>
          </cell>
          <cell r="W47">
            <v>0</v>
          </cell>
          <cell r="X47">
            <v>486250</v>
          </cell>
          <cell r="Y47">
            <v>615030.28</v>
          </cell>
        </row>
        <row r="48">
          <cell r="A48" t="str">
            <v>17400</v>
          </cell>
          <cell r="B48" t="str">
            <v>Udvikling og vedligeh. løbende</v>
          </cell>
          <cell r="D48">
            <v>17400</v>
          </cell>
          <cell r="F48">
            <v>0</v>
          </cell>
          <cell r="L48">
            <v>-32815892.759999998</v>
          </cell>
          <cell r="M48">
            <v>-9148321.9900000002</v>
          </cell>
          <cell r="N48">
            <v>-7708919.5199999996</v>
          </cell>
          <cell r="O48">
            <v>-9881253.5</v>
          </cell>
          <cell r="P48">
            <v>-6077397.75</v>
          </cell>
          <cell r="Q48">
            <v>0</v>
          </cell>
          <cell r="R48">
            <v>0</v>
          </cell>
          <cell r="S48">
            <v>0</v>
          </cell>
          <cell r="T48">
            <v>0</v>
          </cell>
          <cell r="U48">
            <v>0</v>
          </cell>
          <cell r="V48">
            <v>0</v>
          </cell>
          <cell r="W48">
            <v>0</v>
          </cell>
          <cell r="X48">
            <v>0</v>
          </cell>
          <cell r="Y48">
            <v>-32815892.759999998</v>
          </cell>
        </row>
        <row r="49">
          <cell r="A49" t="str">
            <v>17900</v>
          </cell>
          <cell r="B49" t="str">
            <v>Kompensation for vedligehold</v>
          </cell>
          <cell r="F49">
            <v>0</v>
          </cell>
          <cell r="L49">
            <v>0</v>
          </cell>
          <cell r="M49">
            <v>0</v>
          </cell>
          <cell r="N49">
            <v>0</v>
          </cell>
          <cell r="O49">
            <v>0</v>
          </cell>
          <cell r="P49">
            <v>0</v>
          </cell>
          <cell r="Q49">
            <v>0</v>
          </cell>
          <cell r="R49">
            <v>0</v>
          </cell>
          <cell r="S49">
            <v>0</v>
          </cell>
          <cell r="T49">
            <v>0</v>
          </cell>
          <cell r="U49">
            <v>0</v>
          </cell>
          <cell r="V49">
            <v>0</v>
          </cell>
          <cell r="W49">
            <v>0</v>
          </cell>
          <cell r="X49">
            <v>0</v>
          </cell>
          <cell r="Y49">
            <v>0</v>
          </cell>
        </row>
        <row r="50">
          <cell r="A50" t="str">
            <v>17998</v>
          </cell>
          <cell r="B50" t="str">
            <v>Udvikling og vedlighold. i alt</v>
          </cell>
          <cell r="D50" t="str">
            <v>NY</v>
          </cell>
          <cell r="F50">
            <v>4</v>
          </cell>
          <cell r="L50">
            <v>0</v>
          </cell>
          <cell r="M50">
            <v>0</v>
          </cell>
          <cell r="N50">
            <v>0</v>
          </cell>
          <cell r="O50">
            <v>0</v>
          </cell>
          <cell r="P50">
            <v>0</v>
          </cell>
          <cell r="Q50">
            <v>0</v>
          </cell>
          <cell r="R50">
            <v>0</v>
          </cell>
          <cell r="S50">
            <v>0</v>
          </cell>
          <cell r="T50">
            <v>0</v>
          </cell>
          <cell r="U50">
            <v>0</v>
          </cell>
          <cell r="V50">
            <v>0</v>
          </cell>
          <cell r="W50">
            <v>0</v>
          </cell>
          <cell r="X50">
            <v>0</v>
          </cell>
          <cell r="Y50">
            <v>0</v>
          </cell>
        </row>
        <row r="51">
          <cell r="A51" t="str">
            <v>17999</v>
          </cell>
          <cell r="B51" t="str">
            <v>A'conto regulering</v>
          </cell>
          <cell r="D51" t="str">
            <v>NY</v>
          </cell>
          <cell r="F51">
            <v>3</v>
          </cell>
          <cell r="L51">
            <v>0</v>
          </cell>
          <cell r="M51">
            <v>0</v>
          </cell>
          <cell r="N51">
            <v>0</v>
          </cell>
          <cell r="O51">
            <v>0</v>
          </cell>
          <cell r="P51">
            <v>0</v>
          </cell>
          <cell r="Q51">
            <v>0</v>
          </cell>
          <cell r="R51">
            <v>0</v>
          </cell>
          <cell r="S51">
            <v>0</v>
          </cell>
          <cell r="T51">
            <v>0</v>
          </cell>
          <cell r="U51">
            <v>0</v>
          </cell>
          <cell r="V51">
            <v>0</v>
          </cell>
          <cell r="W51">
            <v>0</v>
          </cell>
          <cell r="X51">
            <v>0</v>
          </cell>
          <cell r="Y51">
            <v>0</v>
          </cell>
        </row>
        <row r="52">
          <cell r="A52" t="str">
            <v>18100</v>
          </cell>
          <cell r="B52" t="str">
            <v>A'conto regulering</v>
          </cell>
          <cell r="D52">
            <v>18100</v>
          </cell>
          <cell r="F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A53" t="str">
            <v>18999</v>
          </cell>
          <cell r="B53" t="str">
            <v>A'conto regulering ialt</v>
          </cell>
          <cell r="D53">
            <v>18200</v>
          </cell>
          <cell r="F53">
            <v>4</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4">
          <cell r="A54" t="str">
            <v>19000</v>
          </cell>
          <cell r="B54" t="str">
            <v>Indtægter ialt</v>
          </cell>
          <cell r="F54">
            <v>2</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t="str">
            <v>19996</v>
          </cell>
          <cell r="F55">
            <v>3</v>
          </cell>
          <cell r="L55">
            <v>0</v>
          </cell>
          <cell r="M55">
            <v>0</v>
          </cell>
          <cell r="N55">
            <v>0</v>
          </cell>
          <cell r="O55">
            <v>0</v>
          </cell>
          <cell r="P55">
            <v>0</v>
          </cell>
          <cell r="Q55">
            <v>0</v>
          </cell>
          <cell r="R55">
            <v>0</v>
          </cell>
          <cell r="S55">
            <v>0</v>
          </cell>
          <cell r="T55">
            <v>0</v>
          </cell>
          <cell r="U55">
            <v>0</v>
          </cell>
          <cell r="V55">
            <v>0</v>
          </cell>
          <cell r="W55">
            <v>0</v>
          </cell>
          <cell r="X55">
            <v>0</v>
          </cell>
          <cell r="Y55">
            <v>0</v>
          </cell>
        </row>
        <row r="56">
          <cell r="A56" t="str">
            <v>19997</v>
          </cell>
          <cell r="B56" t="str">
            <v>Direkte omkostninger</v>
          </cell>
          <cell r="F56">
            <v>1</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t="str">
            <v>19998</v>
          </cell>
          <cell r="B57" t="str">
            <v>Direkte produktionsomkostning</v>
          </cell>
          <cell r="F57">
            <v>1</v>
          </cell>
          <cell r="L57">
            <v>0</v>
          </cell>
          <cell r="M57">
            <v>0</v>
          </cell>
          <cell r="N57">
            <v>0</v>
          </cell>
          <cell r="O57">
            <v>0</v>
          </cell>
          <cell r="P57">
            <v>0</v>
          </cell>
          <cell r="Q57">
            <v>0</v>
          </cell>
          <cell r="R57">
            <v>0</v>
          </cell>
          <cell r="S57">
            <v>0</v>
          </cell>
          <cell r="T57">
            <v>0</v>
          </cell>
          <cell r="U57">
            <v>0</v>
          </cell>
          <cell r="V57">
            <v>0</v>
          </cell>
          <cell r="W57">
            <v>0</v>
          </cell>
          <cell r="X57">
            <v>0</v>
          </cell>
          <cell r="Y57">
            <v>0</v>
          </cell>
        </row>
        <row r="58">
          <cell r="A58" t="str">
            <v>19999</v>
          </cell>
          <cell r="B58" t="str">
            <v>Hardware Centralt</v>
          </cell>
          <cell r="F58">
            <v>3</v>
          </cell>
          <cell r="L58">
            <v>0</v>
          </cell>
          <cell r="M58">
            <v>0</v>
          </cell>
          <cell r="N58">
            <v>0</v>
          </cell>
          <cell r="O58">
            <v>0</v>
          </cell>
          <cell r="P58">
            <v>0</v>
          </cell>
          <cell r="Q58">
            <v>0</v>
          </cell>
          <cell r="R58">
            <v>0</v>
          </cell>
          <cell r="S58">
            <v>0</v>
          </cell>
          <cell r="T58">
            <v>0</v>
          </cell>
          <cell r="U58">
            <v>0</v>
          </cell>
          <cell r="V58">
            <v>0</v>
          </cell>
          <cell r="W58">
            <v>0</v>
          </cell>
          <cell r="X58">
            <v>0</v>
          </cell>
          <cell r="Y58">
            <v>0</v>
          </cell>
        </row>
        <row r="59">
          <cell r="A59" t="str">
            <v>20100</v>
          </cell>
          <cell r="B59" t="str">
            <v>CPU</v>
          </cell>
          <cell r="D59" t="str">
            <v>NY</v>
          </cell>
          <cell r="F59">
            <v>0</v>
          </cell>
          <cell r="L59">
            <v>3581294.2099999995</v>
          </cell>
          <cell r="M59">
            <v>901145</v>
          </cell>
          <cell r="N59">
            <v>907902.57</v>
          </cell>
          <cell r="O59">
            <v>1210125.49</v>
          </cell>
          <cell r="P59">
            <v>562121.15</v>
          </cell>
          <cell r="Q59">
            <v>0</v>
          </cell>
          <cell r="R59">
            <v>0</v>
          </cell>
          <cell r="S59">
            <v>0</v>
          </cell>
          <cell r="T59">
            <v>0</v>
          </cell>
          <cell r="U59">
            <v>0</v>
          </cell>
          <cell r="V59">
            <v>0</v>
          </cell>
          <cell r="W59">
            <v>0</v>
          </cell>
          <cell r="X59">
            <v>0</v>
          </cell>
          <cell r="Y59">
            <v>3581294.2099999995</v>
          </cell>
        </row>
        <row r="60">
          <cell r="A60" t="str">
            <v>20150</v>
          </cell>
          <cell r="B60" t="str">
            <v>Diskleje</v>
          </cell>
          <cell r="D60" t="str">
            <v>NY</v>
          </cell>
          <cell r="F60">
            <v>0</v>
          </cell>
          <cell r="L60">
            <v>1675029.5099999998</v>
          </cell>
          <cell r="M60">
            <v>213782</v>
          </cell>
          <cell r="N60">
            <v>215385.36</v>
          </cell>
          <cell r="O60">
            <v>1009258.79</v>
          </cell>
          <cell r="P60">
            <v>236603.36</v>
          </cell>
          <cell r="Q60">
            <v>0</v>
          </cell>
          <cell r="R60">
            <v>0</v>
          </cell>
          <cell r="S60">
            <v>0</v>
          </cell>
          <cell r="T60">
            <v>0</v>
          </cell>
          <cell r="U60">
            <v>0</v>
          </cell>
          <cell r="V60">
            <v>0</v>
          </cell>
          <cell r="W60">
            <v>0</v>
          </cell>
          <cell r="X60">
            <v>0</v>
          </cell>
          <cell r="Y60">
            <v>1675029.5099999998</v>
          </cell>
        </row>
        <row r="61">
          <cell r="A61" t="str">
            <v>20200</v>
          </cell>
          <cell r="B61" t="str">
            <v>Diverse</v>
          </cell>
          <cell r="D61" t="str">
            <v>NY</v>
          </cell>
          <cell r="F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62">
          <cell r="A62" t="str">
            <v>20250</v>
          </cell>
          <cell r="B62" t="str">
            <v>Serviceaftaler</v>
          </cell>
          <cell r="D62" t="str">
            <v>NY</v>
          </cell>
          <cell r="F62">
            <v>0</v>
          </cell>
          <cell r="L62">
            <v>0</v>
          </cell>
          <cell r="M62">
            <v>0</v>
          </cell>
          <cell r="N62">
            <v>0</v>
          </cell>
          <cell r="O62">
            <v>0</v>
          </cell>
          <cell r="P62">
            <v>0</v>
          </cell>
          <cell r="Q62">
            <v>0</v>
          </cell>
          <cell r="R62">
            <v>0</v>
          </cell>
          <cell r="S62">
            <v>0</v>
          </cell>
          <cell r="T62">
            <v>0</v>
          </cell>
          <cell r="U62">
            <v>0</v>
          </cell>
          <cell r="V62">
            <v>0</v>
          </cell>
          <cell r="W62">
            <v>0</v>
          </cell>
          <cell r="X62">
            <v>0</v>
          </cell>
          <cell r="Y62">
            <v>0</v>
          </cell>
        </row>
        <row r="63">
          <cell r="A63" t="str">
            <v>20300</v>
          </cell>
          <cell r="B63" t="str">
            <v>Backup</v>
          </cell>
          <cell r="D63" t="str">
            <v>NY</v>
          </cell>
          <cell r="F63">
            <v>0</v>
          </cell>
          <cell r="L63">
            <v>484459.95</v>
          </cell>
          <cell r="M63">
            <v>0</v>
          </cell>
          <cell r="N63">
            <v>0</v>
          </cell>
          <cell r="O63">
            <v>379459.95</v>
          </cell>
          <cell r="P63">
            <v>105000</v>
          </cell>
          <cell r="Q63">
            <v>0</v>
          </cell>
          <cell r="R63">
            <v>0</v>
          </cell>
          <cell r="S63">
            <v>0</v>
          </cell>
          <cell r="T63">
            <v>0</v>
          </cell>
          <cell r="U63">
            <v>0</v>
          </cell>
          <cell r="V63">
            <v>0</v>
          </cell>
          <cell r="W63">
            <v>0</v>
          </cell>
          <cell r="X63">
            <v>0</v>
          </cell>
          <cell r="Y63">
            <v>484459.95</v>
          </cell>
        </row>
        <row r="64">
          <cell r="A64" t="str">
            <v>20498</v>
          </cell>
          <cell r="B64" t="str">
            <v>Hardware centralt ialt</v>
          </cell>
          <cell r="D64" t="str">
            <v>NY</v>
          </cell>
          <cell r="F64">
            <v>4</v>
          </cell>
          <cell r="L64">
            <v>0</v>
          </cell>
          <cell r="M64">
            <v>0</v>
          </cell>
          <cell r="N64">
            <v>0</v>
          </cell>
          <cell r="O64">
            <v>0</v>
          </cell>
          <cell r="P64">
            <v>0</v>
          </cell>
          <cell r="Q64">
            <v>0</v>
          </cell>
          <cell r="R64">
            <v>0</v>
          </cell>
          <cell r="S64">
            <v>0</v>
          </cell>
          <cell r="T64">
            <v>0</v>
          </cell>
          <cell r="U64">
            <v>0</v>
          </cell>
          <cell r="V64">
            <v>0</v>
          </cell>
          <cell r="W64">
            <v>0</v>
          </cell>
          <cell r="X64">
            <v>0</v>
          </cell>
          <cell r="Y64">
            <v>0</v>
          </cell>
        </row>
        <row r="65">
          <cell r="A65" t="str">
            <v>20499</v>
          </cell>
          <cell r="B65" t="str">
            <v>Hardware decentralt</v>
          </cell>
          <cell r="D65" t="str">
            <v>NY</v>
          </cell>
          <cell r="F65">
            <v>3</v>
          </cell>
          <cell r="L65">
            <v>0</v>
          </cell>
          <cell r="M65">
            <v>0</v>
          </cell>
          <cell r="N65">
            <v>0</v>
          </cell>
          <cell r="O65">
            <v>0</v>
          </cell>
          <cell r="P65">
            <v>0</v>
          </cell>
          <cell r="Q65">
            <v>0</v>
          </cell>
          <cell r="R65">
            <v>0</v>
          </cell>
          <cell r="S65">
            <v>0</v>
          </cell>
          <cell r="T65">
            <v>0</v>
          </cell>
          <cell r="U65">
            <v>0</v>
          </cell>
          <cell r="V65">
            <v>0</v>
          </cell>
          <cell r="W65">
            <v>0</v>
          </cell>
          <cell r="X65">
            <v>0</v>
          </cell>
          <cell r="Y65">
            <v>0</v>
          </cell>
        </row>
        <row r="66">
          <cell r="A66" t="str">
            <v>20500</v>
          </cell>
          <cell r="B66" t="str">
            <v>Platform</v>
          </cell>
          <cell r="D66" t="str">
            <v>NY</v>
          </cell>
          <cell r="F66">
            <v>0</v>
          </cell>
          <cell r="L66">
            <v>2436240.8699999996</v>
          </cell>
          <cell r="M66">
            <v>573821</v>
          </cell>
          <cell r="N66">
            <v>587796.65</v>
          </cell>
          <cell r="O66">
            <v>936988.7</v>
          </cell>
          <cell r="P66">
            <v>337634.52</v>
          </cell>
          <cell r="Q66">
            <v>0</v>
          </cell>
          <cell r="R66">
            <v>0</v>
          </cell>
          <cell r="S66">
            <v>0</v>
          </cell>
          <cell r="T66">
            <v>0</v>
          </cell>
          <cell r="U66">
            <v>0</v>
          </cell>
          <cell r="V66">
            <v>0</v>
          </cell>
          <cell r="W66">
            <v>0</v>
          </cell>
          <cell r="X66">
            <v>0</v>
          </cell>
          <cell r="Y66">
            <v>2436240.8699999996</v>
          </cell>
        </row>
        <row r="67">
          <cell r="A67" t="str">
            <v>20550</v>
          </cell>
          <cell r="B67" t="str">
            <v>Platform leasing ydelser</v>
          </cell>
          <cell r="D67" t="str">
            <v>NY</v>
          </cell>
          <cell r="F67">
            <v>0</v>
          </cell>
          <cell r="L67">
            <v>0</v>
          </cell>
          <cell r="M67">
            <v>0</v>
          </cell>
          <cell r="N67">
            <v>0</v>
          </cell>
          <cell r="O67">
            <v>0</v>
          </cell>
          <cell r="P67">
            <v>0</v>
          </cell>
          <cell r="Q67">
            <v>0</v>
          </cell>
          <cell r="R67">
            <v>0</v>
          </cell>
          <cell r="S67">
            <v>0</v>
          </cell>
          <cell r="T67">
            <v>0</v>
          </cell>
          <cell r="U67">
            <v>0</v>
          </cell>
          <cell r="V67">
            <v>0</v>
          </cell>
          <cell r="W67">
            <v>0</v>
          </cell>
          <cell r="X67">
            <v>0</v>
          </cell>
          <cell r="Y67">
            <v>0</v>
          </cell>
        </row>
        <row r="68">
          <cell r="A68" t="str">
            <v>20555</v>
          </cell>
          <cell r="B68" t="str">
            <v>Platform leasing moms ej fradr</v>
          </cell>
          <cell r="F68">
            <v>0</v>
          </cell>
          <cell r="L68">
            <v>0</v>
          </cell>
          <cell r="M68">
            <v>0</v>
          </cell>
          <cell r="N68">
            <v>0</v>
          </cell>
          <cell r="O68">
            <v>0</v>
          </cell>
          <cell r="P68">
            <v>0</v>
          </cell>
          <cell r="Q68">
            <v>0</v>
          </cell>
          <cell r="R68">
            <v>0</v>
          </cell>
          <cell r="S68">
            <v>0</v>
          </cell>
          <cell r="T68">
            <v>0</v>
          </cell>
          <cell r="U68">
            <v>0</v>
          </cell>
          <cell r="V68">
            <v>0</v>
          </cell>
          <cell r="W68">
            <v>0</v>
          </cell>
          <cell r="X68">
            <v>0</v>
          </cell>
          <cell r="Y68">
            <v>0</v>
          </cell>
        </row>
        <row r="69">
          <cell r="A69" t="str">
            <v>20560</v>
          </cell>
          <cell r="B69" t="str">
            <v>Afskrivning hardware (12.300)</v>
          </cell>
          <cell r="F69">
            <v>0</v>
          </cell>
          <cell r="L69">
            <v>83425.38</v>
          </cell>
          <cell r="M69">
            <v>21420.14</v>
          </cell>
          <cell r="N69">
            <v>21420.1</v>
          </cell>
          <cell r="O69">
            <v>20994.99</v>
          </cell>
          <cell r="P69">
            <v>19590.150000000001</v>
          </cell>
          <cell r="Q69">
            <v>0</v>
          </cell>
          <cell r="R69">
            <v>0</v>
          </cell>
          <cell r="S69">
            <v>0</v>
          </cell>
          <cell r="T69">
            <v>0</v>
          </cell>
          <cell r="U69">
            <v>0</v>
          </cell>
          <cell r="V69">
            <v>0</v>
          </cell>
          <cell r="W69">
            <v>0</v>
          </cell>
          <cell r="X69">
            <v>0</v>
          </cell>
          <cell r="Y69">
            <v>83425.38</v>
          </cell>
        </row>
        <row r="70">
          <cell r="A70" t="str">
            <v>20600</v>
          </cell>
          <cell r="B70" t="str">
            <v>Netværk</v>
          </cell>
          <cell r="D70" t="str">
            <v>NY</v>
          </cell>
          <cell r="F70">
            <v>0</v>
          </cell>
          <cell r="L70">
            <v>235608.84000000003</v>
          </cell>
          <cell r="M70">
            <v>90812.35</v>
          </cell>
          <cell r="N70">
            <v>46586.33</v>
          </cell>
          <cell r="O70">
            <v>51623.83</v>
          </cell>
          <cell r="P70">
            <v>46586.33</v>
          </cell>
          <cell r="Q70">
            <v>0</v>
          </cell>
          <cell r="R70">
            <v>0</v>
          </cell>
          <cell r="S70">
            <v>0</v>
          </cell>
          <cell r="T70">
            <v>0</v>
          </cell>
          <cell r="U70">
            <v>0</v>
          </cell>
          <cell r="V70">
            <v>0</v>
          </cell>
          <cell r="W70">
            <v>0</v>
          </cell>
          <cell r="X70">
            <v>0</v>
          </cell>
          <cell r="Y70">
            <v>235608.84000000003</v>
          </cell>
        </row>
        <row r="71">
          <cell r="A71" t="str">
            <v>20650</v>
          </cell>
          <cell r="B71" t="str">
            <v>Diverse</v>
          </cell>
          <cell r="D71" t="str">
            <v>NY</v>
          </cell>
          <cell r="F71">
            <v>0</v>
          </cell>
          <cell r="L71">
            <v>0</v>
          </cell>
          <cell r="M71">
            <v>0</v>
          </cell>
          <cell r="N71">
            <v>0</v>
          </cell>
          <cell r="O71">
            <v>0</v>
          </cell>
          <cell r="P71">
            <v>0</v>
          </cell>
          <cell r="Q71">
            <v>0</v>
          </cell>
          <cell r="R71">
            <v>0</v>
          </cell>
          <cell r="S71">
            <v>0</v>
          </cell>
          <cell r="T71">
            <v>0</v>
          </cell>
          <cell r="U71">
            <v>0</v>
          </cell>
          <cell r="V71">
            <v>0</v>
          </cell>
          <cell r="W71">
            <v>0</v>
          </cell>
          <cell r="X71">
            <v>0</v>
          </cell>
          <cell r="Y71">
            <v>0</v>
          </cell>
        </row>
        <row r="72">
          <cell r="A72" t="str">
            <v>20700</v>
          </cell>
          <cell r="B72" t="str">
            <v>Serviceaftaler</v>
          </cell>
          <cell r="D72" t="str">
            <v>NY</v>
          </cell>
          <cell r="F72">
            <v>0</v>
          </cell>
          <cell r="L72">
            <v>191380.96000000002</v>
          </cell>
          <cell r="M72">
            <v>35756.519999999997</v>
          </cell>
          <cell r="N72">
            <v>25061.599999999999</v>
          </cell>
          <cell r="O72">
            <v>92948.52</v>
          </cell>
          <cell r="P72">
            <v>37614.32</v>
          </cell>
          <cell r="Q72">
            <v>0</v>
          </cell>
          <cell r="R72">
            <v>0</v>
          </cell>
          <cell r="S72">
            <v>0</v>
          </cell>
          <cell r="T72">
            <v>0</v>
          </cell>
          <cell r="U72">
            <v>0</v>
          </cell>
          <cell r="V72">
            <v>0</v>
          </cell>
          <cell r="W72">
            <v>0</v>
          </cell>
          <cell r="X72">
            <v>0</v>
          </cell>
          <cell r="Y72">
            <v>191380.96000000002</v>
          </cell>
        </row>
        <row r="73">
          <cell r="A73" t="str">
            <v>20750</v>
          </cell>
          <cell r="B73" t="str">
            <v>Periodeafgrænsningsposter</v>
          </cell>
          <cell r="D73" t="str">
            <v>NY</v>
          </cell>
          <cell r="F73">
            <v>0</v>
          </cell>
          <cell r="L73">
            <v>0</v>
          </cell>
          <cell r="M73">
            <v>0</v>
          </cell>
          <cell r="N73">
            <v>0</v>
          </cell>
          <cell r="O73">
            <v>0</v>
          </cell>
          <cell r="P73">
            <v>0</v>
          </cell>
          <cell r="Q73">
            <v>0</v>
          </cell>
          <cell r="R73">
            <v>0</v>
          </cell>
          <cell r="S73">
            <v>0</v>
          </cell>
          <cell r="T73">
            <v>0</v>
          </cell>
          <cell r="U73">
            <v>0</v>
          </cell>
          <cell r="V73">
            <v>0</v>
          </cell>
          <cell r="W73">
            <v>0</v>
          </cell>
          <cell r="X73">
            <v>0</v>
          </cell>
          <cell r="Y73">
            <v>0</v>
          </cell>
        </row>
        <row r="74">
          <cell r="A74" t="str">
            <v>20800</v>
          </cell>
          <cell r="B74" t="str">
            <v>IP telefoni</v>
          </cell>
          <cell r="F74">
            <v>0</v>
          </cell>
          <cell r="L74">
            <v>126607.07</v>
          </cell>
          <cell r="M74">
            <v>54212.18</v>
          </cell>
          <cell r="N74">
            <v>11029.06</v>
          </cell>
          <cell r="O74">
            <v>16839.89</v>
          </cell>
          <cell r="P74">
            <v>44525.94</v>
          </cell>
          <cell r="Q74">
            <v>9716.83</v>
          </cell>
          <cell r="R74">
            <v>0</v>
          </cell>
          <cell r="S74">
            <v>0</v>
          </cell>
          <cell r="T74">
            <v>0</v>
          </cell>
          <cell r="U74">
            <v>0</v>
          </cell>
          <cell r="V74">
            <v>0</v>
          </cell>
          <cell r="W74">
            <v>0</v>
          </cell>
          <cell r="X74">
            <v>0</v>
          </cell>
          <cell r="Y74">
            <v>136323.9</v>
          </cell>
        </row>
        <row r="75">
          <cell r="A75" t="str">
            <v>20850</v>
          </cell>
          <cell r="B75" t="str">
            <v>Telefoni tilbehør</v>
          </cell>
          <cell r="F75">
            <v>0</v>
          </cell>
          <cell r="L75">
            <v>22557.59</v>
          </cell>
          <cell r="M75">
            <v>0</v>
          </cell>
          <cell r="N75">
            <v>420.37</v>
          </cell>
          <cell r="O75">
            <v>2884.83</v>
          </cell>
          <cell r="P75">
            <v>19252.39</v>
          </cell>
          <cell r="Q75">
            <v>0</v>
          </cell>
          <cell r="R75">
            <v>0</v>
          </cell>
          <cell r="S75">
            <v>0</v>
          </cell>
          <cell r="T75">
            <v>0</v>
          </cell>
          <cell r="U75">
            <v>0</v>
          </cell>
          <cell r="V75">
            <v>0</v>
          </cell>
          <cell r="W75">
            <v>0</v>
          </cell>
          <cell r="X75">
            <v>0</v>
          </cell>
          <cell r="Y75">
            <v>22557.59</v>
          </cell>
        </row>
        <row r="76">
          <cell r="A76" t="str">
            <v>20998</v>
          </cell>
          <cell r="B76" t="str">
            <v>Hardware decentralt ialt</v>
          </cell>
          <cell r="D76" t="str">
            <v>NY</v>
          </cell>
          <cell r="F76">
            <v>4</v>
          </cell>
          <cell r="L76">
            <v>0</v>
          </cell>
          <cell r="M76">
            <v>0</v>
          </cell>
          <cell r="N76">
            <v>0</v>
          </cell>
          <cell r="O76">
            <v>0</v>
          </cell>
          <cell r="P76">
            <v>0</v>
          </cell>
          <cell r="Q76">
            <v>0</v>
          </cell>
          <cell r="R76">
            <v>0</v>
          </cell>
          <cell r="S76">
            <v>0</v>
          </cell>
          <cell r="T76">
            <v>0</v>
          </cell>
          <cell r="U76">
            <v>0</v>
          </cell>
          <cell r="V76">
            <v>0</v>
          </cell>
          <cell r="W76">
            <v>0</v>
          </cell>
          <cell r="X76">
            <v>0</v>
          </cell>
          <cell r="Y76">
            <v>0</v>
          </cell>
        </row>
        <row r="77">
          <cell r="A77" t="str">
            <v>20999</v>
          </cell>
          <cell r="B77" t="str">
            <v>Software centralt</v>
          </cell>
          <cell r="D77" t="str">
            <v>NY</v>
          </cell>
          <cell r="F77">
            <v>3</v>
          </cell>
          <cell r="L77">
            <v>0</v>
          </cell>
          <cell r="M77">
            <v>0</v>
          </cell>
          <cell r="N77">
            <v>0</v>
          </cell>
          <cell r="O77">
            <v>0</v>
          </cell>
          <cell r="P77">
            <v>0</v>
          </cell>
          <cell r="Q77">
            <v>0</v>
          </cell>
          <cell r="R77">
            <v>0</v>
          </cell>
          <cell r="S77">
            <v>0</v>
          </cell>
          <cell r="T77">
            <v>0</v>
          </cell>
          <cell r="U77">
            <v>0</v>
          </cell>
          <cell r="V77">
            <v>0</v>
          </cell>
          <cell r="W77">
            <v>0</v>
          </cell>
          <cell r="X77">
            <v>0</v>
          </cell>
          <cell r="Y77">
            <v>0</v>
          </cell>
        </row>
        <row r="78">
          <cell r="A78" t="str">
            <v>21100</v>
          </cell>
          <cell r="B78" t="str">
            <v>Platform</v>
          </cell>
          <cell r="D78" t="str">
            <v>NY</v>
          </cell>
          <cell r="F78">
            <v>0</v>
          </cell>
          <cell r="L78">
            <v>5711099.1600000001</v>
          </cell>
          <cell r="M78">
            <v>1356058.16</v>
          </cell>
          <cell r="N78">
            <v>1357509</v>
          </cell>
          <cell r="O78">
            <v>1498023</v>
          </cell>
          <cell r="P78">
            <v>1499509</v>
          </cell>
          <cell r="Q78">
            <v>0</v>
          </cell>
          <cell r="R78">
            <v>0</v>
          </cell>
          <cell r="S78">
            <v>0</v>
          </cell>
          <cell r="T78">
            <v>0</v>
          </cell>
          <cell r="U78">
            <v>0</v>
          </cell>
          <cell r="V78">
            <v>0</v>
          </cell>
          <cell r="W78">
            <v>0</v>
          </cell>
          <cell r="X78">
            <v>0</v>
          </cell>
          <cell r="Y78">
            <v>5711099.1600000001</v>
          </cell>
        </row>
        <row r="79">
          <cell r="A79" t="str">
            <v>21150</v>
          </cell>
          <cell r="B79" t="str">
            <v>Udvikling</v>
          </cell>
          <cell r="D79" t="str">
            <v>NY</v>
          </cell>
          <cell r="F79">
            <v>0</v>
          </cell>
          <cell r="L79">
            <v>477246.03</v>
          </cell>
          <cell r="M79">
            <v>123097.95</v>
          </cell>
          <cell r="N79">
            <v>118049.76</v>
          </cell>
          <cell r="O79">
            <v>118049.16</v>
          </cell>
          <cell r="P79">
            <v>118049.16</v>
          </cell>
          <cell r="Q79">
            <v>0</v>
          </cell>
          <cell r="R79">
            <v>0</v>
          </cell>
          <cell r="S79">
            <v>0</v>
          </cell>
          <cell r="T79">
            <v>0</v>
          </cell>
          <cell r="U79">
            <v>0</v>
          </cell>
          <cell r="V79">
            <v>0</v>
          </cell>
          <cell r="W79">
            <v>0</v>
          </cell>
          <cell r="X79">
            <v>0</v>
          </cell>
          <cell r="Y79">
            <v>477246.03</v>
          </cell>
        </row>
        <row r="80">
          <cell r="A80" t="str">
            <v>21200</v>
          </cell>
          <cell r="B80" t="str">
            <v>Systems Management</v>
          </cell>
          <cell r="D80" t="str">
            <v>NY</v>
          </cell>
          <cell r="F80">
            <v>0</v>
          </cell>
          <cell r="L80">
            <v>0</v>
          </cell>
          <cell r="M80">
            <v>0</v>
          </cell>
          <cell r="N80">
            <v>0</v>
          </cell>
          <cell r="O80">
            <v>0</v>
          </cell>
          <cell r="P80">
            <v>0</v>
          </cell>
          <cell r="Q80">
            <v>0</v>
          </cell>
          <cell r="R80">
            <v>0</v>
          </cell>
          <cell r="S80">
            <v>0</v>
          </cell>
          <cell r="T80">
            <v>0</v>
          </cell>
          <cell r="U80">
            <v>0</v>
          </cell>
          <cell r="V80">
            <v>0</v>
          </cell>
          <cell r="W80">
            <v>0</v>
          </cell>
          <cell r="X80">
            <v>0</v>
          </cell>
          <cell r="Y80">
            <v>0</v>
          </cell>
        </row>
        <row r="81">
          <cell r="A81" t="str">
            <v>21250</v>
          </cell>
          <cell r="B81" t="str">
            <v>Diverse</v>
          </cell>
          <cell r="D81" t="str">
            <v>NY</v>
          </cell>
          <cell r="F81">
            <v>0</v>
          </cell>
          <cell r="L81">
            <v>0</v>
          </cell>
          <cell r="M81">
            <v>0</v>
          </cell>
          <cell r="N81">
            <v>0</v>
          </cell>
          <cell r="O81">
            <v>0</v>
          </cell>
          <cell r="P81">
            <v>0</v>
          </cell>
          <cell r="Q81">
            <v>0</v>
          </cell>
          <cell r="R81">
            <v>0</v>
          </cell>
          <cell r="S81">
            <v>0</v>
          </cell>
          <cell r="T81">
            <v>0</v>
          </cell>
          <cell r="U81">
            <v>0</v>
          </cell>
          <cell r="V81">
            <v>0</v>
          </cell>
          <cell r="W81">
            <v>0</v>
          </cell>
          <cell r="X81">
            <v>0</v>
          </cell>
          <cell r="Y81">
            <v>0</v>
          </cell>
        </row>
        <row r="82">
          <cell r="A82" t="str">
            <v>21298</v>
          </cell>
          <cell r="B82" t="str">
            <v>Software centralt ialt</v>
          </cell>
          <cell r="D82" t="str">
            <v>NY</v>
          </cell>
          <cell r="F82">
            <v>4</v>
          </cell>
          <cell r="L82">
            <v>0</v>
          </cell>
          <cell r="M82">
            <v>0</v>
          </cell>
          <cell r="N82">
            <v>0</v>
          </cell>
          <cell r="O82">
            <v>0</v>
          </cell>
          <cell r="P82">
            <v>0</v>
          </cell>
          <cell r="Q82">
            <v>0</v>
          </cell>
          <cell r="R82">
            <v>0</v>
          </cell>
          <cell r="S82">
            <v>0</v>
          </cell>
          <cell r="T82">
            <v>0</v>
          </cell>
          <cell r="U82">
            <v>0</v>
          </cell>
          <cell r="V82">
            <v>0</v>
          </cell>
          <cell r="W82">
            <v>0</v>
          </cell>
          <cell r="X82">
            <v>0</v>
          </cell>
          <cell r="Y82">
            <v>0</v>
          </cell>
        </row>
        <row r="83">
          <cell r="A83" t="str">
            <v>21299</v>
          </cell>
          <cell r="B83" t="str">
            <v>Software decentralt</v>
          </cell>
          <cell r="D83" t="str">
            <v>NY</v>
          </cell>
          <cell r="F83">
            <v>3</v>
          </cell>
          <cell r="L83">
            <v>0</v>
          </cell>
          <cell r="M83">
            <v>0</v>
          </cell>
          <cell r="N83">
            <v>0</v>
          </cell>
          <cell r="O83">
            <v>0</v>
          </cell>
          <cell r="P83">
            <v>0</v>
          </cell>
          <cell r="Q83">
            <v>0</v>
          </cell>
          <cell r="R83">
            <v>0</v>
          </cell>
          <cell r="S83">
            <v>0</v>
          </cell>
          <cell r="T83">
            <v>0</v>
          </cell>
          <cell r="U83">
            <v>0</v>
          </cell>
          <cell r="V83">
            <v>0</v>
          </cell>
          <cell r="W83">
            <v>0</v>
          </cell>
          <cell r="X83">
            <v>0</v>
          </cell>
          <cell r="Y83">
            <v>0</v>
          </cell>
        </row>
        <row r="84">
          <cell r="A84" t="str">
            <v>21300</v>
          </cell>
          <cell r="B84" t="str">
            <v>Udvikling</v>
          </cell>
          <cell r="D84" t="str">
            <v>NY</v>
          </cell>
          <cell r="F84">
            <v>0</v>
          </cell>
          <cell r="L84">
            <v>663644.16999999993</v>
          </cell>
          <cell r="M84">
            <v>152776.74</v>
          </cell>
          <cell r="N84">
            <v>117280.16</v>
          </cell>
          <cell r="O84">
            <v>203896.21</v>
          </cell>
          <cell r="P84">
            <v>189691.06</v>
          </cell>
          <cell r="Q84">
            <v>69927.14</v>
          </cell>
          <cell r="R84">
            <v>0</v>
          </cell>
          <cell r="S84">
            <v>0</v>
          </cell>
          <cell r="T84">
            <v>0</v>
          </cell>
          <cell r="U84">
            <v>0</v>
          </cell>
          <cell r="V84">
            <v>0</v>
          </cell>
          <cell r="W84">
            <v>0</v>
          </cell>
          <cell r="X84">
            <v>0</v>
          </cell>
          <cell r="Y84">
            <v>733571.30999999994</v>
          </cell>
        </row>
        <row r="85">
          <cell r="A85" t="str">
            <v>21350</v>
          </cell>
          <cell r="B85" t="str">
            <v>Platform</v>
          </cell>
          <cell r="D85" t="str">
            <v>NY</v>
          </cell>
          <cell r="F85">
            <v>0</v>
          </cell>
          <cell r="L85">
            <v>987541.29</v>
          </cell>
          <cell r="M85">
            <v>198960.31</v>
          </cell>
          <cell r="N85">
            <v>323370.26</v>
          </cell>
          <cell r="O85">
            <v>236101.46</v>
          </cell>
          <cell r="P85">
            <v>229109.26</v>
          </cell>
          <cell r="Q85">
            <v>977.7</v>
          </cell>
          <cell r="R85">
            <v>0</v>
          </cell>
          <cell r="S85">
            <v>0</v>
          </cell>
          <cell r="T85">
            <v>0</v>
          </cell>
          <cell r="U85">
            <v>0</v>
          </cell>
          <cell r="V85">
            <v>0</v>
          </cell>
          <cell r="W85">
            <v>0</v>
          </cell>
          <cell r="X85">
            <v>0</v>
          </cell>
          <cell r="Y85">
            <v>988518.99</v>
          </cell>
        </row>
        <row r="86">
          <cell r="A86" t="str">
            <v>21400</v>
          </cell>
          <cell r="B86" t="str">
            <v>Systems Management</v>
          </cell>
          <cell r="D86" t="str">
            <v>NY</v>
          </cell>
          <cell r="F86">
            <v>0</v>
          </cell>
          <cell r="L86">
            <v>51311.94</v>
          </cell>
          <cell r="M86">
            <v>12854</v>
          </cell>
          <cell r="N86">
            <v>12854</v>
          </cell>
          <cell r="O86">
            <v>13297.85</v>
          </cell>
          <cell r="P86">
            <v>12306.09</v>
          </cell>
          <cell r="Q86">
            <v>0</v>
          </cell>
          <cell r="R86">
            <v>0</v>
          </cell>
          <cell r="S86">
            <v>0</v>
          </cell>
          <cell r="T86">
            <v>0</v>
          </cell>
          <cell r="U86">
            <v>0</v>
          </cell>
          <cell r="V86">
            <v>0</v>
          </cell>
          <cell r="W86">
            <v>0</v>
          </cell>
          <cell r="X86">
            <v>0</v>
          </cell>
          <cell r="Y86">
            <v>51311.94</v>
          </cell>
        </row>
        <row r="87">
          <cell r="A87" t="str">
            <v>21450</v>
          </cell>
          <cell r="B87" t="str">
            <v>Netværk/sikkerhed</v>
          </cell>
          <cell r="D87" t="str">
            <v>NY</v>
          </cell>
          <cell r="F87">
            <v>0</v>
          </cell>
          <cell r="L87">
            <v>365450.12</v>
          </cell>
          <cell r="M87">
            <v>97057.39</v>
          </cell>
          <cell r="N87">
            <v>86332.03</v>
          </cell>
          <cell r="O87">
            <v>88985.96</v>
          </cell>
          <cell r="P87">
            <v>93074.74</v>
          </cell>
          <cell r="Q87">
            <v>579.30999999999995</v>
          </cell>
          <cell r="R87">
            <v>0</v>
          </cell>
          <cell r="S87">
            <v>0</v>
          </cell>
          <cell r="T87">
            <v>0</v>
          </cell>
          <cell r="U87">
            <v>0</v>
          </cell>
          <cell r="V87">
            <v>0</v>
          </cell>
          <cell r="W87">
            <v>0</v>
          </cell>
          <cell r="X87">
            <v>0</v>
          </cell>
          <cell r="Y87">
            <v>366029.43</v>
          </cell>
        </row>
        <row r="88">
          <cell r="A88" t="str">
            <v>21500</v>
          </cell>
          <cell r="B88" t="str">
            <v>Serviceaftaler</v>
          </cell>
          <cell r="D88" t="str">
            <v>NY</v>
          </cell>
          <cell r="F88">
            <v>0</v>
          </cell>
          <cell r="L88">
            <v>218047.75</v>
          </cell>
          <cell r="M88">
            <v>53102.36</v>
          </cell>
          <cell r="N88">
            <v>53151.11</v>
          </cell>
          <cell r="O88">
            <v>59650.1</v>
          </cell>
          <cell r="P88">
            <v>52144.18</v>
          </cell>
          <cell r="Q88">
            <v>1260.81</v>
          </cell>
          <cell r="R88">
            <v>0</v>
          </cell>
          <cell r="S88">
            <v>0</v>
          </cell>
          <cell r="T88">
            <v>0</v>
          </cell>
          <cell r="U88">
            <v>0</v>
          </cell>
          <cell r="V88">
            <v>0</v>
          </cell>
          <cell r="W88">
            <v>0</v>
          </cell>
          <cell r="X88">
            <v>0</v>
          </cell>
          <cell r="Y88">
            <v>219308.56</v>
          </cell>
        </row>
        <row r="89">
          <cell r="A89" t="str">
            <v>21550</v>
          </cell>
          <cell r="B89" t="str">
            <v>Administration</v>
          </cell>
          <cell r="D89" t="str">
            <v>NY</v>
          </cell>
          <cell r="F89">
            <v>0</v>
          </cell>
          <cell r="L89">
            <v>200830.05</v>
          </cell>
          <cell r="M89">
            <v>58726.97</v>
          </cell>
          <cell r="N89">
            <v>52080.43</v>
          </cell>
          <cell r="O89">
            <v>52748.76</v>
          </cell>
          <cell r="P89">
            <v>37273.89</v>
          </cell>
          <cell r="Q89">
            <v>0</v>
          </cell>
          <cell r="R89">
            <v>0</v>
          </cell>
          <cell r="S89">
            <v>0</v>
          </cell>
          <cell r="T89">
            <v>0</v>
          </cell>
          <cell r="U89">
            <v>0</v>
          </cell>
          <cell r="V89">
            <v>0</v>
          </cell>
          <cell r="W89">
            <v>0</v>
          </cell>
          <cell r="X89">
            <v>0</v>
          </cell>
          <cell r="Y89">
            <v>200830.05</v>
          </cell>
        </row>
        <row r="90">
          <cell r="A90" t="str">
            <v>21600</v>
          </cell>
          <cell r="B90" t="str">
            <v>Diverse</v>
          </cell>
          <cell r="D90" t="str">
            <v>NY</v>
          </cell>
          <cell r="F90">
            <v>0</v>
          </cell>
          <cell r="L90">
            <v>0</v>
          </cell>
          <cell r="M90">
            <v>0</v>
          </cell>
          <cell r="N90">
            <v>0</v>
          </cell>
          <cell r="O90">
            <v>0</v>
          </cell>
          <cell r="P90">
            <v>0</v>
          </cell>
          <cell r="Q90">
            <v>0</v>
          </cell>
          <cell r="R90">
            <v>0</v>
          </cell>
          <cell r="S90">
            <v>0</v>
          </cell>
          <cell r="T90">
            <v>0</v>
          </cell>
          <cell r="U90">
            <v>0</v>
          </cell>
          <cell r="V90">
            <v>0</v>
          </cell>
          <cell r="W90">
            <v>0</v>
          </cell>
          <cell r="X90">
            <v>0</v>
          </cell>
          <cell r="Y90">
            <v>0</v>
          </cell>
        </row>
        <row r="91">
          <cell r="A91" t="str">
            <v>21897</v>
          </cell>
          <cell r="B91" t="str">
            <v>Software decentralt ialt</v>
          </cell>
          <cell r="D91" t="str">
            <v>NY</v>
          </cell>
          <cell r="F91">
            <v>4</v>
          </cell>
          <cell r="L91">
            <v>0</v>
          </cell>
          <cell r="M91">
            <v>0</v>
          </cell>
          <cell r="N91">
            <v>0</v>
          </cell>
          <cell r="O91">
            <v>0</v>
          </cell>
          <cell r="P91">
            <v>0</v>
          </cell>
          <cell r="Q91">
            <v>0</v>
          </cell>
          <cell r="R91">
            <v>0</v>
          </cell>
          <cell r="S91">
            <v>0</v>
          </cell>
          <cell r="T91">
            <v>0</v>
          </cell>
          <cell r="U91">
            <v>0</v>
          </cell>
          <cell r="V91">
            <v>0</v>
          </cell>
          <cell r="W91">
            <v>0</v>
          </cell>
          <cell r="X91">
            <v>0</v>
          </cell>
          <cell r="Y91">
            <v>0</v>
          </cell>
        </row>
        <row r="92">
          <cell r="A92" t="str">
            <v>21898</v>
          </cell>
          <cell r="B92" t="str">
            <v>Forsikringer EDB</v>
          </cell>
          <cell r="D92" t="str">
            <v>NY</v>
          </cell>
          <cell r="F92">
            <v>3</v>
          </cell>
          <cell r="L92">
            <v>0</v>
          </cell>
          <cell r="M92">
            <v>0</v>
          </cell>
          <cell r="N92">
            <v>0</v>
          </cell>
          <cell r="O92">
            <v>0</v>
          </cell>
          <cell r="P92">
            <v>0</v>
          </cell>
          <cell r="Q92">
            <v>0</v>
          </cell>
          <cell r="R92">
            <v>0</v>
          </cell>
          <cell r="S92">
            <v>0</v>
          </cell>
          <cell r="T92">
            <v>0</v>
          </cell>
          <cell r="U92">
            <v>0</v>
          </cell>
          <cell r="V92">
            <v>0</v>
          </cell>
          <cell r="W92">
            <v>0</v>
          </cell>
          <cell r="X92">
            <v>0</v>
          </cell>
          <cell r="Y92">
            <v>0</v>
          </cell>
        </row>
        <row r="93">
          <cell r="A93" t="str">
            <v>21900</v>
          </cell>
          <cell r="B93" t="str">
            <v>Forsikringer EDB</v>
          </cell>
          <cell r="D93">
            <v>21100</v>
          </cell>
          <cell r="F93">
            <v>0</v>
          </cell>
          <cell r="L93">
            <v>76011.37</v>
          </cell>
          <cell r="M93">
            <v>76011.37</v>
          </cell>
          <cell r="N93">
            <v>0</v>
          </cell>
          <cell r="O93">
            <v>0</v>
          </cell>
          <cell r="P93">
            <v>0</v>
          </cell>
          <cell r="Q93">
            <v>0</v>
          </cell>
          <cell r="R93">
            <v>0</v>
          </cell>
          <cell r="S93">
            <v>0</v>
          </cell>
          <cell r="T93">
            <v>0</v>
          </cell>
          <cell r="U93">
            <v>0</v>
          </cell>
          <cell r="V93">
            <v>0</v>
          </cell>
          <cell r="W93">
            <v>0</v>
          </cell>
          <cell r="X93">
            <v>0</v>
          </cell>
          <cell r="Y93">
            <v>76011.37</v>
          </cell>
        </row>
        <row r="94">
          <cell r="A94" t="str">
            <v>21998</v>
          </cell>
          <cell r="B94" t="str">
            <v>Forsikringer EDB ialt</v>
          </cell>
          <cell r="D94" t="str">
            <v>NY</v>
          </cell>
          <cell r="F94">
            <v>4</v>
          </cell>
          <cell r="L94">
            <v>0</v>
          </cell>
          <cell r="M94">
            <v>0</v>
          </cell>
          <cell r="N94">
            <v>0</v>
          </cell>
          <cell r="O94">
            <v>0</v>
          </cell>
          <cell r="P94">
            <v>0</v>
          </cell>
          <cell r="Q94">
            <v>0</v>
          </cell>
          <cell r="R94">
            <v>0</v>
          </cell>
          <cell r="S94">
            <v>0</v>
          </cell>
          <cell r="T94">
            <v>0</v>
          </cell>
          <cell r="U94">
            <v>0</v>
          </cell>
          <cell r="V94">
            <v>0</v>
          </cell>
          <cell r="W94">
            <v>0</v>
          </cell>
          <cell r="X94">
            <v>0</v>
          </cell>
          <cell r="Y94">
            <v>0</v>
          </cell>
        </row>
        <row r="95">
          <cell r="A95" t="str">
            <v>21999</v>
          </cell>
          <cell r="B95" t="str">
            <v>Datatransmisson</v>
          </cell>
          <cell r="D95" t="str">
            <v>NY</v>
          </cell>
          <cell r="F95">
            <v>3</v>
          </cell>
          <cell r="L95">
            <v>0</v>
          </cell>
          <cell r="M95">
            <v>0</v>
          </cell>
          <cell r="N95">
            <v>0</v>
          </cell>
          <cell r="O95">
            <v>0</v>
          </cell>
          <cell r="P95">
            <v>0</v>
          </cell>
          <cell r="Q95">
            <v>0</v>
          </cell>
          <cell r="R95">
            <v>0</v>
          </cell>
          <cell r="S95">
            <v>0</v>
          </cell>
          <cell r="T95">
            <v>0</v>
          </cell>
          <cell r="U95">
            <v>0</v>
          </cell>
          <cell r="V95">
            <v>0</v>
          </cell>
          <cell r="W95">
            <v>0</v>
          </cell>
          <cell r="X95">
            <v>0</v>
          </cell>
          <cell r="Y95">
            <v>0</v>
          </cell>
        </row>
        <row r="96">
          <cell r="A96" t="str">
            <v>22100</v>
          </cell>
          <cell r="B96" t="str">
            <v>Datatransmission/TP omk.</v>
          </cell>
          <cell r="D96">
            <v>22100</v>
          </cell>
          <cell r="F96">
            <v>0</v>
          </cell>
          <cell r="L96">
            <v>343120.26999999996</v>
          </cell>
          <cell r="M96">
            <v>64296.74</v>
          </cell>
          <cell r="N96">
            <v>63139.89</v>
          </cell>
          <cell r="O96">
            <v>166822.1</v>
          </cell>
          <cell r="P96">
            <v>48861.54</v>
          </cell>
          <cell r="Q96">
            <v>7547.48</v>
          </cell>
          <cell r="R96">
            <v>0</v>
          </cell>
          <cell r="S96">
            <v>0</v>
          </cell>
          <cell r="T96">
            <v>0</v>
          </cell>
          <cell r="U96">
            <v>0</v>
          </cell>
          <cell r="V96">
            <v>0</v>
          </cell>
          <cell r="W96">
            <v>0</v>
          </cell>
          <cell r="X96">
            <v>0</v>
          </cell>
          <cell r="Y96">
            <v>350667.74999999994</v>
          </cell>
        </row>
        <row r="97">
          <cell r="A97" t="str">
            <v>22200</v>
          </cell>
          <cell r="B97" t="str">
            <v>Medarbejderbredbånd</v>
          </cell>
          <cell r="F97">
            <v>0</v>
          </cell>
          <cell r="L97">
            <v>162456.38</v>
          </cell>
          <cell r="M97">
            <v>36213.410000000003</v>
          </cell>
          <cell r="N97">
            <v>33561.5</v>
          </cell>
          <cell r="O97">
            <v>68462.11</v>
          </cell>
          <cell r="P97">
            <v>24219.360000000001</v>
          </cell>
          <cell r="Q97">
            <v>27277.43</v>
          </cell>
          <cell r="R97">
            <v>0</v>
          </cell>
          <cell r="S97">
            <v>0</v>
          </cell>
          <cell r="T97">
            <v>0</v>
          </cell>
          <cell r="U97">
            <v>0</v>
          </cell>
          <cell r="V97">
            <v>0</v>
          </cell>
          <cell r="W97">
            <v>0</v>
          </cell>
          <cell r="X97">
            <v>0</v>
          </cell>
          <cell r="Y97">
            <v>189733.81</v>
          </cell>
        </row>
        <row r="98">
          <cell r="A98" t="str">
            <v>22998</v>
          </cell>
          <cell r="B98" t="str">
            <v>Datatransmission/TP  ialt</v>
          </cell>
          <cell r="D98" t="str">
            <v>NY</v>
          </cell>
          <cell r="F98">
            <v>4</v>
          </cell>
          <cell r="L98">
            <v>0</v>
          </cell>
          <cell r="M98">
            <v>0</v>
          </cell>
          <cell r="N98">
            <v>0</v>
          </cell>
          <cell r="O98">
            <v>0</v>
          </cell>
          <cell r="P98">
            <v>0</v>
          </cell>
          <cell r="Q98">
            <v>0</v>
          </cell>
          <cell r="R98">
            <v>0</v>
          </cell>
          <cell r="S98">
            <v>0</v>
          </cell>
          <cell r="T98">
            <v>0</v>
          </cell>
          <cell r="U98">
            <v>0</v>
          </cell>
          <cell r="V98">
            <v>0</v>
          </cell>
          <cell r="W98">
            <v>0</v>
          </cell>
          <cell r="X98">
            <v>0</v>
          </cell>
          <cell r="Y98">
            <v>0</v>
          </cell>
        </row>
        <row r="99">
          <cell r="A99" t="str">
            <v>22999</v>
          </cell>
          <cell r="B99" t="str">
            <v>Drift og Teknik</v>
          </cell>
          <cell r="D99" t="str">
            <v>NY</v>
          </cell>
          <cell r="F99">
            <v>3</v>
          </cell>
          <cell r="L99">
            <v>0</v>
          </cell>
          <cell r="M99">
            <v>0</v>
          </cell>
          <cell r="N99">
            <v>0</v>
          </cell>
          <cell r="O99">
            <v>0</v>
          </cell>
          <cell r="P99">
            <v>0</v>
          </cell>
          <cell r="Q99">
            <v>0</v>
          </cell>
          <cell r="R99">
            <v>0</v>
          </cell>
          <cell r="S99">
            <v>0</v>
          </cell>
          <cell r="T99">
            <v>0</v>
          </cell>
          <cell r="U99">
            <v>0</v>
          </cell>
          <cell r="V99">
            <v>0</v>
          </cell>
          <cell r="W99">
            <v>0</v>
          </cell>
          <cell r="X99">
            <v>0</v>
          </cell>
          <cell r="Y99">
            <v>0</v>
          </cell>
        </row>
        <row r="100">
          <cell r="A100" t="str">
            <v>23100</v>
          </cell>
          <cell r="B100" t="str">
            <v>EDB tilbehør diverse</v>
          </cell>
          <cell r="D100">
            <v>23100</v>
          </cell>
          <cell r="F100">
            <v>0</v>
          </cell>
          <cell r="L100">
            <v>16097.16</v>
          </cell>
          <cell r="M100">
            <v>4188.13</v>
          </cell>
          <cell r="N100">
            <v>3734.72</v>
          </cell>
          <cell r="O100">
            <v>3929.25</v>
          </cell>
          <cell r="P100">
            <v>4245.0600000000004</v>
          </cell>
          <cell r="Q100">
            <v>0</v>
          </cell>
          <cell r="R100">
            <v>0</v>
          </cell>
          <cell r="S100">
            <v>0</v>
          </cell>
          <cell r="T100">
            <v>0</v>
          </cell>
          <cell r="U100">
            <v>0</v>
          </cell>
          <cell r="V100">
            <v>0</v>
          </cell>
          <cell r="W100">
            <v>0</v>
          </cell>
          <cell r="X100">
            <v>0</v>
          </cell>
          <cell r="Y100">
            <v>16097.16</v>
          </cell>
        </row>
        <row r="101">
          <cell r="A101" t="str">
            <v>23200</v>
          </cell>
          <cell r="B101" t="str">
            <v>Installationsomkostninger</v>
          </cell>
          <cell r="D101">
            <v>23200</v>
          </cell>
          <cell r="F101">
            <v>0</v>
          </cell>
          <cell r="L101">
            <v>10699.65</v>
          </cell>
          <cell r="M101">
            <v>0</v>
          </cell>
          <cell r="N101">
            <v>0</v>
          </cell>
          <cell r="O101">
            <v>10699.65</v>
          </cell>
          <cell r="P101">
            <v>0</v>
          </cell>
          <cell r="Q101">
            <v>0</v>
          </cell>
          <cell r="R101">
            <v>0</v>
          </cell>
          <cell r="S101">
            <v>0</v>
          </cell>
          <cell r="T101">
            <v>0</v>
          </cell>
          <cell r="U101">
            <v>0</v>
          </cell>
          <cell r="V101">
            <v>0</v>
          </cell>
          <cell r="W101">
            <v>0</v>
          </cell>
          <cell r="X101">
            <v>0</v>
          </cell>
          <cell r="Y101">
            <v>10699.65</v>
          </cell>
        </row>
        <row r="102">
          <cell r="A102" t="str">
            <v>23300</v>
          </cell>
          <cell r="B102" t="str">
            <v>Magnetbånd/disketter/toner</v>
          </cell>
          <cell r="D102">
            <v>23300</v>
          </cell>
          <cell r="F102">
            <v>0</v>
          </cell>
          <cell r="L102">
            <v>4802.2199999999993</v>
          </cell>
          <cell r="M102">
            <v>644.4</v>
          </cell>
          <cell r="N102">
            <v>0</v>
          </cell>
          <cell r="O102">
            <v>4157.82</v>
          </cell>
          <cell r="P102">
            <v>0</v>
          </cell>
          <cell r="Q102">
            <v>0</v>
          </cell>
          <cell r="R102">
            <v>0</v>
          </cell>
          <cell r="S102">
            <v>0</v>
          </cell>
          <cell r="T102">
            <v>0</v>
          </cell>
          <cell r="U102">
            <v>0</v>
          </cell>
          <cell r="V102">
            <v>0</v>
          </cell>
          <cell r="W102">
            <v>0</v>
          </cell>
          <cell r="X102">
            <v>0</v>
          </cell>
          <cell r="Y102">
            <v>4802.2199999999993</v>
          </cell>
        </row>
        <row r="103">
          <cell r="A103" t="str">
            <v>23600</v>
          </cell>
          <cell r="B103" t="str">
            <v>Manualer</v>
          </cell>
          <cell r="D103">
            <v>23600</v>
          </cell>
          <cell r="F103">
            <v>0</v>
          </cell>
          <cell r="L103">
            <v>6050.44</v>
          </cell>
          <cell r="M103">
            <v>6050.44</v>
          </cell>
          <cell r="N103">
            <v>0</v>
          </cell>
          <cell r="O103">
            <v>0</v>
          </cell>
          <cell r="P103">
            <v>0</v>
          </cell>
          <cell r="Q103">
            <v>0</v>
          </cell>
          <cell r="R103">
            <v>0</v>
          </cell>
          <cell r="S103">
            <v>0</v>
          </cell>
          <cell r="T103">
            <v>0</v>
          </cell>
          <cell r="U103">
            <v>0</v>
          </cell>
          <cell r="V103">
            <v>0</v>
          </cell>
          <cell r="W103">
            <v>0</v>
          </cell>
          <cell r="X103">
            <v>0</v>
          </cell>
          <cell r="Y103">
            <v>6050.44</v>
          </cell>
        </row>
        <row r="104">
          <cell r="A104" t="str">
            <v>23997</v>
          </cell>
          <cell r="B104" t="str">
            <v>Drift og teknik ialt</v>
          </cell>
          <cell r="F104">
            <v>4</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row>
        <row r="105">
          <cell r="A105" t="str">
            <v>23998</v>
          </cell>
          <cell r="B105" t="str">
            <v>Efterbehandling</v>
          </cell>
          <cell r="F105">
            <v>3</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row>
        <row r="106">
          <cell r="A106" t="str">
            <v>24100</v>
          </cell>
          <cell r="B106" t="str">
            <v>Printere</v>
          </cell>
          <cell r="D106">
            <v>24100</v>
          </cell>
          <cell r="F106">
            <v>0</v>
          </cell>
          <cell r="L106">
            <v>160769.76999999999</v>
          </cell>
          <cell r="M106">
            <v>12284.15</v>
          </cell>
          <cell r="N106">
            <v>63428.65</v>
          </cell>
          <cell r="O106">
            <v>30251.26</v>
          </cell>
          <cell r="P106">
            <v>54805.71</v>
          </cell>
          <cell r="Q106">
            <v>52045.48</v>
          </cell>
          <cell r="R106">
            <v>0</v>
          </cell>
          <cell r="S106">
            <v>0</v>
          </cell>
          <cell r="T106">
            <v>0</v>
          </cell>
          <cell r="U106">
            <v>0</v>
          </cell>
          <cell r="V106">
            <v>0</v>
          </cell>
          <cell r="W106">
            <v>0</v>
          </cell>
          <cell r="X106">
            <v>0</v>
          </cell>
          <cell r="Y106">
            <v>212815.25</v>
          </cell>
        </row>
        <row r="107">
          <cell r="A107" t="str">
            <v>24150</v>
          </cell>
          <cell r="B107" t="str">
            <v>Vedligeholdelse printere</v>
          </cell>
          <cell r="F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row>
        <row r="108">
          <cell r="A108" t="str">
            <v>24200</v>
          </cell>
          <cell r="B108" t="str">
            <v>Diverse efterbehandling</v>
          </cell>
          <cell r="D108">
            <v>24200</v>
          </cell>
          <cell r="F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row>
        <row r="109">
          <cell r="A109" t="str">
            <v>24300</v>
          </cell>
          <cell r="B109" t="str">
            <v>Express print</v>
          </cell>
          <cell r="D109">
            <v>24300</v>
          </cell>
          <cell r="F109">
            <v>0</v>
          </cell>
          <cell r="L109">
            <v>9220.2000000000007</v>
          </cell>
          <cell r="M109">
            <v>0</v>
          </cell>
          <cell r="N109">
            <v>0</v>
          </cell>
          <cell r="O109">
            <v>0</v>
          </cell>
          <cell r="P109">
            <v>9220.2000000000007</v>
          </cell>
          <cell r="Q109">
            <v>0</v>
          </cell>
          <cell r="R109">
            <v>0</v>
          </cell>
          <cell r="S109">
            <v>0</v>
          </cell>
          <cell r="T109">
            <v>0</v>
          </cell>
          <cell r="U109">
            <v>0</v>
          </cell>
          <cell r="V109">
            <v>0</v>
          </cell>
          <cell r="W109">
            <v>0</v>
          </cell>
          <cell r="X109">
            <v>0</v>
          </cell>
          <cell r="Y109">
            <v>9220.2000000000007</v>
          </cell>
        </row>
        <row r="110">
          <cell r="A110" t="str">
            <v>24350</v>
          </cell>
          <cell r="B110" t="str">
            <v>Leasing ydel maskiner efterbeh</v>
          </cell>
          <cell r="D110">
            <v>24350</v>
          </cell>
          <cell r="F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row>
        <row r="111">
          <cell r="A111" t="str">
            <v>24355</v>
          </cell>
          <cell r="B111" t="str">
            <v>Leasing efterbeh moms ej fradr</v>
          </cell>
          <cell r="F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t="str">
            <v>24360</v>
          </cell>
          <cell r="B112" t="str">
            <v>Afskrivning maskiner efterbeha</v>
          </cell>
          <cell r="D112">
            <v>24360</v>
          </cell>
          <cell r="F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row>
        <row r="113">
          <cell r="A113" t="str">
            <v>24400</v>
          </cell>
          <cell r="B113" t="str">
            <v>Vedligeholdelse maskiner</v>
          </cell>
          <cell r="D113">
            <v>24400</v>
          </cell>
          <cell r="F113">
            <v>0</v>
          </cell>
          <cell r="L113">
            <v>45300.520000000004</v>
          </cell>
          <cell r="M113">
            <v>936.37</v>
          </cell>
          <cell r="N113">
            <v>3209.9</v>
          </cell>
          <cell r="O113">
            <v>18700.13</v>
          </cell>
          <cell r="P113">
            <v>22454.12</v>
          </cell>
          <cell r="Q113">
            <v>0</v>
          </cell>
          <cell r="R113">
            <v>0</v>
          </cell>
          <cell r="S113">
            <v>0</v>
          </cell>
          <cell r="T113">
            <v>0</v>
          </cell>
          <cell r="U113">
            <v>0</v>
          </cell>
          <cell r="V113">
            <v>0</v>
          </cell>
          <cell r="W113">
            <v>0</v>
          </cell>
          <cell r="X113">
            <v>0</v>
          </cell>
          <cell r="Y113">
            <v>45300.520000000004</v>
          </cell>
        </row>
        <row r="114">
          <cell r="A114" t="str">
            <v>24500</v>
          </cell>
          <cell r="B114" t="str">
            <v>Renovation/makulering</v>
          </cell>
          <cell r="D114">
            <v>24500</v>
          </cell>
          <cell r="F114">
            <v>0</v>
          </cell>
          <cell r="L114">
            <v>10749.31</v>
          </cell>
          <cell r="M114">
            <v>3786.54</v>
          </cell>
          <cell r="N114">
            <v>2591.84</v>
          </cell>
          <cell r="O114">
            <v>3978.01</v>
          </cell>
          <cell r="P114">
            <v>392.92</v>
          </cell>
          <cell r="Q114">
            <v>1662.13</v>
          </cell>
          <cell r="R114">
            <v>0</v>
          </cell>
          <cell r="S114">
            <v>0</v>
          </cell>
          <cell r="T114">
            <v>0</v>
          </cell>
          <cell r="U114">
            <v>0</v>
          </cell>
          <cell r="V114">
            <v>0</v>
          </cell>
          <cell r="W114">
            <v>0</v>
          </cell>
          <cell r="X114">
            <v>0</v>
          </cell>
          <cell r="Y114">
            <v>12411.439999999999</v>
          </cell>
        </row>
        <row r="115">
          <cell r="A115" t="str">
            <v>24600</v>
          </cell>
          <cell r="B115" t="str">
            <v>Varevogn benz. rep.</v>
          </cell>
          <cell r="D115">
            <v>24600</v>
          </cell>
          <cell r="F115">
            <v>0</v>
          </cell>
          <cell r="L115">
            <v>8349.119999999999</v>
          </cell>
          <cell r="M115">
            <v>1085.99</v>
          </cell>
          <cell r="N115">
            <v>1054.31</v>
          </cell>
          <cell r="O115">
            <v>5246.94</v>
          </cell>
          <cell r="P115">
            <v>961.88</v>
          </cell>
          <cell r="Q115">
            <v>161.16</v>
          </cell>
          <cell r="R115">
            <v>0</v>
          </cell>
          <cell r="S115">
            <v>0</v>
          </cell>
          <cell r="T115">
            <v>0</v>
          </cell>
          <cell r="U115">
            <v>0</v>
          </cell>
          <cell r="V115">
            <v>0</v>
          </cell>
          <cell r="W115">
            <v>0</v>
          </cell>
          <cell r="X115">
            <v>0</v>
          </cell>
          <cell r="Y115">
            <v>8510.2799999999988</v>
          </cell>
        </row>
        <row r="116">
          <cell r="A116" t="str">
            <v>24700</v>
          </cell>
          <cell r="B116" t="str">
            <v>Varevogn forsikr., vægtafg</v>
          </cell>
          <cell r="D116">
            <v>24700</v>
          </cell>
          <cell r="F116">
            <v>0</v>
          </cell>
          <cell r="L116">
            <v>13373.97</v>
          </cell>
          <cell r="M116">
            <v>13373.97</v>
          </cell>
          <cell r="N116">
            <v>0</v>
          </cell>
          <cell r="O116">
            <v>0</v>
          </cell>
          <cell r="P116">
            <v>0</v>
          </cell>
          <cell r="Q116">
            <v>0</v>
          </cell>
          <cell r="R116">
            <v>0</v>
          </cell>
          <cell r="S116">
            <v>0</v>
          </cell>
          <cell r="T116">
            <v>0</v>
          </cell>
          <cell r="U116">
            <v>0</v>
          </cell>
          <cell r="V116">
            <v>0</v>
          </cell>
          <cell r="W116">
            <v>0</v>
          </cell>
          <cell r="X116">
            <v>0</v>
          </cell>
          <cell r="Y116">
            <v>13373.97</v>
          </cell>
        </row>
        <row r="117">
          <cell r="A117" t="str">
            <v>24800</v>
          </cell>
          <cell r="B117" t="str">
            <v>Fragt</v>
          </cell>
          <cell r="D117">
            <v>24800</v>
          </cell>
          <cell r="F117">
            <v>0</v>
          </cell>
          <cell r="L117">
            <v>17381.700000000004</v>
          </cell>
          <cell r="M117">
            <v>43824.68</v>
          </cell>
          <cell r="N117">
            <v>1283.8699999999999</v>
          </cell>
          <cell r="O117">
            <v>165.23</v>
          </cell>
          <cell r="P117">
            <v>-27892.080000000002</v>
          </cell>
          <cell r="Q117">
            <v>16884.41</v>
          </cell>
          <cell r="R117">
            <v>0</v>
          </cell>
          <cell r="S117">
            <v>0</v>
          </cell>
          <cell r="T117">
            <v>0</v>
          </cell>
          <cell r="U117">
            <v>0</v>
          </cell>
          <cell r="V117">
            <v>0</v>
          </cell>
          <cell r="W117">
            <v>0</v>
          </cell>
          <cell r="X117">
            <v>0</v>
          </cell>
          <cell r="Y117">
            <v>34266.11</v>
          </cell>
        </row>
        <row r="118">
          <cell r="A118" t="str">
            <v>24998</v>
          </cell>
          <cell r="B118" t="str">
            <v>Efterbehandlingen ialt</v>
          </cell>
          <cell r="D118" t="str">
            <v>NY</v>
          </cell>
          <cell r="F118">
            <v>4</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row>
        <row r="119">
          <cell r="A119" t="str">
            <v>25998</v>
          </cell>
          <cell r="B119" t="str">
            <v>Formularer</v>
          </cell>
          <cell r="D119" t="str">
            <v>NY</v>
          </cell>
          <cell r="F119">
            <v>3</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row>
        <row r="120">
          <cell r="A120" t="str">
            <v>26100</v>
          </cell>
          <cell r="B120" t="str">
            <v>Formularkøb</v>
          </cell>
          <cell r="D120">
            <v>26100</v>
          </cell>
          <cell r="F120">
            <v>0</v>
          </cell>
          <cell r="L120">
            <v>79284.289999999994</v>
          </cell>
          <cell r="M120">
            <v>17295.75</v>
          </cell>
          <cell r="N120">
            <v>0</v>
          </cell>
          <cell r="O120">
            <v>39891.949999999997</v>
          </cell>
          <cell r="P120">
            <v>22096.59</v>
          </cell>
          <cell r="Q120">
            <v>17424.71</v>
          </cell>
          <cell r="R120">
            <v>0</v>
          </cell>
          <cell r="S120">
            <v>0</v>
          </cell>
          <cell r="T120">
            <v>0</v>
          </cell>
          <cell r="U120">
            <v>0</v>
          </cell>
          <cell r="V120">
            <v>0</v>
          </cell>
          <cell r="W120">
            <v>0</v>
          </cell>
          <cell r="X120">
            <v>0</v>
          </cell>
          <cell r="Y120">
            <v>96709</v>
          </cell>
        </row>
        <row r="121">
          <cell r="A121" t="str">
            <v>26998</v>
          </cell>
          <cell r="B121" t="str">
            <v>Formularkøb ialt</v>
          </cell>
          <cell r="D121" t="str">
            <v>NY</v>
          </cell>
          <cell r="F121">
            <v>4</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row>
        <row r="122">
          <cell r="A122" t="str">
            <v>26999</v>
          </cell>
          <cell r="B122" t="str">
            <v>Konsulentbistand</v>
          </cell>
          <cell r="D122" t="str">
            <v>NY</v>
          </cell>
          <cell r="F122">
            <v>3</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A123" t="str">
            <v>27100</v>
          </cell>
          <cell r="B123" t="str">
            <v>Konsulentbistand</v>
          </cell>
          <cell r="D123">
            <v>27100</v>
          </cell>
          <cell r="F123">
            <v>0</v>
          </cell>
          <cell r="L123">
            <v>6114340.8999999994</v>
          </cell>
          <cell r="M123">
            <v>2230753.7000000002</v>
          </cell>
          <cell r="N123">
            <v>1961063.84</v>
          </cell>
          <cell r="O123">
            <v>1070072.56</v>
          </cell>
          <cell r="P123">
            <v>852450.8</v>
          </cell>
          <cell r="Q123">
            <v>184436.01</v>
          </cell>
          <cell r="R123">
            <v>0</v>
          </cell>
          <cell r="S123">
            <v>0</v>
          </cell>
          <cell r="T123">
            <v>0</v>
          </cell>
          <cell r="U123">
            <v>0</v>
          </cell>
          <cell r="V123">
            <v>0</v>
          </cell>
          <cell r="W123">
            <v>0</v>
          </cell>
          <cell r="X123">
            <v>0</v>
          </cell>
          <cell r="Y123">
            <v>6298776.9099999992</v>
          </cell>
        </row>
        <row r="124">
          <cell r="A124" t="str">
            <v>27200</v>
          </cell>
          <cell r="B124" t="str">
            <v>Underleverandør ifm. projekter</v>
          </cell>
          <cell r="D124" t="str">
            <v>NY</v>
          </cell>
          <cell r="F124">
            <v>0</v>
          </cell>
          <cell r="L124">
            <v>1121693.94</v>
          </cell>
          <cell r="M124">
            <v>226270.36</v>
          </cell>
          <cell r="N124">
            <v>301832.86</v>
          </cell>
          <cell r="O124">
            <v>367320.36</v>
          </cell>
          <cell r="P124">
            <v>226270.36</v>
          </cell>
          <cell r="Q124">
            <v>0</v>
          </cell>
          <cell r="R124">
            <v>0</v>
          </cell>
          <cell r="S124">
            <v>0</v>
          </cell>
          <cell r="T124">
            <v>0</v>
          </cell>
          <cell r="U124">
            <v>0</v>
          </cell>
          <cell r="V124">
            <v>0</v>
          </cell>
          <cell r="W124">
            <v>0</v>
          </cell>
          <cell r="X124">
            <v>0</v>
          </cell>
          <cell r="Y124">
            <v>1121693.94</v>
          </cell>
        </row>
        <row r="125">
          <cell r="A125" t="str">
            <v>27500</v>
          </cell>
          <cell r="B125" t="str">
            <v>Klippekort Axcess</v>
          </cell>
          <cell r="F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row>
        <row r="126">
          <cell r="A126" t="str">
            <v>27998</v>
          </cell>
          <cell r="B126" t="str">
            <v>Konsulentbistand ialt</v>
          </cell>
          <cell r="D126" t="str">
            <v>NY</v>
          </cell>
          <cell r="F126">
            <v>4</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row>
        <row r="127">
          <cell r="A127" t="str">
            <v>27999</v>
          </cell>
          <cell r="F127">
            <v>3</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row>
        <row r="128">
          <cell r="A128" t="str">
            <v>28000</v>
          </cell>
          <cell r="F128">
            <v>3</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row>
        <row r="129">
          <cell r="A129" t="str">
            <v>28100</v>
          </cell>
          <cell r="B129" t="str">
            <v>Personaleuddannelse decentralt</v>
          </cell>
          <cell r="D129">
            <v>28100</v>
          </cell>
          <cell r="F129">
            <v>0</v>
          </cell>
          <cell r="L129">
            <v>171396.41</v>
          </cell>
          <cell r="M129">
            <v>73051.83</v>
          </cell>
          <cell r="N129">
            <v>33207.83</v>
          </cell>
          <cell r="O129">
            <v>48302.879999999997</v>
          </cell>
          <cell r="P129">
            <v>16833.87</v>
          </cell>
          <cell r="Q129">
            <v>2470</v>
          </cell>
          <cell r="R129">
            <v>0</v>
          </cell>
          <cell r="S129">
            <v>0</v>
          </cell>
          <cell r="T129">
            <v>0</v>
          </cell>
          <cell r="U129">
            <v>0</v>
          </cell>
          <cell r="V129">
            <v>0</v>
          </cell>
          <cell r="W129">
            <v>0</v>
          </cell>
          <cell r="X129">
            <v>0</v>
          </cell>
          <cell r="Y129">
            <v>173866.41</v>
          </cell>
        </row>
        <row r="130">
          <cell r="A130" t="str">
            <v>28200</v>
          </cell>
          <cell r="B130" t="str">
            <v>Personaleuddannelse centralt</v>
          </cell>
          <cell r="F130">
            <v>0</v>
          </cell>
          <cell r="L130">
            <v>86294.47</v>
          </cell>
          <cell r="M130">
            <v>0</v>
          </cell>
          <cell r="N130">
            <v>0</v>
          </cell>
          <cell r="O130">
            <v>58162.25</v>
          </cell>
          <cell r="P130">
            <v>28132.22</v>
          </cell>
          <cell r="Q130">
            <v>0</v>
          </cell>
          <cell r="R130">
            <v>0</v>
          </cell>
          <cell r="S130">
            <v>0</v>
          </cell>
          <cell r="T130">
            <v>0</v>
          </cell>
          <cell r="U130">
            <v>0</v>
          </cell>
          <cell r="V130">
            <v>0</v>
          </cell>
          <cell r="W130">
            <v>0</v>
          </cell>
          <cell r="X130">
            <v>0</v>
          </cell>
          <cell r="Y130">
            <v>86294.47</v>
          </cell>
        </row>
        <row r="131">
          <cell r="A131" t="str">
            <v>28998</v>
          </cell>
          <cell r="B131" t="str">
            <v>Personaleuddannelse ialt</v>
          </cell>
          <cell r="F131">
            <v>4</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row r="132">
          <cell r="A132" t="str">
            <v>28999</v>
          </cell>
          <cell r="F132">
            <v>3</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row>
        <row r="133">
          <cell r="A133" t="str">
            <v>29050</v>
          </cell>
          <cell r="B133" t="str">
            <v>Rejseudgifter(Fly/tog)</v>
          </cell>
          <cell r="D133">
            <v>29050</v>
          </cell>
          <cell r="F133">
            <v>0</v>
          </cell>
          <cell r="L133">
            <v>78971.51999999999</v>
          </cell>
          <cell r="M133">
            <v>0</v>
          </cell>
          <cell r="N133">
            <v>0</v>
          </cell>
          <cell r="O133">
            <v>55665.52</v>
          </cell>
          <cell r="P133">
            <v>23306</v>
          </cell>
          <cell r="Q133">
            <v>0</v>
          </cell>
          <cell r="R133">
            <v>0</v>
          </cell>
          <cell r="S133">
            <v>0</v>
          </cell>
          <cell r="T133">
            <v>0</v>
          </cell>
          <cell r="U133">
            <v>0</v>
          </cell>
          <cell r="V133">
            <v>0</v>
          </cell>
          <cell r="W133">
            <v>0</v>
          </cell>
          <cell r="X133">
            <v>0</v>
          </cell>
          <cell r="Y133">
            <v>78971.51999999999</v>
          </cell>
        </row>
        <row r="134">
          <cell r="A134" t="str">
            <v>29060</v>
          </cell>
          <cell r="B134" t="str">
            <v>Hotelophold</v>
          </cell>
          <cell r="F134">
            <v>0</v>
          </cell>
          <cell r="L134">
            <v>24926.55</v>
          </cell>
          <cell r="M134">
            <v>0</v>
          </cell>
          <cell r="N134">
            <v>0</v>
          </cell>
          <cell r="O134">
            <v>17636.03</v>
          </cell>
          <cell r="P134">
            <v>7290.52</v>
          </cell>
          <cell r="Q134">
            <v>0</v>
          </cell>
          <cell r="R134">
            <v>0</v>
          </cell>
          <cell r="S134">
            <v>0</v>
          </cell>
          <cell r="T134">
            <v>0</v>
          </cell>
          <cell r="U134">
            <v>0</v>
          </cell>
          <cell r="V134">
            <v>0</v>
          </cell>
          <cell r="W134">
            <v>0</v>
          </cell>
          <cell r="X134">
            <v>0</v>
          </cell>
          <cell r="Y134">
            <v>24926.55</v>
          </cell>
        </row>
        <row r="135">
          <cell r="A135" t="str">
            <v>29070</v>
          </cell>
          <cell r="B135" t="str">
            <v>Fortæring rejser</v>
          </cell>
          <cell r="F135">
            <v>0</v>
          </cell>
          <cell r="L135">
            <v>5906.73</v>
          </cell>
          <cell r="M135">
            <v>0</v>
          </cell>
          <cell r="N135">
            <v>0</v>
          </cell>
          <cell r="O135">
            <v>3884.15</v>
          </cell>
          <cell r="P135">
            <v>2022.58</v>
          </cell>
          <cell r="Q135">
            <v>0</v>
          </cell>
          <cell r="R135">
            <v>0</v>
          </cell>
          <cell r="S135">
            <v>0</v>
          </cell>
          <cell r="T135">
            <v>0</v>
          </cell>
          <cell r="U135">
            <v>0</v>
          </cell>
          <cell r="V135">
            <v>0</v>
          </cell>
          <cell r="W135">
            <v>0</v>
          </cell>
          <cell r="X135">
            <v>0</v>
          </cell>
          <cell r="Y135">
            <v>5906.73</v>
          </cell>
        </row>
        <row r="136">
          <cell r="A136" t="str">
            <v>29080</v>
          </cell>
          <cell r="B136" t="str">
            <v>Øvrige rejseomkostninger</v>
          </cell>
          <cell r="F136">
            <v>0</v>
          </cell>
          <cell r="L136">
            <v>16955.55</v>
          </cell>
          <cell r="M136">
            <v>0</v>
          </cell>
          <cell r="N136">
            <v>0</v>
          </cell>
          <cell r="O136">
            <v>14564.88</v>
          </cell>
          <cell r="P136">
            <v>2390.67</v>
          </cell>
          <cell r="Q136">
            <v>0</v>
          </cell>
          <cell r="R136">
            <v>0</v>
          </cell>
          <cell r="S136">
            <v>0</v>
          </cell>
          <cell r="T136">
            <v>0</v>
          </cell>
          <cell r="U136">
            <v>0</v>
          </cell>
          <cell r="V136">
            <v>0</v>
          </cell>
          <cell r="W136">
            <v>0</v>
          </cell>
          <cell r="X136">
            <v>0</v>
          </cell>
          <cell r="Y136">
            <v>16955.55</v>
          </cell>
        </row>
        <row r="137">
          <cell r="A137" t="str">
            <v>29100</v>
          </cell>
          <cell r="B137" t="str">
            <v>Rejserefusion fra kunder</v>
          </cell>
          <cell r="D137">
            <v>29100</v>
          </cell>
          <cell r="F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row>
        <row r="138">
          <cell r="A138" t="str">
            <v>29150</v>
          </cell>
          <cell r="B138" t="str">
            <v>Kørselsomkostninger</v>
          </cell>
          <cell r="D138">
            <v>29150</v>
          </cell>
          <cell r="F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row>
        <row r="139">
          <cell r="A139" t="str">
            <v>29200</v>
          </cell>
          <cell r="B139" t="str">
            <v>Transportudg. taxa mv.</v>
          </cell>
          <cell r="D139">
            <v>29200</v>
          </cell>
          <cell r="F139">
            <v>0</v>
          </cell>
          <cell r="L139">
            <v>25895.909999999996</v>
          </cell>
          <cell r="M139">
            <v>3990.92</v>
          </cell>
          <cell r="N139">
            <v>5703</v>
          </cell>
          <cell r="O139">
            <v>11731.71</v>
          </cell>
          <cell r="P139">
            <v>4470.28</v>
          </cell>
          <cell r="Q139">
            <v>767</v>
          </cell>
          <cell r="R139">
            <v>0</v>
          </cell>
          <cell r="S139">
            <v>0</v>
          </cell>
          <cell r="T139">
            <v>0</v>
          </cell>
          <cell r="U139">
            <v>0</v>
          </cell>
          <cell r="V139">
            <v>0</v>
          </cell>
          <cell r="W139">
            <v>0</v>
          </cell>
          <cell r="X139">
            <v>0</v>
          </cell>
          <cell r="Y139">
            <v>26662.909999999996</v>
          </cell>
        </row>
        <row r="140">
          <cell r="A140" t="str">
            <v>29300</v>
          </cell>
          <cell r="B140" t="str">
            <v>Parkeringsafgift</v>
          </cell>
          <cell r="D140">
            <v>29300</v>
          </cell>
          <cell r="F140">
            <v>0</v>
          </cell>
          <cell r="L140">
            <v>2499.92</v>
          </cell>
          <cell r="M140">
            <v>132</v>
          </cell>
          <cell r="N140">
            <v>195.98</v>
          </cell>
          <cell r="O140">
            <v>1453.53</v>
          </cell>
          <cell r="P140">
            <v>718.41</v>
          </cell>
          <cell r="Q140">
            <v>0</v>
          </cell>
          <cell r="R140">
            <v>0</v>
          </cell>
          <cell r="S140">
            <v>0</v>
          </cell>
          <cell r="T140">
            <v>0</v>
          </cell>
          <cell r="U140">
            <v>0</v>
          </cell>
          <cell r="V140">
            <v>0</v>
          </cell>
          <cell r="W140">
            <v>0</v>
          </cell>
          <cell r="X140">
            <v>0</v>
          </cell>
          <cell r="Y140">
            <v>2499.92</v>
          </cell>
        </row>
        <row r="141">
          <cell r="A141" t="str">
            <v>29400</v>
          </cell>
          <cell r="B141" t="str">
            <v>Kørselsgodtgørelse</v>
          </cell>
          <cell r="D141">
            <v>29400</v>
          </cell>
          <cell r="F141">
            <v>0</v>
          </cell>
          <cell r="L141">
            <v>7044.54</v>
          </cell>
          <cell r="M141">
            <v>2986.29</v>
          </cell>
          <cell r="N141">
            <v>315.04000000000002</v>
          </cell>
          <cell r="O141">
            <v>3291.37</v>
          </cell>
          <cell r="P141">
            <v>451.84</v>
          </cell>
          <cell r="Q141">
            <v>0</v>
          </cell>
          <cell r="R141">
            <v>0</v>
          </cell>
          <cell r="S141">
            <v>0</v>
          </cell>
          <cell r="T141">
            <v>0</v>
          </cell>
          <cell r="U141">
            <v>0</v>
          </cell>
          <cell r="V141">
            <v>0</v>
          </cell>
          <cell r="W141">
            <v>0</v>
          </cell>
          <cell r="X141">
            <v>0</v>
          </cell>
          <cell r="Y141">
            <v>7044.54</v>
          </cell>
        </row>
        <row r="142">
          <cell r="A142" t="str">
            <v>29500</v>
          </cell>
          <cell r="B142" t="str">
            <v>Rejsegodtgørelse</v>
          </cell>
          <cell r="D142">
            <v>29500</v>
          </cell>
          <cell r="F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row>
        <row r="143">
          <cell r="A143" t="str">
            <v>29600</v>
          </cell>
          <cell r="B143" t="str">
            <v>Mødeudgifter</v>
          </cell>
          <cell r="D143">
            <v>29600</v>
          </cell>
          <cell r="F143">
            <v>0</v>
          </cell>
          <cell r="L143">
            <v>79372.62</v>
          </cell>
          <cell r="M143">
            <v>19641.95</v>
          </cell>
          <cell r="N143">
            <v>18458</v>
          </cell>
          <cell r="O143">
            <v>15499.42</v>
          </cell>
          <cell r="P143">
            <v>25773.25</v>
          </cell>
          <cell r="Q143">
            <v>112</v>
          </cell>
          <cell r="R143">
            <v>0</v>
          </cell>
          <cell r="S143">
            <v>0</v>
          </cell>
          <cell r="T143">
            <v>0</v>
          </cell>
          <cell r="U143">
            <v>0</v>
          </cell>
          <cell r="V143">
            <v>0</v>
          </cell>
          <cell r="W143">
            <v>0</v>
          </cell>
          <cell r="X143">
            <v>0</v>
          </cell>
          <cell r="Y143">
            <v>79484.62</v>
          </cell>
        </row>
        <row r="144">
          <cell r="A144" t="str">
            <v>29700</v>
          </cell>
          <cell r="B144" t="str">
            <v>Fortæring overarbejde</v>
          </cell>
          <cell r="D144">
            <v>29700</v>
          </cell>
          <cell r="F144">
            <v>0</v>
          </cell>
          <cell r="L144">
            <v>21191.75</v>
          </cell>
          <cell r="M144">
            <v>869</v>
          </cell>
          <cell r="N144">
            <v>6505.21</v>
          </cell>
          <cell r="O144">
            <v>9384.49</v>
          </cell>
          <cell r="P144">
            <v>4433.05</v>
          </cell>
          <cell r="Q144">
            <v>3175.64</v>
          </cell>
          <cell r="R144">
            <v>0</v>
          </cell>
          <cell r="S144">
            <v>0</v>
          </cell>
          <cell r="T144">
            <v>0</v>
          </cell>
          <cell r="U144">
            <v>0</v>
          </cell>
          <cell r="V144">
            <v>0</v>
          </cell>
          <cell r="W144">
            <v>0</v>
          </cell>
          <cell r="X144">
            <v>0</v>
          </cell>
          <cell r="Y144">
            <v>24367.39</v>
          </cell>
        </row>
        <row r="145">
          <cell r="A145" t="str">
            <v>29800</v>
          </cell>
          <cell r="B145" t="str">
            <v>Salgs,reklamemateriale/arr.</v>
          </cell>
          <cell r="D145">
            <v>29800</v>
          </cell>
          <cell r="F145">
            <v>0</v>
          </cell>
          <cell r="L145">
            <v>1571.7</v>
          </cell>
          <cell r="M145">
            <v>0</v>
          </cell>
          <cell r="N145">
            <v>0</v>
          </cell>
          <cell r="O145">
            <v>1571.7</v>
          </cell>
          <cell r="P145">
            <v>0</v>
          </cell>
          <cell r="Q145">
            <v>0</v>
          </cell>
          <cell r="R145">
            <v>0</v>
          </cell>
          <cell r="S145">
            <v>0</v>
          </cell>
          <cell r="T145">
            <v>0</v>
          </cell>
          <cell r="U145">
            <v>0</v>
          </cell>
          <cell r="V145">
            <v>0</v>
          </cell>
          <cell r="W145">
            <v>0</v>
          </cell>
          <cell r="X145">
            <v>0</v>
          </cell>
          <cell r="Y145">
            <v>1571.7</v>
          </cell>
        </row>
        <row r="146">
          <cell r="A146" t="str">
            <v>29997</v>
          </cell>
          <cell r="B146" t="str">
            <v>Rejser, møder m.v. ialt</v>
          </cell>
          <cell r="F146">
            <v>4</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row>
        <row r="147">
          <cell r="A147" t="str">
            <v>29998</v>
          </cell>
          <cell r="B147" t="str">
            <v>Uddannelse, salg. rejser ialt</v>
          </cell>
          <cell r="F147">
            <v>4</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row>
        <row r="148">
          <cell r="A148" t="str">
            <v>29999</v>
          </cell>
          <cell r="F148">
            <v>3</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row>
        <row r="149">
          <cell r="A149" t="str">
            <v>30100</v>
          </cell>
          <cell r="B149" t="str">
            <v>Fast gage</v>
          </cell>
          <cell r="D149">
            <v>30100</v>
          </cell>
          <cell r="F149">
            <v>0</v>
          </cell>
          <cell r="L149">
            <v>41110288</v>
          </cell>
          <cell r="M149">
            <v>10207101.34</v>
          </cell>
          <cell r="N149">
            <v>10331572.32</v>
          </cell>
          <cell r="O149">
            <v>10253991.970000001</v>
          </cell>
          <cell r="P149">
            <v>10317622.369999999</v>
          </cell>
          <cell r="Q149">
            <v>0</v>
          </cell>
          <cell r="R149">
            <v>0</v>
          </cell>
          <cell r="S149">
            <v>0</v>
          </cell>
          <cell r="T149">
            <v>0</v>
          </cell>
          <cell r="U149">
            <v>0</v>
          </cell>
          <cell r="V149">
            <v>0</v>
          </cell>
          <cell r="W149">
            <v>0</v>
          </cell>
          <cell r="X149">
            <v>0</v>
          </cell>
          <cell r="Y149">
            <v>41110288</v>
          </cell>
        </row>
        <row r="150">
          <cell r="A150" t="str">
            <v>30150</v>
          </cell>
          <cell r="B150" t="str">
            <v>Aktiverede lønomk. til projekt</v>
          </cell>
          <cell r="D150">
            <v>30150</v>
          </cell>
          <cell r="F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row>
        <row r="151">
          <cell r="A151" t="str">
            <v>30200</v>
          </cell>
          <cell r="B151" t="str">
            <v>Løntræk</v>
          </cell>
          <cell r="D151">
            <v>30200</v>
          </cell>
          <cell r="F151">
            <v>0</v>
          </cell>
          <cell r="L151">
            <v>-82023.16</v>
          </cell>
          <cell r="M151">
            <v>-56570.32</v>
          </cell>
          <cell r="N151">
            <v>-1632.84</v>
          </cell>
          <cell r="O151">
            <v>-21132.48</v>
          </cell>
          <cell r="P151">
            <v>-2687.52</v>
          </cell>
          <cell r="Q151">
            <v>0</v>
          </cell>
          <cell r="R151">
            <v>0</v>
          </cell>
          <cell r="S151">
            <v>0</v>
          </cell>
          <cell r="T151">
            <v>0</v>
          </cell>
          <cell r="U151">
            <v>0</v>
          </cell>
          <cell r="V151">
            <v>0</v>
          </cell>
          <cell r="W151">
            <v>0</v>
          </cell>
          <cell r="X151">
            <v>0</v>
          </cell>
          <cell r="Y151">
            <v>-82023.16</v>
          </cell>
        </row>
        <row r="152">
          <cell r="A152" t="str">
            <v>30250</v>
          </cell>
          <cell r="B152" t="str">
            <v>Lønrefusion komm.,DFL</v>
          </cell>
          <cell r="D152">
            <v>30250</v>
          </cell>
          <cell r="F152">
            <v>0</v>
          </cell>
          <cell r="L152">
            <v>-362328.65</v>
          </cell>
          <cell r="M152">
            <v>-59831.47</v>
          </cell>
          <cell r="N152">
            <v>-34585</v>
          </cell>
          <cell r="O152">
            <v>-164311.5</v>
          </cell>
          <cell r="P152">
            <v>-103600.68</v>
          </cell>
          <cell r="Q152">
            <v>0</v>
          </cell>
          <cell r="R152">
            <v>0</v>
          </cell>
          <cell r="S152">
            <v>0</v>
          </cell>
          <cell r="T152">
            <v>0</v>
          </cell>
          <cell r="U152">
            <v>0</v>
          </cell>
          <cell r="V152">
            <v>0</v>
          </cell>
          <cell r="W152">
            <v>0</v>
          </cell>
          <cell r="X152">
            <v>0</v>
          </cell>
          <cell r="Y152">
            <v>-362328.65</v>
          </cell>
        </row>
        <row r="153">
          <cell r="A153" t="str">
            <v>30300</v>
          </cell>
          <cell r="B153" t="str">
            <v>Timelønninger</v>
          </cell>
          <cell r="D153">
            <v>30300</v>
          </cell>
          <cell r="F153">
            <v>0</v>
          </cell>
          <cell r="L153">
            <v>24154.1</v>
          </cell>
          <cell r="M153">
            <v>6665.65</v>
          </cell>
          <cell r="N153">
            <v>5956.6</v>
          </cell>
          <cell r="O153">
            <v>7457.35</v>
          </cell>
          <cell r="P153">
            <v>4074.5</v>
          </cell>
          <cell r="Q153">
            <v>0</v>
          </cell>
          <cell r="R153">
            <v>0</v>
          </cell>
          <cell r="S153">
            <v>0</v>
          </cell>
          <cell r="T153">
            <v>0</v>
          </cell>
          <cell r="U153">
            <v>0</v>
          </cell>
          <cell r="V153">
            <v>0</v>
          </cell>
          <cell r="W153">
            <v>0</v>
          </cell>
          <cell r="X153">
            <v>0</v>
          </cell>
          <cell r="Y153">
            <v>24154.1</v>
          </cell>
        </row>
        <row r="154">
          <cell r="A154" t="str">
            <v>30350</v>
          </cell>
          <cell r="B154" t="str">
            <v>Overarbejde/Timebank</v>
          </cell>
          <cell r="D154">
            <v>30350</v>
          </cell>
          <cell r="F154">
            <v>0</v>
          </cell>
          <cell r="L154">
            <v>3314368.5100000002</v>
          </cell>
          <cell r="M154">
            <v>1476343.26</v>
          </cell>
          <cell r="N154">
            <v>1038908.77</v>
          </cell>
          <cell r="O154">
            <v>201964.71</v>
          </cell>
          <cell r="P154">
            <v>597151.77</v>
          </cell>
          <cell r="Q154">
            <v>0</v>
          </cell>
          <cell r="R154">
            <v>0</v>
          </cell>
          <cell r="S154">
            <v>0</v>
          </cell>
          <cell r="T154">
            <v>0</v>
          </cell>
          <cell r="U154">
            <v>0</v>
          </cell>
          <cell r="V154">
            <v>0</v>
          </cell>
          <cell r="W154">
            <v>0</v>
          </cell>
          <cell r="X154">
            <v>0</v>
          </cell>
          <cell r="Y154">
            <v>3314368.5100000002</v>
          </cell>
        </row>
        <row r="155">
          <cell r="A155" t="str">
            <v>30400</v>
          </cell>
          <cell r="B155" t="str">
            <v>Engangsvederlag/rejsebonus</v>
          </cell>
          <cell r="D155">
            <v>30400</v>
          </cell>
          <cell r="F155">
            <v>0</v>
          </cell>
          <cell r="L155">
            <v>103</v>
          </cell>
          <cell r="M155">
            <v>0</v>
          </cell>
          <cell r="N155">
            <v>0</v>
          </cell>
          <cell r="O155">
            <v>0</v>
          </cell>
          <cell r="P155">
            <v>103</v>
          </cell>
          <cell r="Q155">
            <v>0</v>
          </cell>
          <cell r="R155">
            <v>0</v>
          </cell>
          <cell r="S155">
            <v>0</v>
          </cell>
          <cell r="T155">
            <v>0</v>
          </cell>
          <cell r="U155">
            <v>0</v>
          </cell>
          <cell r="V155">
            <v>0</v>
          </cell>
          <cell r="W155">
            <v>0</v>
          </cell>
          <cell r="X155">
            <v>0</v>
          </cell>
          <cell r="Y155">
            <v>103</v>
          </cell>
        </row>
        <row r="156">
          <cell r="A156" t="str">
            <v>30500</v>
          </cell>
          <cell r="B156" t="str">
            <v>Skiftehold/vagttillæg</v>
          </cell>
          <cell r="D156">
            <v>30500</v>
          </cell>
          <cell r="F156">
            <v>0</v>
          </cell>
          <cell r="L156">
            <v>558525.85</v>
          </cell>
          <cell r="M156">
            <v>108807.29</v>
          </cell>
          <cell r="N156">
            <v>121695.71</v>
          </cell>
          <cell r="O156">
            <v>130787.86</v>
          </cell>
          <cell r="P156">
            <v>197234.99</v>
          </cell>
          <cell r="Q156">
            <v>0</v>
          </cell>
          <cell r="R156">
            <v>0</v>
          </cell>
          <cell r="S156">
            <v>0</v>
          </cell>
          <cell r="T156">
            <v>0</v>
          </cell>
          <cell r="U156">
            <v>0</v>
          </cell>
          <cell r="V156">
            <v>0</v>
          </cell>
          <cell r="W156">
            <v>0</v>
          </cell>
          <cell r="X156">
            <v>0</v>
          </cell>
          <cell r="Y156">
            <v>558525.85</v>
          </cell>
        </row>
        <row r="157">
          <cell r="A157" t="str">
            <v>30550</v>
          </cell>
          <cell r="B157" t="str">
            <v>Reguleringer</v>
          </cell>
          <cell r="D157">
            <v>30550</v>
          </cell>
          <cell r="F157">
            <v>0</v>
          </cell>
          <cell r="L157">
            <v>1122460</v>
          </cell>
          <cell r="M157">
            <v>1057460</v>
          </cell>
          <cell r="N157">
            <v>615000</v>
          </cell>
          <cell r="O157">
            <v>0</v>
          </cell>
          <cell r="P157">
            <v>-550000</v>
          </cell>
          <cell r="Q157">
            <v>0</v>
          </cell>
          <cell r="R157">
            <v>0</v>
          </cell>
          <cell r="S157">
            <v>0</v>
          </cell>
          <cell r="T157">
            <v>0</v>
          </cell>
          <cell r="U157">
            <v>0</v>
          </cell>
          <cell r="V157">
            <v>0</v>
          </cell>
          <cell r="W157">
            <v>0</v>
          </cell>
          <cell r="X157">
            <v>0</v>
          </cell>
          <cell r="Y157">
            <v>1122460</v>
          </cell>
        </row>
        <row r="158">
          <cell r="A158" t="str">
            <v>30600</v>
          </cell>
          <cell r="B158" t="str">
            <v>Feriepenge</v>
          </cell>
          <cell r="D158">
            <v>30600</v>
          </cell>
          <cell r="F158">
            <v>0</v>
          </cell>
          <cell r="L158">
            <v>4321246.63</v>
          </cell>
          <cell r="M158">
            <v>79771.09</v>
          </cell>
          <cell r="N158">
            <v>64844.38</v>
          </cell>
          <cell r="O158">
            <v>237658.36</v>
          </cell>
          <cell r="P158">
            <v>3938972.8</v>
          </cell>
          <cell r="Q158">
            <v>0</v>
          </cell>
          <cell r="R158">
            <v>0</v>
          </cell>
          <cell r="S158">
            <v>0</v>
          </cell>
          <cell r="T158">
            <v>0</v>
          </cell>
          <cell r="U158">
            <v>0</v>
          </cell>
          <cell r="V158">
            <v>0</v>
          </cell>
          <cell r="W158">
            <v>0</v>
          </cell>
          <cell r="X158">
            <v>0</v>
          </cell>
          <cell r="Y158">
            <v>4321246.63</v>
          </cell>
        </row>
        <row r="159">
          <cell r="A159" t="str">
            <v>30650</v>
          </cell>
          <cell r="B159" t="str">
            <v>Omsorgsdage</v>
          </cell>
          <cell r="D159">
            <v>30650</v>
          </cell>
          <cell r="F159">
            <v>0</v>
          </cell>
          <cell r="L159">
            <v>-34537.5</v>
          </cell>
          <cell r="M159">
            <v>-34537.5</v>
          </cell>
          <cell r="N159">
            <v>0</v>
          </cell>
          <cell r="O159">
            <v>0</v>
          </cell>
          <cell r="P159">
            <v>0</v>
          </cell>
          <cell r="Q159">
            <v>0</v>
          </cell>
          <cell r="R159">
            <v>0</v>
          </cell>
          <cell r="S159">
            <v>0</v>
          </cell>
          <cell r="T159">
            <v>0</v>
          </cell>
          <cell r="U159">
            <v>0</v>
          </cell>
          <cell r="V159">
            <v>0</v>
          </cell>
          <cell r="W159">
            <v>0</v>
          </cell>
          <cell r="X159">
            <v>0</v>
          </cell>
          <cell r="Y159">
            <v>-34537.5</v>
          </cell>
        </row>
        <row r="160">
          <cell r="A160" t="str">
            <v>30700</v>
          </cell>
          <cell r="B160" t="str">
            <v>Gruppeliv</v>
          </cell>
          <cell r="D160">
            <v>30700</v>
          </cell>
          <cell r="F160">
            <v>0</v>
          </cell>
          <cell r="L160">
            <v>137820.18</v>
          </cell>
          <cell r="M160">
            <v>34231.019999999997</v>
          </cell>
          <cell r="N160">
            <v>34589.46</v>
          </cell>
          <cell r="O160">
            <v>34410.239999999998</v>
          </cell>
          <cell r="P160">
            <v>34589.46</v>
          </cell>
          <cell r="Q160">
            <v>0</v>
          </cell>
          <cell r="R160">
            <v>0</v>
          </cell>
          <cell r="S160">
            <v>0</v>
          </cell>
          <cell r="T160">
            <v>0</v>
          </cell>
          <cell r="U160">
            <v>0</v>
          </cell>
          <cell r="V160">
            <v>0</v>
          </cell>
          <cell r="W160">
            <v>0</v>
          </cell>
          <cell r="X160">
            <v>0</v>
          </cell>
          <cell r="Y160">
            <v>137820.18</v>
          </cell>
        </row>
        <row r="161">
          <cell r="A161" t="str">
            <v>30800</v>
          </cell>
          <cell r="B161" t="str">
            <v>Pension</v>
          </cell>
          <cell r="D161">
            <v>30800</v>
          </cell>
          <cell r="F161">
            <v>0</v>
          </cell>
          <cell r="L161">
            <v>6661729.0300000003</v>
          </cell>
          <cell r="M161">
            <v>1708033.45</v>
          </cell>
          <cell r="N161">
            <v>1637050.75</v>
          </cell>
          <cell r="O161">
            <v>1646049.11</v>
          </cell>
          <cell r="P161">
            <v>1670595.72</v>
          </cell>
          <cell r="Q161">
            <v>0</v>
          </cell>
          <cell r="R161">
            <v>0</v>
          </cell>
          <cell r="S161">
            <v>0</v>
          </cell>
          <cell r="T161">
            <v>0</v>
          </cell>
          <cell r="U161">
            <v>0</v>
          </cell>
          <cell r="V161">
            <v>0</v>
          </cell>
          <cell r="W161">
            <v>0</v>
          </cell>
          <cell r="X161">
            <v>0</v>
          </cell>
          <cell r="Y161">
            <v>6661729.0300000003</v>
          </cell>
        </row>
        <row r="162">
          <cell r="A162" t="str">
            <v>30900</v>
          </cell>
          <cell r="B162" t="str">
            <v>Sociale ydelser ATP</v>
          </cell>
          <cell r="D162">
            <v>30900</v>
          </cell>
          <cell r="F162">
            <v>0</v>
          </cell>
          <cell r="L162">
            <v>145673.20000000001</v>
          </cell>
          <cell r="M162">
            <v>36228.949999999997</v>
          </cell>
          <cell r="N162">
            <v>36607.65</v>
          </cell>
          <cell r="O162">
            <v>36292.050000000003</v>
          </cell>
          <cell r="P162">
            <v>36544.550000000003</v>
          </cell>
          <cell r="Q162">
            <v>0</v>
          </cell>
          <cell r="R162">
            <v>0</v>
          </cell>
          <cell r="S162">
            <v>0</v>
          </cell>
          <cell r="T162">
            <v>0</v>
          </cell>
          <cell r="U162">
            <v>0</v>
          </cell>
          <cell r="V162">
            <v>0</v>
          </cell>
          <cell r="W162">
            <v>0</v>
          </cell>
          <cell r="X162">
            <v>0</v>
          </cell>
          <cell r="Y162">
            <v>145673.20000000001</v>
          </cell>
        </row>
        <row r="163">
          <cell r="A163" t="str">
            <v>30998</v>
          </cell>
          <cell r="B163" t="str">
            <v>Direkte løn, pension mv. ialt</v>
          </cell>
          <cell r="F163">
            <v>4</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row>
        <row r="164">
          <cell r="A164" t="str">
            <v>31998</v>
          </cell>
          <cell r="F164">
            <v>3</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row>
        <row r="165">
          <cell r="A165" t="str">
            <v>32000</v>
          </cell>
          <cell r="B165" t="str">
            <v>Regulering feriepenge hensæt.</v>
          </cell>
          <cell r="D165" t="str">
            <v>NY</v>
          </cell>
          <cell r="F165">
            <v>0</v>
          </cell>
          <cell r="L165">
            <v>-2735578.03</v>
          </cell>
          <cell r="M165">
            <v>310896.14</v>
          </cell>
          <cell r="N165">
            <v>325823.46999999997</v>
          </cell>
          <cell r="O165">
            <v>153008.51</v>
          </cell>
          <cell r="P165">
            <v>-3525306.15</v>
          </cell>
          <cell r="Q165">
            <v>0</v>
          </cell>
          <cell r="R165">
            <v>0</v>
          </cell>
          <cell r="S165">
            <v>0</v>
          </cell>
          <cell r="T165">
            <v>0</v>
          </cell>
          <cell r="U165">
            <v>0</v>
          </cell>
          <cell r="V165">
            <v>0</v>
          </cell>
          <cell r="W165">
            <v>0</v>
          </cell>
          <cell r="X165">
            <v>0</v>
          </cell>
          <cell r="Y165">
            <v>-2735578.03</v>
          </cell>
        </row>
        <row r="166">
          <cell r="A166" t="str">
            <v>32010</v>
          </cell>
          <cell r="B166" t="str">
            <v>Regulering overarbejde hensæt.</v>
          </cell>
          <cell r="D166" t="str">
            <v>NY</v>
          </cell>
          <cell r="F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row>
        <row r="167">
          <cell r="A167" t="str">
            <v>32999</v>
          </cell>
          <cell r="B167" t="str">
            <v>Regulering hensættelser ialt</v>
          </cell>
          <cell r="F167">
            <v>4</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row>
        <row r="168">
          <cell r="A168" t="str">
            <v>34996</v>
          </cell>
          <cell r="B168" t="str">
            <v>Administrationsomkostninger</v>
          </cell>
          <cell r="F168">
            <v>1</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row>
        <row r="169">
          <cell r="A169" t="str">
            <v>34999</v>
          </cell>
          <cell r="F169">
            <v>3</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row>
        <row r="170">
          <cell r="A170" t="str">
            <v>35100</v>
          </cell>
          <cell r="B170" t="str">
            <v>Kontorartikler</v>
          </cell>
          <cell r="D170">
            <v>35100</v>
          </cell>
          <cell r="F170">
            <v>0</v>
          </cell>
          <cell r="L170">
            <v>8035.08</v>
          </cell>
          <cell r="M170">
            <v>2781.89</v>
          </cell>
          <cell r="N170">
            <v>3016.45</v>
          </cell>
          <cell r="O170">
            <v>2188.38</v>
          </cell>
          <cell r="P170">
            <v>48.36</v>
          </cell>
          <cell r="Q170">
            <v>806.04</v>
          </cell>
          <cell r="R170">
            <v>0</v>
          </cell>
          <cell r="S170">
            <v>0</v>
          </cell>
          <cell r="T170">
            <v>0</v>
          </cell>
          <cell r="U170">
            <v>0</v>
          </cell>
          <cell r="V170">
            <v>0</v>
          </cell>
          <cell r="W170">
            <v>0</v>
          </cell>
          <cell r="X170">
            <v>0</v>
          </cell>
          <cell r="Y170">
            <v>8841.119999999999</v>
          </cell>
        </row>
        <row r="171">
          <cell r="A171" t="str">
            <v>35200</v>
          </cell>
          <cell r="B171" t="str">
            <v>Småanskaffelser u/12.300,- kr</v>
          </cell>
          <cell r="D171">
            <v>35200</v>
          </cell>
          <cell r="F171">
            <v>0</v>
          </cell>
          <cell r="L171">
            <v>32287.08</v>
          </cell>
          <cell r="M171">
            <v>18553.189999999999</v>
          </cell>
          <cell r="N171">
            <v>772.27</v>
          </cell>
          <cell r="O171">
            <v>11256.83</v>
          </cell>
          <cell r="P171">
            <v>1704.79</v>
          </cell>
          <cell r="Q171">
            <v>1861.05</v>
          </cell>
          <cell r="R171">
            <v>0</v>
          </cell>
          <cell r="S171">
            <v>0</v>
          </cell>
          <cell r="T171">
            <v>0</v>
          </cell>
          <cell r="U171">
            <v>0</v>
          </cell>
          <cell r="V171">
            <v>0</v>
          </cell>
          <cell r="W171">
            <v>0</v>
          </cell>
          <cell r="X171">
            <v>0</v>
          </cell>
          <cell r="Y171">
            <v>34148.130000000005</v>
          </cell>
        </row>
        <row r="172">
          <cell r="A172" t="str">
            <v>35300</v>
          </cell>
          <cell r="B172" t="str">
            <v>Vedligeholdelse inventar-</v>
          </cell>
          <cell r="D172">
            <v>35300</v>
          </cell>
          <cell r="F172">
            <v>0</v>
          </cell>
          <cell r="L172">
            <v>32935.68</v>
          </cell>
          <cell r="M172">
            <v>10949.77</v>
          </cell>
          <cell r="N172">
            <v>6445.06</v>
          </cell>
          <cell r="O172">
            <v>8213.2199999999993</v>
          </cell>
          <cell r="P172">
            <v>7327.63</v>
          </cell>
          <cell r="Q172">
            <v>0</v>
          </cell>
          <cell r="R172">
            <v>0</v>
          </cell>
          <cell r="S172">
            <v>0</v>
          </cell>
          <cell r="T172">
            <v>0</v>
          </cell>
          <cell r="U172">
            <v>0</v>
          </cell>
          <cell r="V172">
            <v>0</v>
          </cell>
          <cell r="W172">
            <v>0</v>
          </cell>
          <cell r="X172">
            <v>0</v>
          </cell>
          <cell r="Y172">
            <v>32935.68</v>
          </cell>
        </row>
        <row r="173">
          <cell r="A173" t="str">
            <v>35350</v>
          </cell>
          <cell r="B173" t="str">
            <v>Leasing og pasning automater</v>
          </cell>
          <cell r="D173">
            <v>35350</v>
          </cell>
          <cell r="F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row>
        <row r="174">
          <cell r="A174" t="str">
            <v>35400</v>
          </cell>
          <cell r="B174" t="str">
            <v>Porto</v>
          </cell>
          <cell r="D174">
            <v>35400</v>
          </cell>
          <cell r="F174">
            <v>0</v>
          </cell>
          <cell r="L174">
            <v>595.75</v>
          </cell>
          <cell r="M174">
            <v>77</v>
          </cell>
          <cell r="N174">
            <v>119.75</v>
          </cell>
          <cell r="O174">
            <v>70</v>
          </cell>
          <cell r="P174">
            <v>329</v>
          </cell>
          <cell r="Q174">
            <v>297.95</v>
          </cell>
          <cell r="R174">
            <v>0</v>
          </cell>
          <cell r="S174">
            <v>0</v>
          </cell>
          <cell r="T174">
            <v>0</v>
          </cell>
          <cell r="U174">
            <v>0</v>
          </cell>
          <cell r="V174">
            <v>0</v>
          </cell>
          <cell r="W174">
            <v>0</v>
          </cell>
          <cell r="X174">
            <v>0</v>
          </cell>
          <cell r="Y174">
            <v>893.7</v>
          </cell>
        </row>
        <row r="175">
          <cell r="A175" t="str">
            <v>35500</v>
          </cell>
          <cell r="B175" t="str">
            <v>Telefon, fastnet</v>
          </cell>
          <cell r="D175">
            <v>35500</v>
          </cell>
          <cell r="F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row>
        <row r="176">
          <cell r="A176" t="str">
            <v>35550</v>
          </cell>
          <cell r="B176" t="str">
            <v>Telefon, mobil</v>
          </cell>
          <cell r="D176" t="str">
            <v>NY</v>
          </cell>
          <cell r="F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row>
        <row r="177">
          <cell r="A177" t="str">
            <v>35600</v>
          </cell>
          <cell r="B177" t="str">
            <v>Fotokopiering</v>
          </cell>
          <cell r="D177">
            <v>35600</v>
          </cell>
          <cell r="F177">
            <v>0</v>
          </cell>
          <cell r="L177">
            <v>4183.01</v>
          </cell>
          <cell r="M177">
            <v>4183.01</v>
          </cell>
          <cell r="N177">
            <v>0</v>
          </cell>
          <cell r="O177">
            <v>0</v>
          </cell>
          <cell r="P177">
            <v>0</v>
          </cell>
          <cell r="Q177">
            <v>0</v>
          </cell>
          <cell r="R177">
            <v>0</v>
          </cell>
          <cell r="S177">
            <v>0</v>
          </cell>
          <cell r="T177">
            <v>0</v>
          </cell>
          <cell r="U177">
            <v>0</v>
          </cell>
          <cell r="V177">
            <v>0</v>
          </cell>
          <cell r="W177">
            <v>0</v>
          </cell>
          <cell r="X177">
            <v>0</v>
          </cell>
          <cell r="Y177">
            <v>4183.01</v>
          </cell>
        </row>
        <row r="178">
          <cell r="A178" t="str">
            <v>35700</v>
          </cell>
          <cell r="B178" t="str">
            <v>Rengøring</v>
          </cell>
          <cell r="D178">
            <v>35700</v>
          </cell>
          <cell r="F178">
            <v>0</v>
          </cell>
          <cell r="L178">
            <v>283042.91000000003</v>
          </cell>
          <cell r="M178">
            <v>71701.23</v>
          </cell>
          <cell r="N178">
            <v>70339.09</v>
          </cell>
          <cell r="O178">
            <v>70339.09</v>
          </cell>
          <cell r="P178">
            <v>70663.5</v>
          </cell>
          <cell r="Q178">
            <v>0</v>
          </cell>
          <cell r="R178">
            <v>0</v>
          </cell>
          <cell r="S178">
            <v>0</v>
          </cell>
          <cell r="T178">
            <v>0</v>
          </cell>
          <cell r="U178">
            <v>0</v>
          </cell>
          <cell r="V178">
            <v>0</v>
          </cell>
          <cell r="W178">
            <v>0</v>
          </cell>
          <cell r="X178">
            <v>0</v>
          </cell>
          <cell r="Y178">
            <v>283042.91000000003</v>
          </cell>
        </row>
        <row r="179">
          <cell r="A179" t="str">
            <v>35750</v>
          </cell>
          <cell r="B179" t="str">
            <v>Hygiejne</v>
          </cell>
          <cell r="D179" t="str">
            <v>NY</v>
          </cell>
          <cell r="F179">
            <v>0</v>
          </cell>
          <cell r="L179">
            <v>26738.989999999998</v>
          </cell>
          <cell r="M179">
            <v>7106.74</v>
          </cell>
          <cell r="N179">
            <v>9578.58</v>
          </cell>
          <cell r="O179">
            <v>0</v>
          </cell>
          <cell r="P179">
            <v>10053.67</v>
          </cell>
          <cell r="Q179">
            <v>0</v>
          </cell>
          <cell r="R179">
            <v>0</v>
          </cell>
          <cell r="S179">
            <v>0</v>
          </cell>
          <cell r="T179">
            <v>0</v>
          </cell>
          <cell r="U179">
            <v>0</v>
          </cell>
          <cell r="V179">
            <v>0</v>
          </cell>
          <cell r="W179">
            <v>0</v>
          </cell>
          <cell r="X179">
            <v>0</v>
          </cell>
          <cell r="Y179">
            <v>26738.989999999998</v>
          </cell>
        </row>
        <row r="180">
          <cell r="A180" t="str">
            <v>35800</v>
          </cell>
          <cell r="B180" t="str">
            <v>Tidsskrifter fagblade mv</v>
          </cell>
          <cell r="D180">
            <v>35800</v>
          </cell>
          <cell r="F180">
            <v>0</v>
          </cell>
          <cell r="L180">
            <v>4904.3500000000004</v>
          </cell>
          <cell r="M180">
            <v>1348.46</v>
          </cell>
          <cell r="N180">
            <v>1550.97</v>
          </cell>
          <cell r="O180">
            <v>498.71</v>
          </cell>
          <cell r="P180">
            <v>1506.21</v>
          </cell>
          <cell r="Q180">
            <v>0</v>
          </cell>
          <cell r="R180">
            <v>0</v>
          </cell>
          <cell r="S180">
            <v>0</v>
          </cell>
          <cell r="T180">
            <v>0</v>
          </cell>
          <cell r="U180">
            <v>0</v>
          </cell>
          <cell r="V180">
            <v>0</v>
          </cell>
          <cell r="W180">
            <v>0</v>
          </cell>
          <cell r="X180">
            <v>0</v>
          </cell>
          <cell r="Y180">
            <v>4904.3500000000004</v>
          </cell>
        </row>
        <row r="181">
          <cell r="A181" t="str">
            <v>35900</v>
          </cell>
          <cell r="B181" t="str">
            <v>Kontingenter</v>
          </cell>
          <cell r="D181">
            <v>35900</v>
          </cell>
          <cell r="F181">
            <v>0</v>
          </cell>
          <cell r="L181">
            <v>7145.66</v>
          </cell>
          <cell r="M181">
            <v>1703</v>
          </cell>
          <cell r="N181">
            <v>3687.45</v>
          </cell>
          <cell r="O181">
            <v>223</v>
          </cell>
          <cell r="P181">
            <v>1532.21</v>
          </cell>
          <cell r="Q181">
            <v>0</v>
          </cell>
          <cell r="R181">
            <v>0</v>
          </cell>
          <cell r="S181">
            <v>0</v>
          </cell>
          <cell r="T181">
            <v>0</v>
          </cell>
          <cell r="U181">
            <v>0</v>
          </cell>
          <cell r="V181">
            <v>0</v>
          </cell>
          <cell r="W181">
            <v>0</v>
          </cell>
          <cell r="X181">
            <v>0</v>
          </cell>
          <cell r="Y181">
            <v>7145.66</v>
          </cell>
        </row>
        <row r="182">
          <cell r="A182" t="str">
            <v>36100</v>
          </cell>
          <cell r="B182" t="str">
            <v>Forsikringer kontor/personale</v>
          </cell>
          <cell r="D182">
            <v>36100</v>
          </cell>
          <cell r="F182">
            <v>0</v>
          </cell>
          <cell r="L182">
            <v>1463198.7999999998</v>
          </cell>
          <cell r="M182">
            <v>391995.4</v>
          </cell>
          <cell r="N182">
            <v>507884.31</v>
          </cell>
          <cell r="O182">
            <v>0</v>
          </cell>
          <cell r="P182">
            <v>563319.09</v>
          </cell>
          <cell r="Q182">
            <v>0</v>
          </cell>
          <cell r="R182">
            <v>0</v>
          </cell>
          <cell r="S182">
            <v>0</v>
          </cell>
          <cell r="T182">
            <v>0</v>
          </cell>
          <cell r="U182">
            <v>0</v>
          </cell>
          <cell r="V182">
            <v>0</v>
          </cell>
          <cell r="W182">
            <v>0</v>
          </cell>
          <cell r="X182">
            <v>0</v>
          </cell>
          <cell r="Y182">
            <v>1463198.7999999998</v>
          </cell>
        </row>
        <row r="183">
          <cell r="A183" t="str">
            <v>36200</v>
          </cell>
          <cell r="B183" t="str">
            <v>Annoncer</v>
          </cell>
          <cell r="D183">
            <v>36200</v>
          </cell>
          <cell r="F183">
            <v>0</v>
          </cell>
          <cell r="L183">
            <v>100170.68</v>
          </cell>
          <cell r="M183">
            <v>0</v>
          </cell>
          <cell r="N183">
            <v>88589.47</v>
          </cell>
          <cell r="O183">
            <v>11581.21</v>
          </cell>
          <cell r="P183">
            <v>0</v>
          </cell>
          <cell r="Q183">
            <v>0</v>
          </cell>
          <cell r="R183">
            <v>0</v>
          </cell>
          <cell r="S183">
            <v>0</v>
          </cell>
          <cell r="T183">
            <v>0</v>
          </cell>
          <cell r="U183">
            <v>0</v>
          </cell>
          <cell r="V183">
            <v>0</v>
          </cell>
          <cell r="W183">
            <v>0</v>
          </cell>
          <cell r="X183">
            <v>0</v>
          </cell>
          <cell r="Y183">
            <v>100170.68</v>
          </cell>
        </row>
        <row r="184">
          <cell r="A184" t="str">
            <v>36300</v>
          </cell>
          <cell r="B184" t="str">
            <v>Diverse organi./velgørenhed</v>
          </cell>
          <cell r="D184">
            <v>36300</v>
          </cell>
          <cell r="F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row>
        <row r="185">
          <cell r="A185" t="str">
            <v>36500</v>
          </cell>
          <cell r="B185" t="str">
            <v>Multiløn</v>
          </cell>
          <cell r="D185">
            <v>36500</v>
          </cell>
          <cell r="F185">
            <v>0</v>
          </cell>
          <cell r="L185">
            <v>28609.629999999997</v>
          </cell>
          <cell r="M185">
            <v>6580.87</v>
          </cell>
          <cell r="N185">
            <v>7371.93</v>
          </cell>
          <cell r="O185">
            <v>6834.41</v>
          </cell>
          <cell r="P185">
            <v>7822.42</v>
          </cell>
          <cell r="Q185">
            <v>0</v>
          </cell>
          <cell r="R185">
            <v>0</v>
          </cell>
          <cell r="S185">
            <v>0</v>
          </cell>
          <cell r="T185">
            <v>0</v>
          </cell>
          <cell r="U185">
            <v>0</v>
          </cell>
          <cell r="V185">
            <v>0</v>
          </cell>
          <cell r="W185">
            <v>0</v>
          </cell>
          <cell r="X185">
            <v>0</v>
          </cell>
          <cell r="Y185">
            <v>28609.629999999997</v>
          </cell>
        </row>
        <row r="186">
          <cell r="A186" t="str">
            <v>36600</v>
          </cell>
          <cell r="B186" t="str">
            <v>Mødeudgifter</v>
          </cell>
          <cell r="D186">
            <v>36600</v>
          </cell>
          <cell r="F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row>
        <row r="187">
          <cell r="A187" t="str">
            <v>36700</v>
          </cell>
          <cell r="B187" t="str">
            <v>Kassedifferencer</v>
          </cell>
          <cell r="D187">
            <v>36700</v>
          </cell>
          <cell r="F187">
            <v>0</v>
          </cell>
          <cell r="L187">
            <v>1.9999999999999997E-2</v>
          </cell>
          <cell r="M187">
            <v>0</v>
          </cell>
          <cell r="N187">
            <v>0.03</v>
          </cell>
          <cell r="O187">
            <v>-0.04</v>
          </cell>
          <cell r="P187">
            <v>0.03</v>
          </cell>
          <cell r="Q187">
            <v>0.08</v>
          </cell>
          <cell r="R187">
            <v>0</v>
          </cell>
          <cell r="S187">
            <v>0</v>
          </cell>
          <cell r="T187">
            <v>0</v>
          </cell>
          <cell r="U187">
            <v>0</v>
          </cell>
          <cell r="V187">
            <v>0</v>
          </cell>
          <cell r="W187">
            <v>0</v>
          </cell>
          <cell r="X187">
            <v>0</v>
          </cell>
          <cell r="Y187">
            <v>0.1</v>
          </cell>
        </row>
        <row r="188">
          <cell r="A188" t="str">
            <v>36998</v>
          </cell>
          <cell r="B188" t="str">
            <v>Kontoromkostninger ialt</v>
          </cell>
          <cell r="F188">
            <v>4</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row>
        <row r="189">
          <cell r="A189" t="str">
            <v>36999</v>
          </cell>
          <cell r="F189">
            <v>3</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row>
        <row r="190">
          <cell r="A190" t="str">
            <v>37100</v>
          </cell>
          <cell r="B190" t="str">
            <v>Revision</v>
          </cell>
          <cell r="D190">
            <v>37100</v>
          </cell>
          <cell r="F190">
            <v>0</v>
          </cell>
          <cell r="L190">
            <v>90649.22</v>
          </cell>
          <cell r="M190">
            <v>0</v>
          </cell>
          <cell r="N190">
            <v>0</v>
          </cell>
          <cell r="O190">
            <v>190649.22</v>
          </cell>
          <cell r="P190">
            <v>-100000</v>
          </cell>
          <cell r="Q190">
            <v>0</v>
          </cell>
          <cell r="R190">
            <v>0</v>
          </cell>
          <cell r="S190">
            <v>0</v>
          </cell>
          <cell r="T190">
            <v>0</v>
          </cell>
          <cell r="U190">
            <v>0</v>
          </cell>
          <cell r="V190">
            <v>0</v>
          </cell>
          <cell r="W190">
            <v>0</v>
          </cell>
          <cell r="X190">
            <v>0</v>
          </cell>
          <cell r="Y190">
            <v>90649.22</v>
          </cell>
        </row>
        <row r="191">
          <cell r="A191" t="str">
            <v>37200</v>
          </cell>
          <cell r="B191" t="str">
            <v>Revision sikkerhed</v>
          </cell>
          <cell r="D191">
            <v>37200</v>
          </cell>
          <cell r="F191">
            <v>0</v>
          </cell>
          <cell r="L191">
            <v>161200</v>
          </cell>
          <cell r="M191">
            <v>0</v>
          </cell>
          <cell r="N191">
            <v>161200</v>
          </cell>
          <cell r="O191">
            <v>0</v>
          </cell>
          <cell r="P191">
            <v>0</v>
          </cell>
          <cell r="Q191">
            <v>0</v>
          </cell>
          <cell r="R191">
            <v>0</v>
          </cell>
          <cell r="S191">
            <v>0</v>
          </cell>
          <cell r="T191">
            <v>0</v>
          </cell>
          <cell r="U191">
            <v>0</v>
          </cell>
          <cell r="V191">
            <v>0</v>
          </cell>
          <cell r="W191">
            <v>0</v>
          </cell>
          <cell r="X191">
            <v>0</v>
          </cell>
          <cell r="Y191">
            <v>161200</v>
          </cell>
        </row>
        <row r="192">
          <cell r="A192" t="str">
            <v>37300</v>
          </cell>
          <cell r="B192" t="str">
            <v>Advokatomkostninger</v>
          </cell>
          <cell r="D192">
            <v>37300</v>
          </cell>
          <cell r="F192">
            <v>0</v>
          </cell>
          <cell r="L192">
            <v>125320.93</v>
          </cell>
          <cell r="M192">
            <v>41580.14</v>
          </cell>
          <cell r="N192">
            <v>70547</v>
          </cell>
          <cell r="O192">
            <v>9919.42</v>
          </cell>
          <cell r="P192">
            <v>3274.37</v>
          </cell>
          <cell r="Q192">
            <v>0</v>
          </cell>
          <cell r="R192">
            <v>0</v>
          </cell>
          <cell r="S192">
            <v>0</v>
          </cell>
          <cell r="T192">
            <v>0</v>
          </cell>
          <cell r="U192">
            <v>0</v>
          </cell>
          <cell r="V192">
            <v>0</v>
          </cell>
          <cell r="W192">
            <v>0</v>
          </cell>
          <cell r="X192">
            <v>0</v>
          </cell>
          <cell r="Y192">
            <v>125320.93</v>
          </cell>
        </row>
        <row r="193">
          <cell r="A193" t="str">
            <v>37400</v>
          </cell>
          <cell r="B193" t="str">
            <v>Anden konsulentbistand</v>
          </cell>
          <cell r="D193">
            <v>37400</v>
          </cell>
          <cell r="F193">
            <v>0</v>
          </cell>
          <cell r="L193">
            <v>485618.87</v>
          </cell>
          <cell r="M193">
            <v>223413.12</v>
          </cell>
          <cell r="N193">
            <v>102743.17</v>
          </cell>
          <cell r="O193">
            <v>174127.89</v>
          </cell>
          <cell r="P193">
            <v>-14665.31</v>
          </cell>
          <cell r="Q193">
            <v>55009.5</v>
          </cell>
          <cell r="R193">
            <v>0</v>
          </cell>
          <cell r="S193">
            <v>0</v>
          </cell>
          <cell r="T193">
            <v>0</v>
          </cell>
          <cell r="U193">
            <v>0</v>
          </cell>
          <cell r="V193">
            <v>0</v>
          </cell>
          <cell r="W193">
            <v>0</v>
          </cell>
          <cell r="X193">
            <v>0</v>
          </cell>
          <cell r="Y193">
            <v>540628.37</v>
          </cell>
        </row>
        <row r="194">
          <cell r="A194" t="str">
            <v>37997</v>
          </cell>
          <cell r="B194" t="str">
            <v>Revision og konsulentbistand i</v>
          </cell>
          <cell r="F194">
            <v>4</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37999</v>
          </cell>
          <cell r="F195">
            <v>3</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38100</v>
          </cell>
          <cell r="B196" t="str">
            <v>Bildrift personale</v>
          </cell>
          <cell r="D196">
            <v>38100</v>
          </cell>
          <cell r="F196">
            <v>0</v>
          </cell>
          <cell r="L196">
            <v>25580.22</v>
          </cell>
          <cell r="M196">
            <v>26405.72</v>
          </cell>
          <cell r="N196">
            <v>-8681.09</v>
          </cell>
          <cell r="O196">
            <v>2536.2800000000002</v>
          </cell>
          <cell r="P196">
            <v>5319.31</v>
          </cell>
          <cell r="Q196">
            <v>3426.79</v>
          </cell>
          <cell r="R196">
            <v>0</v>
          </cell>
          <cell r="S196">
            <v>0</v>
          </cell>
          <cell r="T196">
            <v>0</v>
          </cell>
          <cell r="U196">
            <v>0</v>
          </cell>
          <cell r="V196">
            <v>0</v>
          </cell>
          <cell r="W196">
            <v>0</v>
          </cell>
          <cell r="X196">
            <v>0</v>
          </cell>
          <cell r="Y196">
            <v>29007.010000000002</v>
          </cell>
        </row>
        <row r="197">
          <cell r="A197" t="str">
            <v>38150</v>
          </cell>
          <cell r="B197" t="str">
            <v>Leasing bil</v>
          </cell>
          <cell r="F197">
            <v>0</v>
          </cell>
          <cell r="L197">
            <v>25763.53</v>
          </cell>
          <cell r="M197">
            <v>6442.66</v>
          </cell>
          <cell r="N197">
            <v>6443.66</v>
          </cell>
          <cell r="O197">
            <v>6438.92</v>
          </cell>
          <cell r="P197">
            <v>6438.29</v>
          </cell>
          <cell r="Q197">
            <v>0</v>
          </cell>
          <cell r="R197">
            <v>0</v>
          </cell>
          <cell r="S197">
            <v>0</v>
          </cell>
          <cell r="T197">
            <v>0</v>
          </cell>
          <cell r="U197">
            <v>0</v>
          </cell>
          <cell r="V197">
            <v>0</v>
          </cell>
          <cell r="W197">
            <v>0</v>
          </cell>
          <cell r="X197">
            <v>0</v>
          </cell>
          <cell r="Y197">
            <v>25763.53</v>
          </cell>
        </row>
        <row r="198">
          <cell r="A198" t="str">
            <v>38200</v>
          </cell>
          <cell r="B198" t="str">
            <v>Telefon personale</v>
          </cell>
          <cell r="D198">
            <v>38200</v>
          </cell>
          <cell r="F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row>
        <row r="199">
          <cell r="A199" t="str">
            <v>38300</v>
          </cell>
          <cell r="B199" t="str">
            <v>Personaleklubber Idræt/Vinklub</v>
          </cell>
          <cell r="D199">
            <v>38300</v>
          </cell>
          <cell r="F199">
            <v>0</v>
          </cell>
          <cell r="L199">
            <v>38100</v>
          </cell>
          <cell r="M199">
            <v>0</v>
          </cell>
          <cell r="N199">
            <v>0</v>
          </cell>
          <cell r="O199">
            <v>37800</v>
          </cell>
          <cell r="P199">
            <v>300</v>
          </cell>
          <cell r="Q199">
            <v>0</v>
          </cell>
          <cell r="R199">
            <v>0</v>
          </cell>
          <cell r="S199">
            <v>0</v>
          </cell>
          <cell r="T199">
            <v>0</v>
          </cell>
          <cell r="U199">
            <v>0</v>
          </cell>
          <cell r="V199">
            <v>0</v>
          </cell>
          <cell r="W199">
            <v>0</v>
          </cell>
          <cell r="X199">
            <v>0</v>
          </cell>
          <cell r="Y199">
            <v>38100</v>
          </cell>
        </row>
        <row r="200">
          <cell r="A200" t="str">
            <v>38400</v>
          </cell>
          <cell r="B200" t="str">
            <v>Personalekaffe</v>
          </cell>
          <cell r="D200">
            <v>38400</v>
          </cell>
          <cell r="F200">
            <v>0</v>
          </cell>
          <cell r="L200">
            <v>233154.87</v>
          </cell>
          <cell r="M200">
            <v>53122.58</v>
          </cell>
          <cell r="N200">
            <v>54447.19</v>
          </cell>
          <cell r="O200">
            <v>75585.100000000006</v>
          </cell>
          <cell r="P200">
            <v>50000</v>
          </cell>
          <cell r="Q200">
            <v>0</v>
          </cell>
          <cell r="R200">
            <v>0</v>
          </cell>
          <cell r="S200">
            <v>0</v>
          </cell>
          <cell r="T200">
            <v>0</v>
          </cell>
          <cell r="U200">
            <v>0</v>
          </cell>
          <cell r="V200">
            <v>0</v>
          </cell>
          <cell r="W200">
            <v>0</v>
          </cell>
          <cell r="X200">
            <v>0</v>
          </cell>
          <cell r="Y200">
            <v>233154.87</v>
          </cell>
        </row>
        <row r="201">
          <cell r="A201" t="str">
            <v>38500</v>
          </cell>
          <cell r="B201" t="str">
            <v>Jubilæer</v>
          </cell>
          <cell r="D201">
            <v>38500</v>
          </cell>
          <cell r="F201">
            <v>0</v>
          </cell>
          <cell r="L201">
            <v>2772.66</v>
          </cell>
          <cell r="M201">
            <v>650</v>
          </cell>
          <cell r="N201">
            <v>0</v>
          </cell>
          <cell r="O201">
            <v>717.41</v>
          </cell>
          <cell r="P201">
            <v>1405.25</v>
          </cell>
          <cell r="Q201">
            <v>0</v>
          </cell>
          <cell r="R201">
            <v>0</v>
          </cell>
          <cell r="S201">
            <v>0</v>
          </cell>
          <cell r="T201">
            <v>0</v>
          </cell>
          <cell r="U201">
            <v>0</v>
          </cell>
          <cell r="V201">
            <v>0</v>
          </cell>
          <cell r="W201">
            <v>0</v>
          </cell>
          <cell r="X201">
            <v>0</v>
          </cell>
          <cell r="Y201">
            <v>2772.66</v>
          </cell>
        </row>
        <row r="202">
          <cell r="A202" t="str">
            <v>38550</v>
          </cell>
          <cell r="B202" t="str">
            <v>Aviser</v>
          </cell>
          <cell r="D202" t="str">
            <v>NY</v>
          </cell>
          <cell r="F202">
            <v>0</v>
          </cell>
          <cell r="L202">
            <v>93115.28</v>
          </cell>
          <cell r="M202">
            <v>50966.78</v>
          </cell>
          <cell r="N202">
            <v>47907.5</v>
          </cell>
          <cell r="O202">
            <v>-5759</v>
          </cell>
          <cell r="P202">
            <v>0</v>
          </cell>
          <cell r="Q202">
            <v>0</v>
          </cell>
          <cell r="R202">
            <v>0</v>
          </cell>
          <cell r="S202">
            <v>0</v>
          </cell>
          <cell r="T202">
            <v>0</v>
          </cell>
          <cell r="U202">
            <v>0</v>
          </cell>
          <cell r="V202">
            <v>0</v>
          </cell>
          <cell r="W202">
            <v>0</v>
          </cell>
          <cell r="X202">
            <v>0</v>
          </cell>
          <cell r="Y202">
            <v>93115.28</v>
          </cell>
        </row>
        <row r="203">
          <cell r="A203" t="str">
            <v>38600</v>
          </cell>
          <cell r="B203" t="str">
            <v>Andre personaleomkostninger</v>
          </cell>
          <cell r="D203">
            <v>38600</v>
          </cell>
          <cell r="F203">
            <v>0</v>
          </cell>
          <cell r="L203">
            <v>30989.47</v>
          </cell>
          <cell r="M203">
            <v>685</v>
          </cell>
          <cell r="N203">
            <v>585</v>
          </cell>
          <cell r="O203">
            <v>29134.47</v>
          </cell>
          <cell r="P203">
            <v>585</v>
          </cell>
          <cell r="Q203">
            <v>585</v>
          </cell>
          <cell r="R203">
            <v>0</v>
          </cell>
          <cell r="S203">
            <v>0</v>
          </cell>
          <cell r="T203">
            <v>0</v>
          </cell>
          <cell r="U203">
            <v>0</v>
          </cell>
          <cell r="V203">
            <v>0</v>
          </cell>
          <cell r="W203">
            <v>0</v>
          </cell>
          <cell r="X203">
            <v>0</v>
          </cell>
          <cell r="Y203">
            <v>31574.47</v>
          </cell>
        </row>
        <row r="204">
          <cell r="A204" t="str">
            <v>38998</v>
          </cell>
          <cell r="B204" t="str">
            <v>Personaleomkostninger ialt</v>
          </cell>
          <cell r="F204">
            <v>4</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row>
        <row r="205">
          <cell r="A205" t="str">
            <v>38999</v>
          </cell>
          <cell r="F205">
            <v>3</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row>
        <row r="206">
          <cell r="A206" t="str">
            <v>39100</v>
          </cell>
          <cell r="B206" t="str">
            <v>ATP Refusion</v>
          </cell>
          <cell r="D206">
            <v>39100</v>
          </cell>
          <cell r="F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row>
        <row r="207">
          <cell r="A207" t="str">
            <v>39200</v>
          </cell>
          <cell r="B207" t="str">
            <v>Finansieringsbidrag</v>
          </cell>
          <cell r="D207">
            <v>39200</v>
          </cell>
          <cell r="F207">
            <v>0</v>
          </cell>
          <cell r="L207">
            <v>32678.44</v>
          </cell>
          <cell r="M207">
            <v>0</v>
          </cell>
          <cell r="N207">
            <v>0</v>
          </cell>
          <cell r="O207">
            <v>32678.44</v>
          </cell>
          <cell r="P207">
            <v>0</v>
          </cell>
          <cell r="Q207">
            <v>0</v>
          </cell>
          <cell r="R207">
            <v>0</v>
          </cell>
          <cell r="S207">
            <v>0</v>
          </cell>
          <cell r="T207">
            <v>0</v>
          </cell>
          <cell r="U207">
            <v>0</v>
          </cell>
          <cell r="V207">
            <v>0</v>
          </cell>
          <cell r="W207">
            <v>0</v>
          </cell>
          <cell r="X207">
            <v>0</v>
          </cell>
          <cell r="Y207">
            <v>32678.44</v>
          </cell>
        </row>
        <row r="208">
          <cell r="A208" t="str">
            <v>39250</v>
          </cell>
          <cell r="B208" t="str">
            <v>Barselsfond</v>
          </cell>
          <cell r="D208">
            <v>39250</v>
          </cell>
          <cell r="F208">
            <v>0</v>
          </cell>
          <cell r="L208">
            <v>39915</v>
          </cell>
          <cell r="M208">
            <v>0</v>
          </cell>
          <cell r="N208">
            <v>0</v>
          </cell>
          <cell r="O208">
            <v>39915</v>
          </cell>
          <cell r="P208">
            <v>0</v>
          </cell>
          <cell r="Q208">
            <v>0</v>
          </cell>
          <cell r="R208">
            <v>0</v>
          </cell>
          <cell r="S208">
            <v>0</v>
          </cell>
          <cell r="T208">
            <v>0</v>
          </cell>
          <cell r="U208">
            <v>0</v>
          </cell>
          <cell r="V208">
            <v>0</v>
          </cell>
          <cell r="W208">
            <v>0</v>
          </cell>
          <cell r="X208">
            <v>0</v>
          </cell>
          <cell r="Y208">
            <v>39915</v>
          </cell>
        </row>
        <row r="209">
          <cell r="A209" t="str">
            <v>39300</v>
          </cell>
          <cell r="B209" t="str">
            <v>AUB arbm. udd. bidrag og AES</v>
          </cell>
          <cell r="D209">
            <v>39300</v>
          </cell>
          <cell r="F209">
            <v>0</v>
          </cell>
          <cell r="L209">
            <v>156687.51999999999</v>
          </cell>
          <cell r="M209">
            <v>0</v>
          </cell>
          <cell r="N209">
            <v>0</v>
          </cell>
          <cell r="O209">
            <v>156687.51999999999</v>
          </cell>
          <cell r="P209">
            <v>0</v>
          </cell>
          <cell r="Q209">
            <v>0</v>
          </cell>
          <cell r="R209">
            <v>0</v>
          </cell>
          <cell r="S209">
            <v>0</v>
          </cell>
          <cell r="T209">
            <v>0</v>
          </cell>
          <cell r="U209">
            <v>0</v>
          </cell>
          <cell r="V209">
            <v>0</v>
          </cell>
          <cell r="W209">
            <v>0</v>
          </cell>
          <cell r="X209">
            <v>0</v>
          </cell>
          <cell r="Y209">
            <v>156687.51999999999</v>
          </cell>
        </row>
        <row r="210">
          <cell r="A210" t="str">
            <v>39400</v>
          </cell>
          <cell r="B210" t="str">
            <v>Overenskomstbestemte fonde mv.</v>
          </cell>
          <cell r="D210">
            <v>39400</v>
          </cell>
          <cell r="F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row>
        <row r="211">
          <cell r="A211" t="str">
            <v>39500</v>
          </cell>
          <cell r="B211" t="str">
            <v>Arbejdsmiljøafgift</v>
          </cell>
          <cell r="D211">
            <v>39500</v>
          </cell>
          <cell r="F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row>
        <row r="212">
          <cell r="A212" t="str">
            <v>39600</v>
          </cell>
          <cell r="B212" t="str">
            <v>Lønsumsafgift</v>
          </cell>
          <cell r="F212">
            <v>0</v>
          </cell>
          <cell r="L212">
            <v>100000</v>
          </cell>
          <cell r="M212">
            <v>50000</v>
          </cell>
          <cell r="N212">
            <v>0</v>
          </cell>
          <cell r="O212">
            <v>0</v>
          </cell>
          <cell r="P212">
            <v>50000</v>
          </cell>
          <cell r="Q212">
            <v>0</v>
          </cell>
          <cell r="R212">
            <v>0</v>
          </cell>
          <cell r="S212">
            <v>0</v>
          </cell>
          <cell r="T212">
            <v>0</v>
          </cell>
          <cell r="U212">
            <v>0</v>
          </cell>
          <cell r="V212">
            <v>0</v>
          </cell>
          <cell r="W212">
            <v>0</v>
          </cell>
          <cell r="X212">
            <v>0</v>
          </cell>
          <cell r="Y212">
            <v>100000</v>
          </cell>
        </row>
        <row r="213">
          <cell r="A213" t="str">
            <v>39998</v>
          </cell>
          <cell r="B213" t="str">
            <v>ATP mv ialt</v>
          </cell>
          <cell r="F213">
            <v>4</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row>
        <row r="214">
          <cell r="A214" t="str">
            <v>39999</v>
          </cell>
          <cell r="F214">
            <v>3</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row>
        <row r="215">
          <cell r="A215" t="str">
            <v>40100</v>
          </cell>
          <cell r="B215" t="str">
            <v>Restauration</v>
          </cell>
          <cell r="D215">
            <v>40100</v>
          </cell>
          <cell r="F215">
            <v>0</v>
          </cell>
          <cell r="L215">
            <v>12928.689999999999</v>
          </cell>
          <cell r="M215">
            <v>0</v>
          </cell>
          <cell r="N215">
            <v>0</v>
          </cell>
          <cell r="O215">
            <v>8527.0499999999993</v>
          </cell>
          <cell r="P215">
            <v>4401.6400000000003</v>
          </cell>
          <cell r="Q215">
            <v>0</v>
          </cell>
          <cell r="R215">
            <v>0</v>
          </cell>
          <cell r="S215">
            <v>0</v>
          </cell>
          <cell r="T215">
            <v>0</v>
          </cell>
          <cell r="U215">
            <v>0</v>
          </cell>
          <cell r="V215">
            <v>0</v>
          </cell>
          <cell r="W215">
            <v>0</v>
          </cell>
          <cell r="X215">
            <v>0</v>
          </cell>
          <cell r="Y215">
            <v>12928.689999999999</v>
          </cell>
        </row>
        <row r="216">
          <cell r="A216" t="str">
            <v>40200</v>
          </cell>
          <cell r="B216" t="str">
            <v>Gaver, blomster</v>
          </cell>
          <cell r="D216">
            <v>40200</v>
          </cell>
          <cell r="F216">
            <v>0</v>
          </cell>
          <cell r="L216">
            <v>9616.18</v>
          </cell>
          <cell r="M216">
            <v>4031.25</v>
          </cell>
          <cell r="N216">
            <v>0</v>
          </cell>
          <cell r="O216">
            <v>1861.63</v>
          </cell>
          <cell r="P216">
            <v>3723.3</v>
          </cell>
          <cell r="Q216">
            <v>11250</v>
          </cell>
          <cell r="R216">
            <v>0</v>
          </cell>
          <cell r="S216">
            <v>0</v>
          </cell>
          <cell r="T216">
            <v>0</v>
          </cell>
          <cell r="U216">
            <v>0</v>
          </cell>
          <cell r="V216">
            <v>0</v>
          </cell>
          <cell r="W216">
            <v>0</v>
          </cell>
          <cell r="X216">
            <v>0</v>
          </cell>
          <cell r="Y216">
            <v>20866.18</v>
          </cell>
        </row>
        <row r="217">
          <cell r="A217" t="str">
            <v>40998</v>
          </cell>
          <cell r="B217" t="str">
            <v>Repræsentation ialt</v>
          </cell>
          <cell r="F217">
            <v>4</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row>
        <row r="218">
          <cell r="A218" t="str">
            <v>40999</v>
          </cell>
          <cell r="F218">
            <v>3</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row>
        <row r="219">
          <cell r="A219" t="str">
            <v>41100</v>
          </cell>
          <cell r="B219" t="str">
            <v>Husleje</v>
          </cell>
          <cell r="D219">
            <v>41100</v>
          </cell>
          <cell r="F219">
            <v>0</v>
          </cell>
          <cell r="L219">
            <v>3219463.11</v>
          </cell>
          <cell r="M219">
            <v>801881</v>
          </cell>
          <cell r="N219">
            <v>801881</v>
          </cell>
          <cell r="O219">
            <v>801881.01</v>
          </cell>
          <cell r="P219">
            <v>813820.1</v>
          </cell>
          <cell r="Q219">
            <v>0</v>
          </cell>
          <cell r="R219">
            <v>0</v>
          </cell>
          <cell r="S219">
            <v>0</v>
          </cell>
          <cell r="T219">
            <v>0</v>
          </cell>
          <cell r="U219">
            <v>0</v>
          </cell>
          <cell r="V219">
            <v>0</v>
          </cell>
          <cell r="W219">
            <v>0</v>
          </cell>
          <cell r="X219">
            <v>0</v>
          </cell>
          <cell r="Y219">
            <v>3219463.11</v>
          </cell>
        </row>
        <row r="220">
          <cell r="A220" t="str">
            <v>41150</v>
          </cell>
          <cell r="B220" t="str">
            <v>Indgået husleje</v>
          </cell>
          <cell r="D220">
            <v>41150</v>
          </cell>
          <cell r="F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row>
        <row r="221">
          <cell r="A221" t="str">
            <v>41200</v>
          </cell>
          <cell r="B221" t="str">
            <v>Varme</v>
          </cell>
          <cell r="D221">
            <v>41200</v>
          </cell>
          <cell r="F221">
            <v>0</v>
          </cell>
          <cell r="L221">
            <v>337082.32999999996</v>
          </cell>
          <cell r="M221">
            <v>83958</v>
          </cell>
          <cell r="N221">
            <v>83958</v>
          </cell>
          <cell r="O221">
            <v>85832.99</v>
          </cell>
          <cell r="P221">
            <v>83333.34</v>
          </cell>
          <cell r="Q221">
            <v>0</v>
          </cell>
          <cell r="R221">
            <v>0</v>
          </cell>
          <cell r="S221">
            <v>0</v>
          </cell>
          <cell r="T221">
            <v>0</v>
          </cell>
          <cell r="U221">
            <v>0</v>
          </cell>
          <cell r="V221">
            <v>0</v>
          </cell>
          <cell r="W221">
            <v>0</v>
          </cell>
          <cell r="X221">
            <v>0</v>
          </cell>
          <cell r="Y221">
            <v>337082.32999999996</v>
          </cell>
        </row>
        <row r="222">
          <cell r="A222" t="str">
            <v>41300</v>
          </cell>
          <cell r="B222" t="str">
            <v>Fællesudgifter</v>
          </cell>
          <cell r="D222">
            <v>41300</v>
          </cell>
          <cell r="F222">
            <v>0</v>
          </cell>
          <cell r="L222">
            <v>640460.6</v>
          </cell>
          <cell r="M222">
            <v>159520</v>
          </cell>
          <cell r="N222">
            <v>159520</v>
          </cell>
          <cell r="O222">
            <v>163082.5</v>
          </cell>
          <cell r="P222">
            <v>158338.1</v>
          </cell>
          <cell r="Q222">
            <v>0</v>
          </cell>
          <cell r="R222">
            <v>0</v>
          </cell>
          <cell r="S222">
            <v>0</v>
          </cell>
          <cell r="T222">
            <v>0</v>
          </cell>
          <cell r="U222">
            <v>0</v>
          </cell>
          <cell r="V222">
            <v>0</v>
          </cell>
          <cell r="W222">
            <v>0</v>
          </cell>
          <cell r="X222">
            <v>0</v>
          </cell>
          <cell r="Y222">
            <v>640460.6</v>
          </cell>
        </row>
        <row r="223">
          <cell r="A223" t="str">
            <v>41400</v>
          </cell>
          <cell r="B223" t="str">
            <v>El</v>
          </cell>
          <cell r="D223">
            <v>41400</v>
          </cell>
          <cell r="F223">
            <v>0</v>
          </cell>
          <cell r="L223">
            <v>246267.08000000002</v>
          </cell>
          <cell r="M223">
            <v>58285.43</v>
          </cell>
          <cell r="N223">
            <v>62321.15</v>
          </cell>
          <cell r="O223">
            <v>68420.740000000005</v>
          </cell>
          <cell r="P223">
            <v>57239.76</v>
          </cell>
          <cell r="Q223">
            <v>45831.69</v>
          </cell>
          <cell r="R223">
            <v>0</v>
          </cell>
          <cell r="S223">
            <v>0</v>
          </cell>
          <cell r="T223">
            <v>0</v>
          </cell>
          <cell r="U223">
            <v>0</v>
          </cell>
          <cell r="V223">
            <v>0</v>
          </cell>
          <cell r="W223">
            <v>0</v>
          </cell>
          <cell r="X223">
            <v>0</v>
          </cell>
          <cell r="Y223">
            <v>292098.77</v>
          </cell>
        </row>
        <row r="224">
          <cell r="A224" t="str">
            <v>41500</v>
          </cell>
          <cell r="B224" t="str">
            <v>Vand</v>
          </cell>
          <cell r="D224">
            <v>41500</v>
          </cell>
          <cell r="F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row>
        <row r="225">
          <cell r="A225" t="str">
            <v>41600</v>
          </cell>
          <cell r="B225" t="str">
            <v>Ejendomssikring</v>
          </cell>
          <cell r="D225">
            <v>41600</v>
          </cell>
          <cell r="F225">
            <v>0</v>
          </cell>
          <cell r="L225">
            <v>90314.549999999988</v>
          </cell>
          <cell r="M225">
            <v>2768.45</v>
          </cell>
          <cell r="N225">
            <v>58629.32</v>
          </cell>
          <cell r="O225">
            <v>28916.78</v>
          </cell>
          <cell r="P225">
            <v>0</v>
          </cell>
          <cell r="Q225">
            <v>60780.73</v>
          </cell>
          <cell r="R225">
            <v>0</v>
          </cell>
          <cell r="S225">
            <v>0</v>
          </cell>
          <cell r="T225">
            <v>0</v>
          </cell>
          <cell r="U225">
            <v>0</v>
          </cell>
          <cell r="V225">
            <v>0</v>
          </cell>
          <cell r="W225">
            <v>0</v>
          </cell>
          <cell r="X225">
            <v>0</v>
          </cell>
          <cell r="Y225">
            <v>151095.28</v>
          </cell>
        </row>
        <row r="226">
          <cell r="A226" t="str">
            <v>41700</v>
          </cell>
          <cell r="B226" t="str">
            <v>Lokalevedligeholdelse</v>
          </cell>
          <cell r="D226">
            <v>41700</v>
          </cell>
          <cell r="F226">
            <v>0</v>
          </cell>
          <cell r="L226">
            <v>4669799.7300000004</v>
          </cell>
          <cell r="M226">
            <v>1010168.6</v>
          </cell>
          <cell r="N226">
            <v>2015375.85</v>
          </cell>
          <cell r="O226">
            <v>1578878.63</v>
          </cell>
          <cell r="P226">
            <v>65376.65</v>
          </cell>
          <cell r="Q226">
            <v>0</v>
          </cell>
          <cell r="R226">
            <v>0</v>
          </cell>
          <cell r="S226">
            <v>0</v>
          </cell>
          <cell r="T226">
            <v>0</v>
          </cell>
          <cell r="U226">
            <v>0</v>
          </cell>
          <cell r="V226">
            <v>0</v>
          </cell>
          <cell r="W226">
            <v>0</v>
          </cell>
          <cell r="X226">
            <v>0</v>
          </cell>
          <cell r="Y226">
            <v>4669799.7300000004</v>
          </cell>
        </row>
        <row r="227">
          <cell r="A227" t="str">
            <v>41997</v>
          </cell>
          <cell r="B227" t="str">
            <v>Lokaleomkostninger ialt</v>
          </cell>
          <cell r="F227">
            <v>4</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row>
        <row r="228">
          <cell r="A228" t="str">
            <v>41999</v>
          </cell>
          <cell r="F228">
            <v>3</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row>
        <row r="229">
          <cell r="A229" t="str">
            <v>42100</v>
          </cell>
          <cell r="B229" t="str">
            <v>Fast gage</v>
          </cell>
          <cell r="D229">
            <v>42100</v>
          </cell>
          <cell r="F229">
            <v>0</v>
          </cell>
          <cell r="L229">
            <v>2941796.93</v>
          </cell>
          <cell r="M229">
            <v>733335.92</v>
          </cell>
          <cell r="N229">
            <v>733335.92</v>
          </cell>
          <cell r="O229">
            <v>733335.92</v>
          </cell>
          <cell r="P229">
            <v>741789.17</v>
          </cell>
          <cell r="Q229">
            <v>0</v>
          </cell>
          <cell r="R229">
            <v>0</v>
          </cell>
          <cell r="S229">
            <v>0</v>
          </cell>
          <cell r="T229">
            <v>0</v>
          </cell>
          <cell r="U229">
            <v>0</v>
          </cell>
          <cell r="V229">
            <v>0</v>
          </cell>
          <cell r="W229">
            <v>0</v>
          </cell>
          <cell r="X229">
            <v>0</v>
          </cell>
          <cell r="Y229">
            <v>2941796.93</v>
          </cell>
        </row>
        <row r="230">
          <cell r="A230" t="str">
            <v>42150</v>
          </cell>
          <cell r="B230" t="str">
            <v>Vikar/reception</v>
          </cell>
          <cell r="D230">
            <v>42150</v>
          </cell>
          <cell r="F230">
            <v>0</v>
          </cell>
          <cell r="L230">
            <v>185238.96</v>
          </cell>
          <cell r="M230">
            <v>46309.74</v>
          </cell>
          <cell r="N230">
            <v>46309.74</v>
          </cell>
          <cell r="O230">
            <v>46309.74</v>
          </cell>
          <cell r="P230">
            <v>46309.74</v>
          </cell>
          <cell r="Q230">
            <v>0</v>
          </cell>
          <cell r="R230">
            <v>0</v>
          </cell>
          <cell r="S230">
            <v>0</v>
          </cell>
          <cell r="T230">
            <v>0</v>
          </cell>
          <cell r="U230">
            <v>0</v>
          </cell>
          <cell r="V230">
            <v>0</v>
          </cell>
          <cell r="W230">
            <v>0</v>
          </cell>
          <cell r="X230">
            <v>0</v>
          </cell>
          <cell r="Y230">
            <v>185238.96</v>
          </cell>
        </row>
        <row r="231">
          <cell r="A231" t="str">
            <v>42200</v>
          </cell>
          <cell r="B231" t="str">
            <v>Løntræk</v>
          </cell>
          <cell r="D231">
            <v>42200</v>
          </cell>
          <cell r="F231">
            <v>0</v>
          </cell>
          <cell r="L231">
            <v>-69670.3</v>
          </cell>
          <cell r="M231">
            <v>-67248.94</v>
          </cell>
          <cell r="N231">
            <v>0</v>
          </cell>
          <cell r="O231">
            <v>-2421.36</v>
          </cell>
          <cell r="P231">
            <v>0</v>
          </cell>
          <cell r="Q231">
            <v>0</v>
          </cell>
          <cell r="R231">
            <v>0</v>
          </cell>
          <cell r="S231">
            <v>0</v>
          </cell>
          <cell r="T231">
            <v>0</v>
          </cell>
          <cell r="U231">
            <v>0</v>
          </cell>
          <cell r="V231">
            <v>0</v>
          </cell>
          <cell r="W231">
            <v>0</v>
          </cell>
          <cell r="X231">
            <v>0</v>
          </cell>
          <cell r="Y231">
            <v>-69670.3</v>
          </cell>
        </row>
        <row r="232">
          <cell r="A232" t="str">
            <v>42300</v>
          </cell>
          <cell r="B232" t="str">
            <v>Lønrefusion komm. DFL</v>
          </cell>
          <cell r="D232">
            <v>42300</v>
          </cell>
          <cell r="F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row>
        <row r="233">
          <cell r="A233" t="str">
            <v>42400</v>
          </cell>
          <cell r="B233" t="str">
            <v>Timelønninger</v>
          </cell>
          <cell r="D233">
            <v>42400</v>
          </cell>
          <cell r="F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row>
        <row r="234">
          <cell r="A234" t="str">
            <v>42500</v>
          </cell>
          <cell r="B234" t="str">
            <v>Overarbejde</v>
          </cell>
          <cell r="D234">
            <v>42500</v>
          </cell>
          <cell r="F234">
            <v>0</v>
          </cell>
          <cell r="L234">
            <v>56714.509999999995</v>
          </cell>
          <cell r="M234">
            <v>74379.63</v>
          </cell>
          <cell r="N234">
            <v>18493.259999999998</v>
          </cell>
          <cell r="O234">
            <v>-19253.740000000002</v>
          </cell>
          <cell r="P234">
            <v>-16904.64</v>
          </cell>
          <cell r="Q234">
            <v>0</v>
          </cell>
          <cell r="R234">
            <v>0</v>
          </cell>
          <cell r="S234">
            <v>0</v>
          </cell>
          <cell r="T234">
            <v>0</v>
          </cell>
          <cell r="U234">
            <v>0</v>
          </cell>
          <cell r="V234">
            <v>0</v>
          </cell>
          <cell r="W234">
            <v>0</v>
          </cell>
          <cell r="X234">
            <v>0</v>
          </cell>
          <cell r="Y234">
            <v>56714.509999999995</v>
          </cell>
        </row>
        <row r="235">
          <cell r="A235" t="str">
            <v>42600</v>
          </cell>
          <cell r="B235" t="str">
            <v>Engangsvederlag</v>
          </cell>
          <cell r="D235">
            <v>42600</v>
          </cell>
          <cell r="F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row>
        <row r="236">
          <cell r="A236" t="str">
            <v>42700</v>
          </cell>
          <cell r="B236" t="str">
            <v>Skiftehold/vagttillæg</v>
          </cell>
          <cell r="D236">
            <v>42700</v>
          </cell>
          <cell r="F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row>
        <row r="237">
          <cell r="A237" t="str">
            <v>42750</v>
          </cell>
          <cell r="B237" t="str">
            <v>Rejsegodtg. skattepl.</v>
          </cell>
          <cell r="D237" t="str">
            <v>NY</v>
          </cell>
          <cell r="F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row>
        <row r="238">
          <cell r="A238" t="str">
            <v>42800</v>
          </cell>
          <cell r="B238" t="str">
            <v>Feriepenge</v>
          </cell>
          <cell r="D238">
            <v>42800</v>
          </cell>
          <cell r="F238">
            <v>0</v>
          </cell>
          <cell r="L238">
            <v>195134.75</v>
          </cell>
          <cell r="M238">
            <v>0</v>
          </cell>
          <cell r="N238">
            <v>0</v>
          </cell>
          <cell r="O238">
            <v>0</v>
          </cell>
          <cell r="P238">
            <v>195134.75</v>
          </cell>
          <cell r="Q238">
            <v>0</v>
          </cell>
          <cell r="R238">
            <v>0</v>
          </cell>
          <cell r="S238">
            <v>0</v>
          </cell>
          <cell r="T238">
            <v>0</v>
          </cell>
          <cell r="U238">
            <v>0</v>
          </cell>
          <cell r="V238">
            <v>0</v>
          </cell>
          <cell r="W238">
            <v>0</v>
          </cell>
          <cell r="X238">
            <v>0</v>
          </cell>
          <cell r="Y238">
            <v>195134.75</v>
          </cell>
        </row>
        <row r="239">
          <cell r="A239" t="str">
            <v>42850</v>
          </cell>
          <cell r="B239" t="str">
            <v>Omsorgsdage</v>
          </cell>
          <cell r="D239">
            <v>42850</v>
          </cell>
          <cell r="F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row>
        <row r="240">
          <cell r="A240" t="str">
            <v>42900</v>
          </cell>
          <cell r="B240" t="str">
            <v>Gruppeliv</v>
          </cell>
          <cell r="D240">
            <v>42900</v>
          </cell>
          <cell r="F240">
            <v>0</v>
          </cell>
          <cell r="L240">
            <v>8602.56</v>
          </cell>
          <cell r="M240">
            <v>2150.64</v>
          </cell>
          <cell r="N240">
            <v>2150.64</v>
          </cell>
          <cell r="O240">
            <v>2150.64</v>
          </cell>
          <cell r="P240">
            <v>2150.64</v>
          </cell>
          <cell r="Q240">
            <v>0</v>
          </cell>
          <cell r="R240">
            <v>0</v>
          </cell>
          <cell r="S240">
            <v>0</v>
          </cell>
          <cell r="T240">
            <v>0</v>
          </cell>
          <cell r="U240">
            <v>0</v>
          </cell>
          <cell r="V240">
            <v>0</v>
          </cell>
          <cell r="W240">
            <v>0</v>
          </cell>
          <cell r="X240">
            <v>0</v>
          </cell>
          <cell r="Y240">
            <v>8602.56</v>
          </cell>
        </row>
        <row r="241">
          <cell r="A241" t="str">
            <v>43100</v>
          </cell>
          <cell r="B241" t="str">
            <v>Pension</v>
          </cell>
          <cell r="D241">
            <v>43100</v>
          </cell>
          <cell r="F241">
            <v>0</v>
          </cell>
          <cell r="L241">
            <v>340549.7</v>
          </cell>
          <cell r="M241">
            <v>85041.8</v>
          </cell>
          <cell r="N241">
            <v>85041.8</v>
          </cell>
          <cell r="O241">
            <v>85041.8</v>
          </cell>
          <cell r="P241">
            <v>85424.3</v>
          </cell>
          <cell r="Q241">
            <v>0</v>
          </cell>
          <cell r="R241">
            <v>0</v>
          </cell>
          <cell r="S241">
            <v>0</v>
          </cell>
          <cell r="T241">
            <v>0</v>
          </cell>
          <cell r="U241">
            <v>0</v>
          </cell>
          <cell r="V241">
            <v>0</v>
          </cell>
          <cell r="W241">
            <v>0</v>
          </cell>
          <cell r="X241">
            <v>0</v>
          </cell>
          <cell r="Y241">
            <v>340549.7</v>
          </cell>
        </row>
        <row r="242">
          <cell r="A242" t="str">
            <v>43200</v>
          </cell>
          <cell r="B242" t="str">
            <v>Sociale ydelser ATP</v>
          </cell>
          <cell r="D242">
            <v>43200</v>
          </cell>
          <cell r="F242">
            <v>0</v>
          </cell>
          <cell r="L242">
            <v>9088.7999999999993</v>
          </cell>
          <cell r="M242">
            <v>2272.1999999999998</v>
          </cell>
          <cell r="N242">
            <v>2272.1999999999998</v>
          </cell>
          <cell r="O242">
            <v>2272.1999999999998</v>
          </cell>
          <cell r="P242">
            <v>2272.1999999999998</v>
          </cell>
          <cell r="Q242">
            <v>0</v>
          </cell>
          <cell r="R242">
            <v>0</v>
          </cell>
          <cell r="S242">
            <v>0</v>
          </cell>
          <cell r="T242">
            <v>0</v>
          </cell>
          <cell r="U242">
            <v>0</v>
          </cell>
          <cell r="V242">
            <v>0</v>
          </cell>
          <cell r="W242">
            <v>0</v>
          </cell>
          <cell r="X242">
            <v>0</v>
          </cell>
          <cell r="Y242">
            <v>9088.7999999999993</v>
          </cell>
        </row>
        <row r="243">
          <cell r="A243" t="str">
            <v>43297</v>
          </cell>
          <cell r="B243" t="str">
            <v>Adm. løn, pension mv ialt</v>
          </cell>
          <cell r="F243">
            <v>4</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row>
        <row r="244">
          <cell r="A244" t="str">
            <v>43299</v>
          </cell>
          <cell r="F244">
            <v>3</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row>
        <row r="245">
          <cell r="A245" t="str">
            <v>43300</v>
          </cell>
          <cell r="B245" t="str">
            <v>Regulering Feriepenge hensæt.</v>
          </cell>
          <cell r="D245">
            <v>43300</v>
          </cell>
          <cell r="F245">
            <v>0</v>
          </cell>
          <cell r="L245">
            <v>-79636.73000000001</v>
          </cell>
          <cell r="M245">
            <v>27500.35</v>
          </cell>
          <cell r="N245">
            <v>27500.07</v>
          </cell>
          <cell r="O245">
            <v>27498.23</v>
          </cell>
          <cell r="P245">
            <v>-162135.38</v>
          </cell>
          <cell r="Q245">
            <v>0</v>
          </cell>
          <cell r="R245">
            <v>0</v>
          </cell>
          <cell r="S245">
            <v>0</v>
          </cell>
          <cell r="T245">
            <v>0</v>
          </cell>
          <cell r="U245">
            <v>0</v>
          </cell>
          <cell r="V245">
            <v>0</v>
          </cell>
          <cell r="W245">
            <v>0</v>
          </cell>
          <cell r="X245">
            <v>0</v>
          </cell>
          <cell r="Y245">
            <v>-79636.73000000001</v>
          </cell>
        </row>
        <row r="246">
          <cell r="A246" t="str">
            <v>43400</v>
          </cell>
          <cell r="B246" t="str">
            <v>Regulering Overarbejde hensæt.</v>
          </cell>
          <cell r="D246">
            <v>43400</v>
          </cell>
          <cell r="F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row>
        <row r="247">
          <cell r="A247" t="str">
            <v>43498</v>
          </cell>
          <cell r="B247" t="str">
            <v>Regulering hensættelser ialt</v>
          </cell>
          <cell r="F247">
            <v>4</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row>
        <row r="248">
          <cell r="A248" t="str">
            <v>44999</v>
          </cell>
          <cell r="F248">
            <v>3</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row>
        <row r="249">
          <cell r="A249" t="str">
            <v>45100</v>
          </cell>
          <cell r="B249" t="str">
            <v>Afskrivninger</v>
          </cell>
          <cell r="D249">
            <v>45100</v>
          </cell>
          <cell r="F249">
            <v>0</v>
          </cell>
          <cell r="L249">
            <v>28303.4</v>
          </cell>
          <cell r="M249">
            <v>7075.85</v>
          </cell>
          <cell r="N249">
            <v>7075.85</v>
          </cell>
          <cell r="O249">
            <v>7075.85</v>
          </cell>
          <cell r="P249">
            <v>7075.85</v>
          </cell>
          <cell r="Q249">
            <v>0</v>
          </cell>
          <cell r="R249">
            <v>0</v>
          </cell>
          <cell r="S249">
            <v>0</v>
          </cell>
          <cell r="T249">
            <v>0</v>
          </cell>
          <cell r="U249">
            <v>0</v>
          </cell>
          <cell r="V249">
            <v>0</v>
          </cell>
          <cell r="W249">
            <v>0</v>
          </cell>
          <cell r="X249">
            <v>0</v>
          </cell>
          <cell r="Y249">
            <v>28303.4</v>
          </cell>
        </row>
        <row r="250">
          <cell r="A250" t="str">
            <v>45200</v>
          </cell>
          <cell r="B250" t="str">
            <v>Afskrivning på udviklingsproj.</v>
          </cell>
          <cell r="F250">
            <v>0</v>
          </cell>
          <cell r="L250">
            <v>2900000</v>
          </cell>
          <cell r="M250">
            <v>725000</v>
          </cell>
          <cell r="N250">
            <v>725000</v>
          </cell>
          <cell r="O250">
            <v>725000</v>
          </cell>
          <cell r="P250">
            <v>725000</v>
          </cell>
          <cell r="Q250">
            <v>725000</v>
          </cell>
          <cell r="R250">
            <v>725000</v>
          </cell>
          <cell r="S250">
            <v>725000</v>
          </cell>
          <cell r="T250">
            <v>725000</v>
          </cell>
          <cell r="U250">
            <v>725000</v>
          </cell>
          <cell r="V250">
            <v>725000</v>
          </cell>
          <cell r="W250">
            <v>725000</v>
          </cell>
          <cell r="X250">
            <v>725000</v>
          </cell>
          <cell r="Y250">
            <v>8700000</v>
          </cell>
        </row>
        <row r="251">
          <cell r="A251" t="str">
            <v>45996</v>
          </cell>
          <cell r="B251" t="str">
            <v>Afskrivninger ialt</v>
          </cell>
          <cell r="F251">
            <v>4</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row>
        <row r="252">
          <cell r="A252" t="str">
            <v>45999</v>
          </cell>
          <cell r="F252">
            <v>3</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row>
        <row r="253">
          <cell r="A253" t="str">
            <v>46050</v>
          </cell>
          <cell r="B253" t="str">
            <v>Salg Personalefrokost løn</v>
          </cell>
          <cell r="D253">
            <v>46050</v>
          </cell>
          <cell r="F253">
            <v>0</v>
          </cell>
          <cell r="L253">
            <v>-270200</v>
          </cell>
          <cell r="M253">
            <v>-67570</v>
          </cell>
          <cell r="N253">
            <v>-67135</v>
          </cell>
          <cell r="O253">
            <v>-67135</v>
          </cell>
          <cell r="P253">
            <v>-68360</v>
          </cell>
          <cell r="Q253">
            <v>0</v>
          </cell>
          <cell r="R253">
            <v>0</v>
          </cell>
          <cell r="S253">
            <v>0</v>
          </cell>
          <cell r="T253">
            <v>0</v>
          </cell>
          <cell r="U253">
            <v>0</v>
          </cell>
          <cell r="V253">
            <v>0</v>
          </cell>
          <cell r="W253">
            <v>0</v>
          </cell>
          <cell r="X253">
            <v>0</v>
          </cell>
          <cell r="Y253">
            <v>-270200</v>
          </cell>
        </row>
        <row r="254">
          <cell r="A254" t="str">
            <v>46075</v>
          </cell>
          <cell r="B254" t="str">
            <v>Salg Personale bonner</v>
          </cell>
          <cell r="D254" t="str">
            <v>NY</v>
          </cell>
          <cell r="F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row>
        <row r="255">
          <cell r="A255" t="str">
            <v>46080</v>
          </cell>
          <cell r="B255" t="str">
            <v>Salg Andre</v>
          </cell>
          <cell r="F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row>
        <row r="256">
          <cell r="A256" t="str">
            <v>46100</v>
          </cell>
          <cell r="B256" t="str">
            <v>Salg Møder frokost mv</v>
          </cell>
          <cell r="D256">
            <v>46100</v>
          </cell>
          <cell r="F256">
            <v>0</v>
          </cell>
          <cell r="L256">
            <v>-49726.5</v>
          </cell>
          <cell r="M256">
            <v>-13838.4</v>
          </cell>
          <cell r="N256">
            <v>-15303.2</v>
          </cell>
          <cell r="O256">
            <v>-13315.2</v>
          </cell>
          <cell r="P256">
            <v>-7269.7</v>
          </cell>
          <cell r="Q256">
            <v>0</v>
          </cell>
          <cell r="R256">
            <v>0</v>
          </cell>
          <cell r="S256">
            <v>0</v>
          </cell>
          <cell r="T256">
            <v>0</v>
          </cell>
          <cell r="U256">
            <v>0</v>
          </cell>
          <cell r="V256">
            <v>0</v>
          </cell>
          <cell r="W256">
            <v>0</v>
          </cell>
          <cell r="X256">
            <v>0</v>
          </cell>
          <cell r="Y256">
            <v>-49726.5</v>
          </cell>
        </row>
        <row r="257">
          <cell r="A257" t="str">
            <v>46120</v>
          </cell>
          <cell r="B257" t="str">
            <v>Salg Øl, vand møder</v>
          </cell>
          <cell r="D257">
            <v>46120</v>
          </cell>
          <cell r="F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row>
        <row r="258">
          <cell r="A258" t="str">
            <v>46130</v>
          </cell>
          <cell r="B258" t="str">
            <v>Salg Kaffe, te, småkager møder</v>
          </cell>
          <cell r="D258" t="str">
            <v>NY</v>
          </cell>
          <cell r="F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row>
        <row r="259">
          <cell r="A259" t="str">
            <v>46150</v>
          </cell>
          <cell r="B259" t="str">
            <v>Salg Køkken</v>
          </cell>
          <cell r="D259">
            <v>46150</v>
          </cell>
          <cell r="F259">
            <v>0</v>
          </cell>
          <cell r="L259">
            <v>-46248.54</v>
          </cell>
          <cell r="M259">
            <v>-9554</v>
          </cell>
          <cell r="N259">
            <v>-9995</v>
          </cell>
          <cell r="O259">
            <v>-9912.5</v>
          </cell>
          <cell r="P259">
            <v>-16787.04</v>
          </cell>
          <cell r="Q259">
            <v>0</v>
          </cell>
          <cell r="R259">
            <v>0</v>
          </cell>
          <cell r="S259">
            <v>0</v>
          </cell>
          <cell r="T259">
            <v>0</v>
          </cell>
          <cell r="U259">
            <v>0</v>
          </cell>
          <cell r="V259">
            <v>0</v>
          </cell>
          <cell r="W259">
            <v>0</v>
          </cell>
          <cell r="X259">
            <v>0</v>
          </cell>
          <cell r="Y259">
            <v>-46248.54</v>
          </cell>
        </row>
        <row r="260">
          <cell r="A260" t="str">
            <v>46200</v>
          </cell>
          <cell r="B260" t="str">
            <v>Salg automat</v>
          </cell>
          <cell r="D260">
            <v>46200</v>
          </cell>
          <cell r="F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row>
        <row r="261">
          <cell r="A261" t="str">
            <v>46250</v>
          </cell>
          <cell r="B261" t="str">
            <v>Varekøb køkken</v>
          </cell>
          <cell r="D261">
            <v>46250</v>
          </cell>
          <cell r="F261">
            <v>0</v>
          </cell>
          <cell r="L261">
            <v>317715.58999999997</v>
          </cell>
          <cell r="M261">
            <v>94179.66</v>
          </cell>
          <cell r="N261">
            <v>66532.58</v>
          </cell>
          <cell r="O261">
            <v>92083.28</v>
          </cell>
          <cell r="P261">
            <v>64920.07</v>
          </cell>
          <cell r="Q261">
            <v>0</v>
          </cell>
          <cell r="R261">
            <v>0</v>
          </cell>
          <cell r="S261">
            <v>0</v>
          </cell>
          <cell r="T261">
            <v>0</v>
          </cell>
          <cell r="U261">
            <v>0</v>
          </cell>
          <cell r="V261">
            <v>0</v>
          </cell>
          <cell r="W261">
            <v>0</v>
          </cell>
          <cell r="X261">
            <v>0</v>
          </cell>
          <cell r="Y261">
            <v>317715.58999999997</v>
          </cell>
        </row>
        <row r="262">
          <cell r="A262" t="str">
            <v>46275</v>
          </cell>
          <cell r="B262" t="str">
            <v>Varekøb frugt</v>
          </cell>
          <cell r="D262" t="str">
            <v>NY</v>
          </cell>
          <cell r="F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row>
        <row r="263">
          <cell r="A263" t="str">
            <v>46280</v>
          </cell>
          <cell r="B263" t="str">
            <v>Varekøb morgenbrød</v>
          </cell>
          <cell r="F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row>
        <row r="264">
          <cell r="A264" t="str">
            <v>46300</v>
          </cell>
          <cell r="B264" t="str">
            <v>Varekøb til møder</v>
          </cell>
          <cell r="D264">
            <v>46300</v>
          </cell>
          <cell r="F264">
            <v>0</v>
          </cell>
          <cell r="L264">
            <v>57.6</v>
          </cell>
          <cell r="M264">
            <v>0</v>
          </cell>
          <cell r="N264">
            <v>0</v>
          </cell>
          <cell r="O264">
            <v>0</v>
          </cell>
          <cell r="P264">
            <v>57.6</v>
          </cell>
          <cell r="Q264">
            <v>0</v>
          </cell>
          <cell r="R264">
            <v>0</v>
          </cell>
          <cell r="S264">
            <v>0</v>
          </cell>
          <cell r="T264">
            <v>0</v>
          </cell>
          <cell r="U264">
            <v>0</v>
          </cell>
          <cell r="V264">
            <v>0</v>
          </cell>
          <cell r="W264">
            <v>0</v>
          </cell>
          <cell r="X264">
            <v>0</v>
          </cell>
          <cell r="Y264">
            <v>57.6</v>
          </cell>
        </row>
        <row r="265">
          <cell r="A265" t="str">
            <v>46350</v>
          </cell>
          <cell r="B265" t="str">
            <v>Køb Automat slik og tobak</v>
          </cell>
          <cell r="D265">
            <v>46350</v>
          </cell>
          <cell r="F265">
            <v>0</v>
          </cell>
          <cell r="L265">
            <v>6533.0700000000006</v>
          </cell>
          <cell r="M265">
            <v>5164.2700000000004</v>
          </cell>
          <cell r="N265">
            <v>0</v>
          </cell>
          <cell r="O265">
            <v>1368.8</v>
          </cell>
          <cell r="P265">
            <v>0</v>
          </cell>
          <cell r="Q265">
            <v>0</v>
          </cell>
          <cell r="R265">
            <v>0</v>
          </cell>
          <cell r="S265">
            <v>0</v>
          </cell>
          <cell r="T265">
            <v>0</v>
          </cell>
          <cell r="U265">
            <v>0</v>
          </cell>
          <cell r="V265">
            <v>0</v>
          </cell>
          <cell r="W265">
            <v>0</v>
          </cell>
          <cell r="X265">
            <v>0</v>
          </cell>
          <cell r="Y265">
            <v>6533.0700000000006</v>
          </cell>
        </row>
        <row r="266">
          <cell r="A266" t="str">
            <v>46450</v>
          </cell>
          <cell r="B266" t="str">
            <v>Køb Automat øl og vand</v>
          </cell>
          <cell r="D266">
            <v>46450</v>
          </cell>
          <cell r="F266">
            <v>0</v>
          </cell>
          <cell r="L266">
            <v>-1109.96</v>
          </cell>
          <cell r="M266">
            <v>68</v>
          </cell>
          <cell r="N266">
            <v>69</v>
          </cell>
          <cell r="O266">
            <v>91.5</v>
          </cell>
          <cell r="P266">
            <v>-1338.46</v>
          </cell>
          <cell r="Q266">
            <v>747.12</v>
          </cell>
          <cell r="R266">
            <v>0</v>
          </cell>
          <cell r="S266">
            <v>0</v>
          </cell>
          <cell r="T266">
            <v>0</v>
          </cell>
          <cell r="U266">
            <v>0</v>
          </cell>
          <cell r="V266">
            <v>0</v>
          </cell>
          <cell r="W266">
            <v>0</v>
          </cell>
          <cell r="X266">
            <v>0</v>
          </cell>
          <cell r="Y266">
            <v>-362.84000000000003</v>
          </cell>
        </row>
        <row r="267">
          <cell r="A267" t="str">
            <v>46500</v>
          </cell>
          <cell r="B267" t="str">
            <v>Småanskaffelser/forbrugsmat.</v>
          </cell>
          <cell r="D267" t="str">
            <v>NY</v>
          </cell>
          <cell r="F267">
            <v>0</v>
          </cell>
          <cell r="L267">
            <v>7930.51</v>
          </cell>
          <cell r="M267">
            <v>2157.69</v>
          </cell>
          <cell r="N267">
            <v>894.01</v>
          </cell>
          <cell r="O267">
            <v>4878.8100000000004</v>
          </cell>
          <cell r="P267">
            <v>0</v>
          </cell>
          <cell r="Q267">
            <v>6656</v>
          </cell>
          <cell r="R267">
            <v>0</v>
          </cell>
          <cell r="S267">
            <v>0</v>
          </cell>
          <cell r="T267">
            <v>0</v>
          </cell>
          <cell r="U267">
            <v>0</v>
          </cell>
          <cell r="V267">
            <v>0</v>
          </cell>
          <cell r="W267">
            <v>0</v>
          </cell>
          <cell r="X267">
            <v>0</v>
          </cell>
          <cell r="Y267">
            <v>14586.51</v>
          </cell>
        </row>
        <row r="268">
          <cell r="A268" t="str">
            <v>46550</v>
          </cell>
          <cell r="B268" t="str">
            <v>Rengøring</v>
          </cell>
          <cell r="D268" t="str">
            <v>NY</v>
          </cell>
          <cell r="F268">
            <v>0</v>
          </cell>
          <cell r="L268">
            <v>1170</v>
          </cell>
          <cell r="M268">
            <v>1170</v>
          </cell>
          <cell r="N268">
            <v>0</v>
          </cell>
          <cell r="O268">
            <v>0</v>
          </cell>
          <cell r="P268">
            <v>0</v>
          </cell>
          <cell r="Q268">
            <v>0</v>
          </cell>
          <cell r="R268">
            <v>0</v>
          </cell>
          <cell r="S268">
            <v>0</v>
          </cell>
          <cell r="T268">
            <v>0</v>
          </cell>
          <cell r="U268">
            <v>0</v>
          </cell>
          <cell r="V268">
            <v>0</v>
          </cell>
          <cell r="W268">
            <v>0</v>
          </cell>
          <cell r="X268">
            <v>0</v>
          </cell>
          <cell r="Y268">
            <v>1170</v>
          </cell>
        </row>
        <row r="269">
          <cell r="A269" t="str">
            <v>46600</v>
          </cell>
          <cell r="B269" t="str">
            <v>Personale/managment kantine</v>
          </cell>
          <cell r="D269">
            <v>46600</v>
          </cell>
          <cell r="F269">
            <v>0</v>
          </cell>
          <cell r="L269">
            <v>672026.39000000013</v>
          </cell>
          <cell r="M269">
            <v>175955.54</v>
          </cell>
          <cell r="N269">
            <v>171186.36</v>
          </cell>
          <cell r="O269">
            <v>154138.04</v>
          </cell>
          <cell r="P269">
            <v>170746.45</v>
          </cell>
          <cell r="Q269">
            <v>0</v>
          </cell>
          <cell r="R269">
            <v>0</v>
          </cell>
          <cell r="S269">
            <v>0</v>
          </cell>
          <cell r="T269">
            <v>0</v>
          </cell>
          <cell r="U269">
            <v>0</v>
          </cell>
          <cell r="V269">
            <v>0</v>
          </cell>
          <cell r="W269">
            <v>0</v>
          </cell>
          <cell r="X269">
            <v>0</v>
          </cell>
          <cell r="Y269">
            <v>672026.39000000013</v>
          </cell>
        </row>
        <row r="270">
          <cell r="A270" t="str">
            <v>46610</v>
          </cell>
          <cell r="B270" t="str">
            <v>Kantinemoms</v>
          </cell>
          <cell r="F270">
            <v>0</v>
          </cell>
          <cell r="L270">
            <v>225540.39</v>
          </cell>
          <cell r="M270">
            <v>61971.08</v>
          </cell>
          <cell r="N270">
            <v>53828.44</v>
          </cell>
          <cell r="O270">
            <v>55999.07</v>
          </cell>
          <cell r="P270">
            <v>53741.8</v>
          </cell>
          <cell r="Q270">
            <v>0</v>
          </cell>
          <cell r="R270">
            <v>0</v>
          </cell>
          <cell r="S270">
            <v>0</v>
          </cell>
          <cell r="T270">
            <v>0</v>
          </cell>
          <cell r="U270">
            <v>0</v>
          </cell>
          <cell r="V270">
            <v>0</v>
          </cell>
          <cell r="W270">
            <v>0</v>
          </cell>
          <cell r="X270">
            <v>0</v>
          </cell>
          <cell r="Y270">
            <v>225540.39</v>
          </cell>
        </row>
        <row r="271">
          <cell r="A271" t="str">
            <v>46648</v>
          </cell>
          <cell r="B271" t="str">
            <v>Kantinen drift ialt</v>
          </cell>
          <cell r="F271">
            <v>4</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row>
        <row r="272">
          <cell r="A272" t="str">
            <v>46649</v>
          </cell>
          <cell r="F272">
            <v>3</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row>
        <row r="273">
          <cell r="A273" t="str">
            <v>46650</v>
          </cell>
          <cell r="B273" t="str">
            <v>Øvrige indtægter</v>
          </cell>
          <cell r="F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row>
        <row r="274">
          <cell r="A274" t="str">
            <v>46700</v>
          </cell>
          <cell r="B274" t="str">
            <v>Øvrige omkostninger</v>
          </cell>
          <cell r="F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row>
        <row r="275">
          <cell r="A275" t="str">
            <v>46799</v>
          </cell>
          <cell r="B275" t="str">
            <v>Øvrige indtægter/omkostninger</v>
          </cell>
          <cell r="F275">
            <v>4</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row>
        <row r="276">
          <cell r="A276" t="str">
            <v>46960</v>
          </cell>
          <cell r="F276">
            <v>3</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row>
        <row r="277">
          <cell r="A277" t="str">
            <v>46970</v>
          </cell>
          <cell r="B277" t="str">
            <v>Tab på debitorer</v>
          </cell>
          <cell r="F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row>
        <row r="278">
          <cell r="A278" t="str">
            <v>46980</v>
          </cell>
          <cell r="B278" t="str">
            <v>Tab på debitorer ialt</v>
          </cell>
          <cell r="F278">
            <v>4</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row>
        <row r="279">
          <cell r="A279" t="str">
            <v>46989</v>
          </cell>
          <cell r="F279">
            <v>3</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row>
        <row r="280">
          <cell r="A280" t="str">
            <v>47000</v>
          </cell>
          <cell r="B280" t="str">
            <v>Datterselskaber</v>
          </cell>
          <cell r="F280">
            <v>1</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row>
        <row r="281">
          <cell r="A281" t="str">
            <v>47050</v>
          </cell>
          <cell r="B281" t="str">
            <v>Resultat Process Factory</v>
          </cell>
          <cell r="F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row>
        <row r="282">
          <cell r="A282" t="str">
            <v>47055</v>
          </cell>
          <cell r="B282" t="str">
            <v>Goodwill afskr Process Factory</v>
          </cell>
          <cell r="F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row>
        <row r="283">
          <cell r="A283" t="str">
            <v>47089</v>
          </cell>
          <cell r="B283" t="str">
            <v>Datterselskaber ialt</v>
          </cell>
          <cell r="F283">
            <v>4</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row>
        <row r="284">
          <cell r="A284" t="str">
            <v>47090</v>
          </cell>
          <cell r="F284">
            <v>3</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row>
        <row r="285">
          <cell r="A285" t="str">
            <v>47100</v>
          </cell>
          <cell r="B285" t="str">
            <v>Renteindtægter</v>
          </cell>
          <cell r="D285">
            <v>47100</v>
          </cell>
          <cell r="F285">
            <v>0</v>
          </cell>
          <cell r="L285">
            <v>-10530.27</v>
          </cell>
          <cell r="M285">
            <v>0</v>
          </cell>
          <cell r="N285">
            <v>-10165.76</v>
          </cell>
          <cell r="O285">
            <v>-364.51</v>
          </cell>
          <cell r="P285">
            <v>0</v>
          </cell>
          <cell r="Q285">
            <v>0</v>
          </cell>
          <cell r="R285">
            <v>0</v>
          </cell>
          <cell r="S285">
            <v>0</v>
          </cell>
          <cell r="T285">
            <v>0</v>
          </cell>
          <cell r="U285">
            <v>0</v>
          </cell>
          <cell r="V285">
            <v>0</v>
          </cell>
          <cell r="W285">
            <v>0</v>
          </cell>
          <cell r="X285">
            <v>0</v>
          </cell>
          <cell r="Y285">
            <v>-10530.27</v>
          </cell>
        </row>
        <row r="286">
          <cell r="A286" t="str">
            <v>47200</v>
          </cell>
          <cell r="B286" t="str">
            <v>Kontantrabatter</v>
          </cell>
          <cell r="D286">
            <v>47200</v>
          </cell>
          <cell r="F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row>
        <row r="287">
          <cell r="A287" t="str">
            <v>47250</v>
          </cell>
          <cell r="B287" t="str">
            <v>Kursgevinst</v>
          </cell>
          <cell r="F287">
            <v>0</v>
          </cell>
          <cell r="L287">
            <v>-53202.990000000005</v>
          </cell>
          <cell r="M287">
            <v>-18552.68</v>
          </cell>
          <cell r="N287">
            <v>-66.52</v>
          </cell>
          <cell r="O287">
            <v>-6533.79</v>
          </cell>
          <cell r="P287">
            <v>-28050</v>
          </cell>
          <cell r="Q287">
            <v>0</v>
          </cell>
          <cell r="R287">
            <v>0</v>
          </cell>
          <cell r="S287">
            <v>0</v>
          </cell>
          <cell r="T287">
            <v>0</v>
          </cell>
          <cell r="U287">
            <v>0</v>
          </cell>
          <cell r="V287">
            <v>0</v>
          </cell>
          <cell r="W287">
            <v>0</v>
          </cell>
          <cell r="X287">
            <v>0</v>
          </cell>
          <cell r="Y287">
            <v>-53202.990000000005</v>
          </cell>
        </row>
        <row r="288">
          <cell r="A288" t="str">
            <v>47300</v>
          </cell>
          <cell r="B288" t="str">
            <v>Renteudgifter</v>
          </cell>
          <cell r="D288">
            <v>47300</v>
          </cell>
          <cell r="F288">
            <v>0</v>
          </cell>
          <cell r="L288">
            <v>87444.09</v>
          </cell>
          <cell r="M288">
            <v>0</v>
          </cell>
          <cell r="N288">
            <v>131.25</v>
          </cell>
          <cell r="O288">
            <v>87208.73</v>
          </cell>
          <cell r="P288">
            <v>104.11</v>
          </cell>
          <cell r="Q288">
            <v>0</v>
          </cell>
          <cell r="R288">
            <v>0</v>
          </cell>
          <cell r="S288">
            <v>0</v>
          </cell>
          <cell r="T288">
            <v>0</v>
          </cell>
          <cell r="U288">
            <v>0</v>
          </cell>
          <cell r="V288">
            <v>0</v>
          </cell>
          <cell r="W288">
            <v>0</v>
          </cell>
          <cell r="X288">
            <v>0</v>
          </cell>
          <cell r="Y288">
            <v>87444.09</v>
          </cell>
        </row>
        <row r="289">
          <cell r="A289" t="str">
            <v>47350</v>
          </cell>
          <cell r="B289" t="str">
            <v>Renteudgifter leasinggæld</v>
          </cell>
          <cell r="D289">
            <v>47350</v>
          </cell>
          <cell r="F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row>
        <row r="290">
          <cell r="A290" t="str">
            <v>47375</v>
          </cell>
          <cell r="B290" t="str">
            <v>Kurstab</v>
          </cell>
          <cell r="F290">
            <v>0</v>
          </cell>
          <cell r="L290">
            <v>264701.41000000003</v>
          </cell>
          <cell r="M290">
            <v>962.98</v>
          </cell>
          <cell r="N290">
            <v>56400</v>
          </cell>
          <cell r="O290">
            <v>12338.43</v>
          </cell>
          <cell r="P290">
            <v>195000</v>
          </cell>
          <cell r="Q290">
            <v>0.88</v>
          </cell>
          <cell r="R290">
            <v>0</v>
          </cell>
          <cell r="S290">
            <v>0</v>
          </cell>
          <cell r="T290">
            <v>0</v>
          </cell>
          <cell r="U290">
            <v>0</v>
          </cell>
          <cell r="V290">
            <v>0</v>
          </cell>
          <cell r="W290">
            <v>0</v>
          </cell>
          <cell r="X290">
            <v>0</v>
          </cell>
          <cell r="Y290">
            <v>264702.29000000004</v>
          </cell>
        </row>
        <row r="291">
          <cell r="A291" t="str">
            <v>47400</v>
          </cell>
          <cell r="B291" t="str">
            <v>Diverse gebyrer</v>
          </cell>
          <cell r="D291">
            <v>47400</v>
          </cell>
          <cell r="F291">
            <v>0</v>
          </cell>
          <cell r="L291">
            <v>7022.3099999999995</v>
          </cell>
          <cell r="M291">
            <v>1823.51</v>
          </cell>
          <cell r="N291">
            <v>1204.67</v>
          </cell>
          <cell r="O291">
            <v>2701.56</v>
          </cell>
          <cell r="P291">
            <v>1292.57</v>
          </cell>
          <cell r="Q291">
            <v>503.36</v>
          </cell>
          <cell r="R291">
            <v>0</v>
          </cell>
          <cell r="S291">
            <v>0</v>
          </cell>
          <cell r="T291">
            <v>0</v>
          </cell>
          <cell r="U291">
            <v>0</v>
          </cell>
          <cell r="V291">
            <v>0</v>
          </cell>
          <cell r="W291">
            <v>0</v>
          </cell>
          <cell r="X291">
            <v>0</v>
          </cell>
          <cell r="Y291">
            <v>7525.6699999999992</v>
          </cell>
        </row>
        <row r="292">
          <cell r="A292" t="str">
            <v>47500</v>
          </cell>
          <cell r="B292" t="str">
            <v>Ej fradragsberet renter mv</v>
          </cell>
          <cell r="D292">
            <v>47500</v>
          </cell>
          <cell r="F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row>
        <row r="293">
          <cell r="A293" t="str">
            <v>47998</v>
          </cell>
          <cell r="B293" t="str">
            <v>Finansielle poster ialt</v>
          </cell>
          <cell r="F293">
            <v>4</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row>
        <row r="294">
          <cell r="A294" t="str">
            <v>47999</v>
          </cell>
          <cell r="F294">
            <v>3</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row>
        <row r="295">
          <cell r="A295" t="str">
            <v>48100</v>
          </cell>
          <cell r="B295" t="str">
            <v>Ekstraordinære indtægter</v>
          </cell>
          <cell r="D295">
            <v>48100</v>
          </cell>
          <cell r="F295">
            <v>0</v>
          </cell>
          <cell r="L295">
            <v>-554412</v>
          </cell>
          <cell r="M295">
            <v>0</v>
          </cell>
          <cell r="N295">
            <v>-554412</v>
          </cell>
          <cell r="O295">
            <v>0</v>
          </cell>
          <cell r="P295">
            <v>0</v>
          </cell>
          <cell r="Q295">
            <v>0</v>
          </cell>
          <cell r="R295">
            <v>0</v>
          </cell>
          <cell r="S295">
            <v>0</v>
          </cell>
          <cell r="T295">
            <v>0</v>
          </cell>
          <cell r="U295">
            <v>0</v>
          </cell>
          <cell r="V295">
            <v>0</v>
          </cell>
          <cell r="W295">
            <v>0</v>
          </cell>
          <cell r="X295">
            <v>0</v>
          </cell>
          <cell r="Y295">
            <v>-554412</v>
          </cell>
        </row>
        <row r="296">
          <cell r="A296" t="str">
            <v>48200</v>
          </cell>
          <cell r="B296" t="str">
            <v>Fortjeneste på udg. aktiver</v>
          </cell>
          <cell r="D296">
            <v>48200</v>
          </cell>
          <cell r="F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row>
        <row r="297">
          <cell r="A297" t="str">
            <v>48300</v>
          </cell>
          <cell r="B297" t="str">
            <v>Ekstraordinære udgifter</v>
          </cell>
          <cell r="D297">
            <v>48300</v>
          </cell>
          <cell r="F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row>
        <row r="298">
          <cell r="A298" t="str">
            <v>48400</v>
          </cell>
          <cell r="B298" t="str">
            <v>Tab på udg. aktiver</v>
          </cell>
          <cell r="D298">
            <v>48400</v>
          </cell>
          <cell r="F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row>
        <row r="299">
          <cell r="A299" t="str">
            <v>48999</v>
          </cell>
          <cell r="B299" t="str">
            <v>Ekstraordinære poster ialt</v>
          </cell>
          <cell r="F299">
            <v>4</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row>
        <row r="300">
          <cell r="A300" t="str">
            <v>49000</v>
          </cell>
          <cell r="F300">
            <v>3</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row>
        <row r="301">
          <cell r="A301" t="str">
            <v>49100</v>
          </cell>
          <cell r="B301" t="str">
            <v>Skat</v>
          </cell>
          <cell r="F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row>
        <row r="302">
          <cell r="A302" t="str">
            <v>49200</v>
          </cell>
          <cell r="B302" t="str">
            <v>Skat ialt</v>
          </cell>
          <cell r="F302">
            <v>4</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row>
        <row r="303">
          <cell r="A303" t="str">
            <v>49998</v>
          </cell>
          <cell r="B303" t="str">
            <v>Omkostninger ialt</v>
          </cell>
          <cell r="F303">
            <v>4</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row>
        <row r="304">
          <cell r="A304" t="str">
            <v>49999</v>
          </cell>
          <cell r="F304">
            <v>2</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row>
        <row r="305">
          <cell r="M305">
            <v>0</v>
          </cell>
          <cell r="N305">
            <v>0</v>
          </cell>
          <cell r="O305">
            <v>0</v>
          </cell>
          <cell r="P305">
            <v>0</v>
          </cell>
          <cell r="Q305">
            <v>0</v>
          </cell>
          <cell r="R305">
            <v>0</v>
          </cell>
          <cell r="S305">
            <v>0</v>
          </cell>
          <cell r="T305">
            <v>0</v>
          </cell>
          <cell r="U305">
            <v>0</v>
          </cell>
          <cell r="V305">
            <v>0</v>
          </cell>
          <cell r="W305">
            <v>0</v>
          </cell>
          <cell r="X305">
            <v>0</v>
          </cell>
          <cell r="Y305">
            <v>0</v>
          </cell>
        </row>
        <row r="306">
          <cell r="M306">
            <v>0</v>
          </cell>
          <cell r="N306">
            <v>0</v>
          </cell>
          <cell r="O306">
            <v>0</v>
          </cell>
          <cell r="P306">
            <v>0</v>
          </cell>
          <cell r="Q306">
            <v>0</v>
          </cell>
          <cell r="R306">
            <v>0</v>
          </cell>
          <cell r="S306">
            <v>0</v>
          </cell>
          <cell r="T306">
            <v>0</v>
          </cell>
          <cell r="U306">
            <v>0</v>
          </cell>
          <cell r="V306">
            <v>0</v>
          </cell>
          <cell r="W306">
            <v>0</v>
          </cell>
          <cell r="X306">
            <v>0</v>
          </cell>
          <cell r="Y306">
            <v>0</v>
          </cell>
        </row>
      </sheetData>
      <sheetData sheetId="1"/>
      <sheetData sheetId="2"/>
      <sheetData sheetId="3"/>
      <sheetData sheetId="4"/>
      <sheetData sheetId="5"/>
      <sheetData sheetId="6"/>
      <sheetData sheetId="7"/>
      <sheetData sheetId="8"/>
      <sheetData sheetId="9"/>
      <sheetData sheetId="10"/>
      <sheetData sheetId="11">
        <row r="2">
          <cell r="A2">
            <v>1</v>
          </cell>
        </row>
      </sheetData>
      <sheetData sheetId="12">
        <row r="5">
          <cell r="B5" t="str">
            <v>Januar</v>
          </cell>
        </row>
        <row r="9">
          <cell r="B9">
            <v>4</v>
          </cell>
        </row>
        <row r="21">
          <cell r="B21" t="str">
            <v>Budget</v>
          </cell>
          <cell r="C21" t="str">
            <v>Prognose</v>
          </cell>
          <cell r="D21" t="str">
            <v>Sidste år</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ensioner"/>
      <sheetName val="Data"/>
      <sheetName val="DataYTD"/>
      <sheetName val="DataBudget"/>
      <sheetName val="DataBudgetYTD"/>
      <sheetName val="Toolpack-finance®"/>
      <sheetName val="Dimensionsrapport"/>
      <sheetName val="Nøgletal"/>
      <sheetName val="Grafer"/>
      <sheetName val="Hovedrapport vedr. dimensioner"/>
      <sheetName val="Hovedrapport vedr. dimensio (2)"/>
      <sheetName val="Formateringer"/>
      <sheetName val="language"/>
      <sheetName val="RangeControl"/>
    </sheetNames>
    <sheetDataSet>
      <sheetData sheetId="0"/>
      <sheetData sheetId="1">
        <row r="12">
          <cell r="A12" t="str">
            <v>09000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cell r="LJ12">
            <v>0</v>
          </cell>
          <cell r="LK12">
            <v>0</v>
          </cell>
          <cell r="LL12">
            <v>0</v>
          </cell>
          <cell r="LM12">
            <v>0</v>
          </cell>
          <cell r="LN12">
            <v>0</v>
          </cell>
          <cell r="LO12">
            <v>0</v>
          </cell>
          <cell r="LP12">
            <v>0</v>
          </cell>
          <cell r="LQ12">
            <v>0</v>
          </cell>
          <cell r="LR12">
            <v>0</v>
          </cell>
          <cell r="LS12">
            <v>0</v>
          </cell>
          <cell r="LT12">
            <v>0</v>
          </cell>
          <cell r="LU12">
            <v>0</v>
          </cell>
          <cell r="LV12">
            <v>0</v>
          </cell>
          <cell r="LW12">
            <v>0</v>
          </cell>
          <cell r="LX12">
            <v>0</v>
          </cell>
          <cell r="LY12">
            <v>0</v>
          </cell>
          <cell r="LZ12">
            <v>0</v>
          </cell>
          <cell r="MA12">
            <v>0</v>
          </cell>
          <cell r="MB12">
            <v>0</v>
          </cell>
          <cell r="MC12">
            <v>0</v>
          </cell>
          <cell r="MD12">
            <v>0</v>
          </cell>
          <cell r="ME12">
            <v>0</v>
          </cell>
          <cell r="MF12">
            <v>0</v>
          </cell>
          <cell r="MG12">
            <v>0</v>
          </cell>
          <cell r="MH12">
            <v>0</v>
          </cell>
          <cell r="MI12">
            <v>0</v>
          </cell>
          <cell r="MJ12">
            <v>0</v>
          </cell>
          <cell r="MK12">
            <v>0</v>
          </cell>
          <cell r="ML12">
            <v>0</v>
          </cell>
          <cell r="MM12">
            <v>0</v>
          </cell>
          <cell r="MN12">
            <v>0</v>
          </cell>
          <cell r="MO12">
            <v>0</v>
          </cell>
          <cell r="MP12">
            <v>0</v>
          </cell>
          <cell r="MQ12">
            <v>0</v>
          </cell>
          <cell r="MR12">
            <v>0</v>
          </cell>
          <cell r="MS12">
            <v>0</v>
          </cell>
          <cell r="MT12">
            <v>0</v>
          </cell>
          <cell r="MU12">
            <v>0</v>
          </cell>
          <cell r="MV12">
            <v>0</v>
          </cell>
          <cell r="MW12">
            <v>0</v>
          </cell>
          <cell r="MX12">
            <v>0</v>
          </cell>
          <cell r="MY12">
            <v>0</v>
          </cell>
          <cell r="MZ12">
            <v>0</v>
          </cell>
          <cell r="NA12">
            <v>0</v>
          </cell>
          <cell r="NB12">
            <v>0</v>
          </cell>
          <cell r="NC12">
            <v>0</v>
          </cell>
          <cell r="ND12">
            <v>0</v>
          </cell>
          <cell r="NE12">
            <v>0</v>
          </cell>
          <cell r="NF12">
            <v>0</v>
          </cell>
          <cell r="NG12">
            <v>0</v>
          </cell>
          <cell r="NH12">
            <v>0</v>
          </cell>
          <cell r="NI12">
            <v>0</v>
          </cell>
          <cell r="NJ12">
            <v>0</v>
          </cell>
          <cell r="NK12">
            <v>0</v>
          </cell>
          <cell r="NL12">
            <v>0</v>
          </cell>
          <cell r="NM12">
            <v>0</v>
          </cell>
          <cell r="NN12">
            <v>0</v>
          </cell>
          <cell r="NO12">
            <v>0</v>
          </cell>
          <cell r="NP12">
            <v>0</v>
          </cell>
          <cell r="NQ12">
            <v>0</v>
          </cell>
          <cell r="NR12">
            <v>0</v>
          </cell>
          <cell r="NS12">
            <v>0</v>
          </cell>
          <cell r="NT12">
            <v>0</v>
          </cell>
          <cell r="NU12">
            <v>0</v>
          </cell>
          <cell r="NV12">
            <v>0</v>
          </cell>
          <cell r="NW12">
            <v>0</v>
          </cell>
          <cell r="NX12">
            <v>0</v>
          </cell>
          <cell r="NY12">
            <v>0</v>
          </cell>
          <cell r="NZ12">
            <v>0</v>
          </cell>
          <cell r="OA12">
            <v>0</v>
          </cell>
          <cell r="OB12">
            <v>0</v>
          </cell>
          <cell r="OC12">
            <v>0</v>
          </cell>
          <cell r="OD12">
            <v>0</v>
          </cell>
          <cell r="OE12">
            <v>0</v>
          </cell>
          <cell r="OF12">
            <v>0</v>
          </cell>
          <cell r="OG12">
            <v>0</v>
          </cell>
          <cell r="OH12">
            <v>0</v>
          </cell>
          <cell r="OI12">
            <v>0</v>
          </cell>
          <cell r="OJ12">
            <v>0</v>
          </cell>
          <cell r="OK12">
            <v>0</v>
          </cell>
          <cell r="OL12">
            <v>0</v>
          </cell>
          <cell r="OM12">
            <v>0</v>
          </cell>
          <cell r="ON12">
            <v>0</v>
          </cell>
          <cell r="OO12">
            <v>0</v>
          </cell>
          <cell r="OP12">
            <v>0</v>
          </cell>
          <cell r="OQ12">
            <v>0</v>
          </cell>
          <cell r="OR12">
            <v>0</v>
          </cell>
          <cell r="OS12">
            <v>0</v>
          </cell>
          <cell r="OT12">
            <v>0</v>
          </cell>
          <cell r="OU12">
            <v>0</v>
          </cell>
          <cell r="OV12">
            <v>0</v>
          </cell>
          <cell r="OW12">
            <v>0</v>
          </cell>
          <cell r="OX12">
            <v>0</v>
          </cell>
          <cell r="OY12">
            <v>0</v>
          </cell>
          <cell r="OZ12">
            <v>0</v>
          </cell>
          <cell r="PA12">
            <v>0</v>
          </cell>
          <cell r="PB12">
            <v>0</v>
          </cell>
          <cell r="PC12">
            <v>0</v>
          </cell>
          <cell r="PD12">
            <v>0</v>
          </cell>
          <cell r="PE12">
            <v>0</v>
          </cell>
          <cell r="PF12">
            <v>0</v>
          </cell>
          <cell r="PG12">
            <v>0</v>
          </cell>
          <cell r="PH12">
            <v>0</v>
          </cell>
          <cell r="PI12">
            <v>0</v>
          </cell>
          <cell r="PJ12">
            <v>0</v>
          </cell>
          <cell r="PK12">
            <v>0</v>
          </cell>
          <cell r="PL12">
            <v>0</v>
          </cell>
          <cell r="PM12">
            <v>0</v>
          </cell>
          <cell r="PN12">
            <v>0</v>
          </cell>
          <cell r="PO12">
            <v>0</v>
          </cell>
          <cell r="PP12">
            <v>0</v>
          </cell>
          <cell r="PQ12">
            <v>0</v>
          </cell>
          <cell r="PR12">
            <v>0</v>
          </cell>
          <cell r="PS12">
            <v>0</v>
          </cell>
          <cell r="PT12">
            <v>0</v>
          </cell>
          <cell r="PU12">
            <v>0</v>
          </cell>
          <cell r="PV12">
            <v>0</v>
          </cell>
          <cell r="PW12">
            <v>0</v>
          </cell>
          <cell r="PX12">
            <v>0</v>
          </cell>
          <cell r="PY12">
            <v>0</v>
          </cell>
          <cell r="PZ12">
            <v>0</v>
          </cell>
          <cell r="QA12">
            <v>0</v>
          </cell>
          <cell r="QB12">
            <v>0</v>
          </cell>
          <cell r="QC12">
            <v>0</v>
          </cell>
          <cell r="QD12">
            <v>0</v>
          </cell>
          <cell r="QE12">
            <v>0</v>
          </cell>
          <cell r="QF12">
            <v>0</v>
          </cell>
          <cell r="QG12">
            <v>0</v>
          </cell>
          <cell r="QH12">
            <v>0</v>
          </cell>
          <cell r="QI12">
            <v>0</v>
          </cell>
          <cell r="QJ12">
            <v>0</v>
          </cell>
          <cell r="QK12">
            <v>0</v>
          </cell>
          <cell r="QL12">
            <v>0</v>
          </cell>
          <cell r="QM12">
            <v>0</v>
          </cell>
          <cell r="QN12">
            <v>0</v>
          </cell>
          <cell r="QO12">
            <v>0</v>
          </cell>
          <cell r="QP12">
            <v>0</v>
          </cell>
          <cell r="QQ12">
            <v>0</v>
          </cell>
          <cell r="QR12">
            <v>0</v>
          </cell>
          <cell r="QS12">
            <v>0</v>
          </cell>
          <cell r="QT12">
            <v>0</v>
          </cell>
          <cell r="QU12">
            <v>0</v>
          </cell>
          <cell r="QV12">
            <v>0</v>
          </cell>
          <cell r="QW12">
            <v>0</v>
          </cell>
          <cell r="QX12">
            <v>0</v>
          </cell>
          <cell r="QY12">
            <v>0</v>
          </cell>
          <cell r="QZ12">
            <v>0</v>
          </cell>
          <cell r="RA12">
            <v>0</v>
          </cell>
          <cell r="RB12">
            <v>0</v>
          </cell>
          <cell r="RC12">
            <v>0</v>
          </cell>
          <cell r="RD12">
            <v>0</v>
          </cell>
          <cell r="RE12">
            <v>0</v>
          </cell>
          <cell r="RF12">
            <v>0</v>
          </cell>
          <cell r="RG12">
            <v>0</v>
          </cell>
          <cell r="RH12">
            <v>0</v>
          </cell>
          <cell r="RI12">
            <v>0</v>
          </cell>
          <cell r="RJ12">
            <v>0</v>
          </cell>
          <cell r="RK12">
            <v>0</v>
          </cell>
          <cell r="RL12">
            <v>0</v>
          </cell>
          <cell r="RM12">
            <v>0</v>
          </cell>
          <cell r="RN12">
            <v>0</v>
          </cell>
          <cell r="RO12">
            <v>0</v>
          </cell>
          <cell r="RP12">
            <v>0</v>
          </cell>
          <cell r="RQ12">
            <v>0</v>
          </cell>
          <cell r="RR12">
            <v>0</v>
          </cell>
          <cell r="RS12">
            <v>0</v>
          </cell>
          <cell r="RT12">
            <v>0</v>
          </cell>
          <cell r="RU12">
            <v>0</v>
          </cell>
          <cell r="RV12">
            <v>0</v>
          </cell>
          <cell r="RW12">
            <v>0</v>
          </cell>
          <cell r="RX12">
            <v>0</v>
          </cell>
          <cell r="RY12">
            <v>0</v>
          </cell>
          <cell r="RZ12">
            <v>0</v>
          </cell>
          <cell r="SA12">
            <v>0</v>
          </cell>
          <cell r="SB12">
            <v>0</v>
          </cell>
          <cell r="SC12">
            <v>0</v>
          </cell>
          <cell r="SD12">
            <v>0</v>
          </cell>
          <cell r="SE12">
            <v>0</v>
          </cell>
          <cell r="SF12">
            <v>0</v>
          </cell>
          <cell r="SG12">
            <v>0</v>
          </cell>
          <cell r="SH12">
            <v>0</v>
          </cell>
          <cell r="SI12">
            <v>0</v>
          </cell>
          <cell r="SJ12">
            <v>0</v>
          </cell>
          <cell r="SK12">
            <v>0</v>
          </cell>
          <cell r="SL12">
            <v>0</v>
          </cell>
          <cell r="SM12">
            <v>0</v>
          </cell>
          <cell r="SN12">
            <v>0</v>
          </cell>
          <cell r="SO12">
            <v>0</v>
          </cell>
          <cell r="SP12">
            <v>0</v>
          </cell>
          <cell r="SQ12">
            <v>0</v>
          </cell>
          <cell r="SR12">
            <v>0</v>
          </cell>
          <cell r="SS12">
            <v>0</v>
          </cell>
          <cell r="ST12">
            <v>0</v>
          </cell>
          <cell r="SU12">
            <v>0</v>
          </cell>
          <cell r="SV12">
            <v>0</v>
          </cell>
          <cell r="SW12">
            <v>0</v>
          </cell>
          <cell r="SX12">
            <v>0</v>
          </cell>
          <cell r="SY12">
            <v>0</v>
          </cell>
          <cell r="SZ12">
            <v>0</v>
          </cell>
          <cell r="TA12">
            <v>0</v>
          </cell>
          <cell r="TB12">
            <v>0</v>
          </cell>
          <cell r="TC12">
            <v>0</v>
          </cell>
          <cell r="TD12">
            <v>0</v>
          </cell>
          <cell r="TE12">
            <v>0</v>
          </cell>
          <cell r="TF12">
            <v>0</v>
          </cell>
          <cell r="TG12">
            <v>0</v>
          </cell>
        </row>
      </sheetData>
      <sheetData sheetId="2">
        <row r="12">
          <cell r="A12" t="str">
            <v>09000</v>
          </cell>
          <cell r="D12" t="str">
            <v>NY</v>
          </cell>
          <cell r="F12">
            <v>1</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cell r="LJ12">
            <v>0</v>
          </cell>
          <cell r="LK12">
            <v>0</v>
          </cell>
          <cell r="LL12">
            <v>0</v>
          </cell>
          <cell r="LM12">
            <v>0</v>
          </cell>
          <cell r="LN12">
            <v>0</v>
          </cell>
          <cell r="LO12">
            <v>0</v>
          </cell>
          <cell r="LP12">
            <v>0</v>
          </cell>
          <cell r="LQ12">
            <v>0</v>
          </cell>
          <cell r="LR12">
            <v>0</v>
          </cell>
          <cell r="LS12">
            <v>0</v>
          </cell>
          <cell r="LT12">
            <v>0</v>
          </cell>
          <cell r="LU12">
            <v>0</v>
          </cell>
          <cell r="LV12">
            <v>0</v>
          </cell>
          <cell r="LW12">
            <v>0</v>
          </cell>
          <cell r="LX12">
            <v>0</v>
          </cell>
          <cell r="LY12">
            <v>0</v>
          </cell>
          <cell r="LZ12">
            <v>0</v>
          </cell>
          <cell r="MA12">
            <v>0</v>
          </cell>
          <cell r="MB12">
            <v>0</v>
          </cell>
          <cell r="MC12">
            <v>0</v>
          </cell>
          <cell r="MD12">
            <v>0</v>
          </cell>
          <cell r="ME12">
            <v>0</v>
          </cell>
          <cell r="MF12">
            <v>0</v>
          </cell>
          <cell r="MG12">
            <v>0</v>
          </cell>
          <cell r="MH12">
            <v>0</v>
          </cell>
          <cell r="MI12">
            <v>0</v>
          </cell>
          <cell r="MJ12">
            <v>0</v>
          </cell>
          <cell r="MK12">
            <v>0</v>
          </cell>
          <cell r="ML12">
            <v>0</v>
          </cell>
          <cell r="MM12">
            <v>0</v>
          </cell>
          <cell r="MN12">
            <v>0</v>
          </cell>
          <cell r="MO12">
            <v>0</v>
          </cell>
          <cell r="MP12">
            <v>0</v>
          </cell>
          <cell r="MQ12">
            <v>0</v>
          </cell>
          <cell r="MR12">
            <v>0</v>
          </cell>
          <cell r="MS12">
            <v>0</v>
          </cell>
          <cell r="MT12">
            <v>0</v>
          </cell>
          <cell r="MU12">
            <v>0</v>
          </cell>
          <cell r="MV12">
            <v>0</v>
          </cell>
          <cell r="MW12">
            <v>0</v>
          </cell>
          <cell r="MX12">
            <v>0</v>
          </cell>
          <cell r="MY12">
            <v>0</v>
          </cell>
          <cell r="MZ12">
            <v>0</v>
          </cell>
          <cell r="NA12">
            <v>0</v>
          </cell>
          <cell r="NB12">
            <v>0</v>
          </cell>
          <cell r="NC12">
            <v>0</v>
          </cell>
          <cell r="ND12">
            <v>0</v>
          </cell>
          <cell r="NE12">
            <v>0</v>
          </cell>
          <cell r="NF12">
            <v>0</v>
          </cell>
          <cell r="NG12">
            <v>0</v>
          </cell>
          <cell r="NH12">
            <v>0</v>
          </cell>
          <cell r="NI12">
            <v>0</v>
          </cell>
          <cell r="NJ12">
            <v>0</v>
          </cell>
          <cell r="NK12">
            <v>0</v>
          </cell>
          <cell r="NL12">
            <v>0</v>
          </cell>
          <cell r="NM12">
            <v>0</v>
          </cell>
          <cell r="NN12">
            <v>0</v>
          </cell>
          <cell r="NO12">
            <v>0</v>
          </cell>
          <cell r="NP12">
            <v>0</v>
          </cell>
          <cell r="NQ12">
            <v>0</v>
          </cell>
          <cell r="NR12">
            <v>0</v>
          </cell>
          <cell r="NS12">
            <v>0</v>
          </cell>
          <cell r="NT12">
            <v>0</v>
          </cell>
          <cell r="NU12">
            <v>0</v>
          </cell>
          <cell r="NV12">
            <v>0</v>
          </cell>
          <cell r="NW12">
            <v>0</v>
          </cell>
          <cell r="NX12">
            <v>0</v>
          </cell>
          <cell r="NY12">
            <v>0</v>
          </cell>
          <cell r="NZ12">
            <v>0</v>
          </cell>
          <cell r="OA12">
            <v>0</v>
          </cell>
          <cell r="OB12">
            <v>0</v>
          </cell>
          <cell r="OC12">
            <v>0</v>
          </cell>
          <cell r="OD12">
            <v>0</v>
          </cell>
          <cell r="OE12">
            <v>0</v>
          </cell>
          <cell r="OF12">
            <v>0</v>
          </cell>
          <cell r="OG12">
            <v>0</v>
          </cell>
          <cell r="OH12">
            <v>0</v>
          </cell>
          <cell r="OI12">
            <v>0</v>
          </cell>
          <cell r="OJ12">
            <v>0</v>
          </cell>
          <cell r="OK12">
            <v>0</v>
          </cell>
          <cell r="OL12">
            <v>0</v>
          </cell>
          <cell r="OM12">
            <v>0</v>
          </cell>
          <cell r="ON12">
            <v>0</v>
          </cell>
          <cell r="OO12">
            <v>0</v>
          </cell>
          <cell r="OP12">
            <v>0</v>
          </cell>
          <cell r="OQ12">
            <v>0</v>
          </cell>
          <cell r="OR12">
            <v>0</v>
          </cell>
          <cell r="OS12">
            <v>0</v>
          </cell>
          <cell r="OT12">
            <v>0</v>
          </cell>
          <cell r="OU12">
            <v>0</v>
          </cell>
          <cell r="OV12">
            <v>0</v>
          </cell>
          <cell r="OW12">
            <v>0</v>
          </cell>
          <cell r="OX12">
            <v>0</v>
          </cell>
          <cell r="OY12">
            <v>0</v>
          </cell>
          <cell r="OZ12">
            <v>0</v>
          </cell>
          <cell r="PA12">
            <v>0</v>
          </cell>
          <cell r="PB12">
            <v>0</v>
          </cell>
          <cell r="PC12">
            <v>0</v>
          </cell>
          <cell r="PD12">
            <v>0</v>
          </cell>
          <cell r="PE12">
            <v>0</v>
          </cell>
          <cell r="PF12">
            <v>0</v>
          </cell>
          <cell r="PG12">
            <v>0</v>
          </cell>
          <cell r="PH12">
            <v>0</v>
          </cell>
          <cell r="PI12">
            <v>0</v>
          </cell>
          <cell r="PJ12">
            <v>0</v>
          </cell>
          <cell r="PK12">
            <v>0</v>
          </cell>
          <cell r="PL12">
            <v>0</v>
          </cell>
          <cell r="PM12">
            <v>0</v>
          </cell>
          <cell r="PN12">
            <v>0</v>
          </cell>
          <cell r="PO12">
            <v>0</v>
          </cell>
          <cell r="PP12">
            <v>0</v>
          </cell>
          <cell r="PQ12">
            <v>0</v>
          </cell>
          <cell r="PR12">
            <v>0</v>
          </cell>
          <cell r="PS12">
            <v>0</v>
          </cell>
          <cell r="PT12">
            <v>0</v>
          </cell>
          <cell r="PU12">
            <v>0</v>
          </cell>
          <cell r="PV12">
            <v>0</v>
          </cell>
          <cell r="PW12">
            <v>0</v>
          </cell>
          <cell r="PX12">
            <v>0</v>
          </cell>
          <cell r="PY12">
            <v>0</v>
          </cell>
          <cell r="PZ12">
            <v>0</v>
          </cell>
          <cell r="QA12">
            <v>0</v>
          </cell>
          <cell r="QB12">
            <v>0</v>
          </cell>
          <cell r="QC12">
            <v>0</v>
          </cell>
          <cell r="QD12">
            <v>0</v>
          </cell>
          <cell r="QE12">
            <v>0</v>
          </cell>
          <cell r="QF12">
            <v>0</v>
          </cell>
          <cell r="QG12">
            <v>0</v>
          </cell>
          <cell r="QH12">
            <v>0</v>
          </cell>
          <cell r="QI12">
            <v>0</v>
          </cell>
          <cell r="QJ12">
            <v>0</v>
          </cell>
          <cell r="QK12">
            <v>0</v>
          </cell>
          <cell r="QL12">
            <v>0</v>
          </cell>
          <cell r="QM12">
            <v>0</v>
          </cell>
          <cell r="QN12">
            <v>0</v>
          </cell>
          <cell r="QO12">
            <v>0</v>
          </cell>
          <cell r="QP12">
            <v>0</v>
          </cell>
          <cell r="QQ12">
            <v>0</v>
          </cell>
          <cell r="QR12">
            <v>0</v>
          </cell>
          <cell r="QS12">
            <v>0</v>
          </cell>
          <cell r="QT12">
            <v>0</v>
          </cell>
          <cell r="QU12">
            <v>0</v>
          </cell>
          <cell r="QV12">
            <v>0</v>
          </cell>
          <cell r="QW12">
            <v>0</v>
          </cell>
          <cell r="QX12">
            <v>0</v>
          </cell>
          <cell r="QY12">
            <v>0</v>
          </cell>
          <cell r="QZ12">
            <v>0</v>
          </cell>
          <cell r="RA12">
            <v>0</v>
          </cell>
          <cell r="RB12">
            <v>0</v>
          </cell>
          <cell r="RC12">
            <v>0</v>
          </cell>
          <cell r="RD12">
            <v>0</v>
          </cell>
          <cell r="RE12">
            <v>0</v>
          </cell>
          <cell r="RF12">
            <v>0</v>
          </cell>
          <cell r="RG12">
            <v>0</v>
          </cell>
          <cell r="RH12">
            <v>0</v>
          </cell>
          <cell r="RI12">
            <v>0</v>
          </cell>
          <cell r="RJ12">
            <v>0</v>
          </cell>
          <cell r="RK12">
            <v>0</v>
          </cell>
          <cell r="RL12">
            <v>0</v>
          </cell>
          <cell r="RM12">
            <v>0</v>
          </cell>
          <cell r="RN12">
            <v>0</v>
          </cell>
          <cell r="RO12">
            <v>0</v>
          </cell>
          <cell r="RP12">
            <v>0</v>
          </cell>
          <cell r="RQ12">
            <v>0</v>
          </cell>
          <cell r="RR12">
            <v>0</v>
          </cell>
          <cell r="RS12">
            <v>0</v>
          </cell>
          <cell r="RT12">
            <v>0</v>
          </cell>
          <cell r="RU12">
            <v>0</v>
          </cell>
          <cell r="RV12">
            <v>0</v>
          </cell>
          <cell r="RW12">
            <v>0</v>
          </cell>
          <cell r="RX12">
            <v>0</v>
          </cell>
          <cell r="RY12">
            <v>0</v>
          </cell>
          <cell r="RZ12">
            <v>0</v>
          </cell>
          <cell r="SA12">
            <v>0</v>
          </cell>
          <cell r="SB12">
            <v>0</v>
          </cell>
          <cell r="SC12">
            <v>0</v>
          </cell>
          <cell r="SD12">
            <v>0</v>
          </cell>
          <cell r="SE12">
            <v>0</v>
          </cell>
          <cell r="SF12">
            <v>0</v>
          </cell>
          <cell r="SG12">
            <v>0</v>
          </cell>
          <cell r="SH12">
            <v>0</v>
          </cell>
          <cell r="SI12">
            <v>0</v>
          </cell>
          <cell r="SJ12">
            <v>0</v>
          </cell>
          <cell r="SK12">
            <v>0</v>
          </cell>
          <cell r="SL12">
            <v>0</v>
          </cell>
          <cell r="SM12">
            <v>0</v>
          </cell>
          <cell r="SN12">
            <v>0</v>
          </cell>
          <cell r="SO12">
            <v>0</v>
          </cell>
          <cell r="SP12">
            <v>0</v>
          </cell>
          <cell r="SQ12">
            <v>0</v>
          </cell>
          <cell r="SR12">
            <v>0</v>
          </cell>
          <cell r="SS12">
            <v>0</v>
          </cell>
          <cell r="ST12">
            <v>0</v>
          </cell>
          <cell r="SU12">
            <v>0</v>
          </cell>
          <cell r="SV12">
            <v>0</v>
          </cell>
          <cell r="SW12">
            <v>0</v>
          </cell>
          <cell r="SX12">
            <v>0</v>
          </cell>
          <cell r="SY12">
            <v>0</v>
          </cell>
          <cell r="SZ12">
            <v>0</v>
          </cell>
          <cell r="TA12">
            <v>0</v>
          </cell>
          <cell r="TB12">
            <v>0</v>
          </cell>
          <cell r="TC12">
            <v>0</v>
          </cell>
          <cell r="TD12">
            <v>0</v>
          </cell>
          <cell r="TE12">
            <v>0</v>
          </cell>
          <cell r="TF12">
            <v>0</v>
          </cell>
          <cell r="TG12">
            <v>0</v>
          </cell>
        </row>
        <row r="13">
          <cell r="A13" t="str">
            <v>09999</v>
          </cell>
          <cell r="B13" t="str">
            <v>Fast betaling</v>
          </cell>
          <cell r="D13" t="str">
            <v>NY</v>
          </cell>
          <cell r="F13">
            <v>3</v>
          </cell>
          <cell r="M13">
            <v>0</v>
          </cell>
          <cell r="JC13">
            <v>0</v>
          </cell>
        </row>
        <row r="14">
          <cell r="A14" t="str">
            <v>10100</v>
          </cell>
          <cell r="B14" t="str">
            <v>Fast selskabsbetaling</v>
          </cell>
          <cell r="D14">
            <v>10100</v>
          </cell>
          <cell r="F14">
            <v>0</v>
          </cell>
          <cell r="M14">
            <v>-499999.92</v>
          </cell>
          <cell r="JC14">
            <v>-499999.92</v>
          </cell>
        </row>
        <row r="15">
          <cell r="A15" t="str">
            <v>10200</v>
          </cell>
          <cell r="B15" t="str">
            <v>Fast præmiegebyr</v>
          </cell>
          <cell r="D15">
            <v>10200</v>
          </cell>
          <cell r="F15">
            <v>0</v>
          </cell>
          <cell r="M15">
            <v>-8627793.9600000009</v>
          </cell>
          <cell r="JC15">
            <v>-8627793.9600000009</v>
          </cell>
        </row>
        <row r="16">
          <cell r="A16" t="str">
            <v>10999</v>
          </cell>
          <cell r="B16" t="str">
            <v>Fast betaling i alt</v>
          </cell>
          <cell r="D16">
            <v>10300</v>
          </cell>
          <cell r="F16">
            <v>4</v>
          </cell>
          <cell r="M16">
            <v>0</v>
          </cell>
          <cell r="JC16">
            <v>0</v>
          </cell>
        </row>
        <row r="17">
          <cell r="A17" t="str">
            <v>11000</v>
          </cell>
          <cell r="B17" t="str">
            <v>EDB Produktion</v>
          </cell>
          <cell r="D17" t="str">
            <v>NY</v>
          </cell>
          <cell r="F17">
            <v>3</v>
          </cell>
          <cell r="M17">
            <v>0</v>
          </cell>
          <cell r="JC17">
            <v>0</v>
          </cell>
        </row>
        <row r="18">
          <cell r="A18" t="str">
            <v>11100</v>
          </cell>
          <cell r="B18" t="str">
            <v>Royalty EDB Produktion</v>
          </cell>
          <cell r="D18">
            <v>11100</v>
          </cell>
          <cell r="F18">
            <v>0</v>
          </cell>
          <cell r="M18">
            <v>0</v>
          </cell>
          <cell r="JC18">
            <v>0</v>
          </cell>
        </row>
        <row r="19">
          <cell r="A19" t="str">
            <v>11200</v>
          </cell>
          <cell r="B19" t="str">
            <v>EDB produktion grundgebyr</v>
          </cell>
          <cell r="D19">
            <v>11200</v>
          </cell>
          <cell r="F19">
            <v>0</v>
          </cell>
          <cell r="M19">
            <v>0</v>
          </cell>
          <cell r="JC19">
            <v>0</v>
          </cell>
        </row>
        <row r="20">
          <cell r="A20" t="str">
            <v>11300</v>
          </cell>
          <cell r="B20" t="str">
            <v>EDB produktion on-line</v>
          </cell>
          <cell r="D20">
            <v>11300</v>
          </cell>
          <cell r="F20">
            <v>0</v>
          </cell>
          <cell r="M20">
            <v>-3692085.08</v>
          </cell>
          <cell r="JC20">
            <v>-3692085.08</v>
          </cell>
        </row>
        <row r="21">
          <cell r="A21" t="str">
            <v>11400</v>
          </cell>
          <cell r="B21" t="str">
            <v>EDB produktion batch</v>
          </cell>
          <cell r="D21">
            <v>11400</v>
          </cell>
          <cell r="F21">
            <v>0</v>
          </cell>
          <cell r="M21">
            <v>-4406478.79</v>
          </cell>
          <cell r="JC21">
            <v>-4406478.79</v>
          </cell>
        </row>
        <row r="22">
          <cell r="A22" t="str">
            <v>11500</v>
          </cell>
          <cell r="B22" t="str">
            <v>Maskintesttimer</v>
          </cell>
          <cell r="D22">
            <v>11500</v>
          </cell>
          <cell r="F22">
            <v>0</v>
          </cell>
          <cell r="M22">
            <v>-163964.78</v>
          </cell>
          <cell r="JC22">
            <v>-163964.78</v>
          </cell>
        </row>
        <row r="23">
          <cell r="A23" t="str">
            <v>11600</v>
          </cell>
          <cell r="B23" t="str">
            <v>TSO/SAS</v>
          </cell>
          <cell r="D23">
            <v>11600</v>
          </cell>
          <cell r="F23">
            <v>0</v>
          </cell>
          <cell r="M23">
            <v>-65131.11</v>
          </cell>
          <cell r="JC23">
            <v>-65131.11</v>
          </cell>
        </row>
        <row r="24">
          <cell r="A24" t="str">
            <v>11700</v>
          </cell>
          <cell r="B24" t="str">
            <v>Diskleje</v>
          </cell>
          <cell r="D24">
            <v>11700</v>
          </cell>
          <cell r="F24">
            <v>0</v>
          </cell>
          <cell r="M24">
            <v>-5296800.46</v>
          </cell>
          <cell r="JC24">
            <v>-5296800.46</v>
          </cell>
        </row>
        <row r="25">
          <cell r="A25" t="str">
            <v>11800</v>
          </cell>
          <cell r="B25" t="str">
            <v>Rabat EDB Produktion</v>
          </cell>
          <cell r="D25">
            <v>11800</v>
          </cell>
          <cell r="F25">
            <v>0</v>
          </cell>
          <cell r="M25">
            <v>4768560.9800000004</v>
          </cell>
          <cell r="JC25">
            <v>4768560.9800000004</v>
          </cell>
        </row>
        <row r="26">
          <cell r="A26" t="str">
            <v>11900</v>
          </cell>
          <cell r="B26" t="str">
            <v>Kompensation for oppetider</v>
          </cell>
          <cell r="F26">
            <v>0</v>
          </cell>
          <cell r="M26">
            <v>0</v>
          </cell>
          <cell r="JC26">
            <v>0</v>
          </cell>
        </row>
        <row r="27">
          <cell r="A27" t="str">
            <v>11999</v>
          </cell>
          <cell r="B27" t="str">
            <v>EDB produktion ialt</v>
          </cell>
          <cell r="D27">
            <v>11900</v>
          </cell>
          <cell r="F27">
            <v>4</v>
          </cell>
          <cell r="M27">
            <v>0</v>
          </cell>
          <cell r="JC27">
            <v>0</v>
          </cell>
        </row>
        <row r="28">
          <cell r="A28" t="str">
            <v>12000</v>
          </cell>
          <cell r="B28" t="str">
            <v>Serviceaft., tek supp. og netv</v>
          </cell>
          <cell r="D28" t="str">
            <v>NY</v>
          </cell>
          <cell r="F28">
            <v>3</v>
          </cell>
          <cell r="M28">
            <v>0</v>
          </cell>
          <cell r="JC28">
            <v>0</v>
          </cell>
        </row>
        <row r="29">
          <cell r="A29" t="str">
            <v>12100</v>
          </cell>
          <cell r="B29" t="str">
            <v>Netværksforbindelser</v>
          </cell>
          <cell r="D29">
            <v>12100</v>
          </cell>
          <cell r="F29">
            <v>0</v>
          </cell>
          <cell r="M29">
            <v>0</v>
          </cell>
          <cell r="JC29">
            <v>0</v>
          </cell>
        </row>
        <row r="30">
          <cell r="A30" t="str">
            <v>12200</v>
          </cell>
          <cell r="B30" t="str">
            <v>Internet</v>
          </cell>
          <cell r="D30">
            <v>12200</v>
          </cell>
          <cell r="F30">
            <v>0</v>
          </cell>
          <cell r="M30">
            <v>-930425.89</v>
          </cell>
          <cell r="JC30">
            <v>-930425.89</v>
          </cell>
        </row>
        <row r="31">
          <cell r="A31" t="str">
            <v>12250</v>
          </cell>
          <cell r="B31" t="str">
            <v>E-mail</v>
          </cell>
          <cell r="D31" t="str">
            <v>NY</v>
          </cell>
          <cell r="F31">
            <v>0</v>
          </cell>
          <cell r="M31">
            <v>-2050671.6</v>
          </cell>
          <cell r="JC31">
            <v>-2050671.6</v>
          </cell>
        </row>
        <row r="32">
          <cell r="A32" t="str">
            <v>12300</v>
          </cell>
          <cell r="B32" t="str">
            <v>Serviceaftaler</v>
          </cell>
          <cell r="D32">
            <v>12300</v>
          </cell>
          <cell r="F32">
            <v>0</v>
          </cell>
          <cell r="M32">
            <v>-2824297.15</v>
          </cell>
          <cell r="JC32">
            <v>-2824297.15</v>
          </cell>
        </row>
        <row r="33">
          <cell r="A33" t="str">
            <v>12400</v>
          </cell>
          <cell r="B33" t="str">
            <v>Drift og Teknik</v>
          </cell>
          <cell r="D33">
            <v>12400</v>
          </cell>
          <cell r="F33">
            <v>0</v>
          </cell>
          <cell r="M33">
            <v>-1041833.1</v>
          </cell>
          <cell r="JC33">
            <v>-1041833.1</v>
          </cell>
        </row>
        <row r="34">
          <cell r="A34" t="str">
            <v>12998</v>
          </cell>
          <cell r="B34" t="str">
            <v>Service, teknik og netv. ialt</v>
          </cell>
          <cell r="D34" t="str">
            <v>NY</v>
          </cell>
          <cell r="F34">
            <v>4</v>
          </cell>
          <cell r="M34">
            <v>0</v>
          </cell>
          <cell r="JC34">
            <v>0</v>
          </cell>
        </row>
        <row r="35">
          <cell r="A35" t="str">
            <v>12999</v>
          </cell>
          <cell r="B35" t="str">
            <v>Efterbehandling</v>
          </cell>
          <cell r="D35" t="str">
            <v>NY</v>
          </cell>
          <cell r="F35">
            <v>3</v>
          </cell>
          <cell r="M35">
            <v>0</v>
          </cell>
          <cell r="JC35">
            <v>0</v>
          </cell>
        </row>
        <row r="36">
          <cell r="A36" t="str">
            <v>13100</v>
          </cell>
          <cell r="B36" t="str">
            <v>Klikafgifter mv.</v>
          </cell>
          <cell r="D36" t="str">
            <v>NY</v>
          </cell>
          <cell r="F36">
            <v>0</v>
          </cell>
          <cell r="M36">
            <v>-966720.33</v>
          </cell>
          <cell r="JC36">
            <v>-966720.33</v>
          </cell>
        </row>
        <row r="37">
          <cell r="A37" t="str">
            <v>13200</v>
          </cell>
          <cell r="B37" t="str">
            <v>Efterbehandling Timeydelse</v>
          </cell>
          <cell r="D37">
            <v>13200</v>
          </cell>
          <cell r="F37">
            <v>0</v>
          </cell>
          <cell r="M37">
            <v>-723499.2</v>
          </cell>
          <cell r="JC37">
            <v>-723499.2</v>
          </cell>
        </row>
        <row r="38">
          <cell r="A38" t="str">
            <v>13300</v>
          </cell>
          <cell r="B38" t="str">
            <v>Andre efterbehandlingsydelser</v>
          </cell>
          <cell r="D38" t="str">
            <v>NY</v>
          </cell>
          <cell r="F38">
            <v>0</v>
          </cell>
          <cell r="M38">
            <v>0</v>
          </cell>
          <cell r="JC38">
            <v>0</v>
          </cell>
        </row>
        <row r="39">
          <cell r="A39" t="str">
            <v>13998</v>
          </cell>
          <cell r="B39" t="str">
            <v>Efterbehandling ialt</v>
          </cell>
          <cell r="D39">
            <v>13400</v>
          </cell>
          <cell r="F39">
            <v>4</v>
          </cell>
          <cell r="M39">
            <v>0</v>
          </cell>
          <cell r="JC39">
            <v>0</v>
          </cell>
        </row>
        <row r="40">
          <cell r="A40" t="str">
            <v>13999</v>
          </cell>
          <cell r="B40" t="str">
            <v>Formularer</v>
          </cell>
          <cell r="D40" t="str">
            <v>NY</v>
          </cell>
          <cell r="F40">
            <v>3</v>
          </cell>
          <cell r="M40">
            <v>0</v>
          </cell>
          <cell r="JC40">
            <v>0</v>
          </cell>
        </row>
        <row r="41">
          <cell r="A41" t="str">
            <v>14100</v>
          </cell>
          <cell r="B41" t="str">
            <v>Formularer</v>
          </cell>
          <cell r="D41">
            <v>14100</v>
          </cell>
          <cell r="F41">
            <v>0</v>
          </cell>
          <cell r="M41">
            <v>-2438.4</v>
          </cell>
          <cell r="JC41">
            <v>-2438.4</v>
          </cell>
        </row>
        <row r="42">
          <cell r="A42" t="str">
            <v>14200</v>
          </cell>
          <cell r="B42" t="str">
            <v>Formular ialt</v>
          </cell>
          <cell r="D42">
            <v>14200</v>
          </cell>
          <cell r="F42">
            <v>4</v>
          </cell>
          <cell r="M42">
            <v>0</v>
          </cell>
          <cell r="JC42">
            <v>0</v>
          </cell>
        </row>
        <row r="43">
          <cell r="A43" t="str">
            <v>14998</v>
          </cell>
          <cell r="B43" t="str">
            <v>Andre ydelser</v>
          </cell>
          <cell r="D43" t="str">
            <v>NY</v>
          </cell>
          <cell r="F43">
            <v>3</v>
          </cell>
          <cell r="M43">
            <v>0</v>
          </cell>
          <cell r="JC43">
            <v>0</v>
          </cell>
        </row>
        <row r="44">
          <cell r="A44" t="str">
            <v>15100</v>
          </cell>
          <cell r="B44" t="str">
            <v>Andre Ydelser</v>
          </cell>
          <cell r="D44">
            <v>15100</v>
          </cell>
          <cell r="F44">
            <v>0</v>
          </cell>
          <cell r="M44">
            <v>0</v>
          </cell>
          <cell r="JC44">
            <v>0</v>
          </cell>
        </row>
        <row r="45">
          <cell r="A45" t="str">
            <v>15200</v>
          </cell>
          <cell r="B45" t="str">
            <v>Motorregister</v>
          </cell>
          <cell r="D45">
            <v>15200</v>
          </cell>
          <cell r="F45">
            <v>0</v>
          </cell>
          <cell r="M45">
            <v>0</v>
          </cell>
          <cell r="JC45">
            <v>0</v>
          </cell>
        </row>
        <row r="46">
          <cell r="A46" t="str">
            <v>15300</v>
          </cell>
          <cell r="B46" t="str">
            <v>AutoTaks,nummeroplysning</v>
          </cell>
          <cell r="D46">
            <v>15300</v>
          </cell>
          <cell r="F46">
            <v>0</v>
          </cell>
          <cell r="M46">
            <v>0</v>
          </cell>
          <cell r="JC46">
            <v>0</v>
          </cell>
        </row>
        <row r="47">
          <cell r="A47" t="str">
            <v>15400</v>
          </cell>
          <cell r="B47" t="str">
            <v>EDI</v>
          </cell>
          <cell r="D47">
            <v>15400</v>
          </cell>
          <cell r="F47">
            <v>0</v>
          </cell>
          <cell r="M47">
            <v>-5705.83</v>
          </cell>
          <cell r="JC47">
            <v>-5705.83</v>
          </cell>
        </row>
        <row r="48">
          <cell r="A48" t="str">
            <v>15998</v>
          </cell>
          <cell r="B48" t="str">
            <v>Andre ydelser ialt</v>
          </cell>
          <cell r="D48">
            <v>15500</v>
          </cell>
          <cell r="F48">
            <v>4</v>
          </cell>
          <cell r="M48">
            <v>0</v>
          </cell>
          <cell r="JC48">
            <v>0</v>
          </cell>
        </row>
        <row r="49">
          <cell r="A49" t="str">
            <v>15999</v>
          </cell>
          <cell r="B49" t="str">
            <v>Licens og releaseafgifter</v>
          </cell>
          <cell r="D49" t="str">
            <v>NY</v>
          </cell>
          <cell r="F49">
            <v>3</v>
          </cell>
          <cell r="M49">
            <v>0</v>
          </cell>
          <cell r="JC49">
            <v>0</v>
          </cell>
        </row>
        <row r="50">
          <cell r="A50" t="str">
            <v>16100</v>
          </cell>
          <cell r="B50" t="str">
            <v>Licens</v>
          </cell>
          <cell r="D50" t="str">
            <v>NY</v>
          </cell>
          <cell r="F50">
            <v>0</v>
          </cell>
          <cell r="M50">
            <v>0</v>
          </cell>
          <cell r="JC50">
            <v>0</v>
          </cell>
        </row>
        <row r="51">
          <cell r="A51" t="str">
            <v>16200</v>
          </cell>
          <cell r="B51" t="str">
            <v>Release Aftaler</v>
          </cell>
          <cell r="D51">
            <v>16200</v>
          </cell>
          <cell r="F51">
            <v>0</v>
          </cell>
          <cell r="M51">
            <v>0</v>
          </cell>
          <cell r="JC51">
            <v>0</v>
          </cell>
        </row>
        <row r="52">
          <cell r="A52" t="str">
            <v>16998</v>
          </cell>
          <cell r="B52" t="str">
            <v>Licens og release i alt</v>
          </cell>
          <cell r="D52" t="str">
            <v>NY</v>
          </cell>
          <cell r="F52">
            <v>4</v>
          </cell>
          <cell r="M52">
            <v>0</v>
          </cell>
          <cell r="JC52">
            <v>0</v>
          </cell>
        </row>
        <row r="53">
          <cell r="A53" t="str">
            <v>16999</v>
          </cell>
          <cell r="B53" t="str">
            <v>Udvikling og vedligeholdelse</v>
          </cell>
          <cell r="D53" t="str">
            <v>NY</v>
          </cell>
          <cell r="F53">
            <v>3</v>
          </cell>
          <cell r="M53">
            <v>0</v>
          </cell>
          <cell r="JC53">
            <v>0</v>
          </cell>
        </row>
        <row r="54">
          <cell r="A54" t="str">
            <v>17100</v>
          </cell>
          <cell r="B54" t="str">
            <v>Fællesprojekter</v>
          </cell>
          <cell r="D54">
            <v>17100</v>
          </cell>
          <cell r="F54">
            <v>0</v>
          </cell>
          <cell r="M54">
            <v>0</v>
          </cell>
          <cell r="JC54">
            <v>0</v>
          </cell>
        </row>
        <row r="55">
          <cell r="A55" t="str">
            <v>17200</v>
          </cell>
          <cell r="B55" t="str">
            <v>Vedligeholdelsesaftale</v>
          </cell>
          <cell r="D55">
            <v>17200</v>
          </cell>
          <cell r="F55">
            <v>0</v>
          </cell>
          <cell r="M55">
            <v>0</v>
          </cell>
          <cell r="JC55">
            <v>0</v>
          </cell>
        </row>
        <row r="56">
          <cell r="A56" t="str">
            <v>17300</v>
          </cell>
          <cell r="B56" t="str">
            <v>Udviklingsprojekt fastpris</v>
          </cell>
          <cell r="D56" t="str">
            <v>NY</v>
          </cell>
          <cell r="F56">
            <v>0</v>
          </cell>
          <cell r="M56">
            <v>0</v>
          </cell>
          <cell r="JC56">
            <v>0</v>
          </cell>
        </row>
        <row r="57">
          <cell r="A57" t="str">
            <v>17400</v>
          </cell>
          <cell r="B57" t="str">
            <v>Udvikling og vedligeh. løbende</v>
          </cell>
          <cell r="D57">
            <v>17400</v>
          </cell>
          <cell r="F57">
            <v>0</v>
          </cell>
          <cell r="M57">
            <v>-13413366.26</v>
          </cell>
          <cell r="JC57">
            <v>-13413366.26</v>
          </cell>
        </row>
        <row r="58">
          <cell r="A58" t="str">
            <v>17900</v>
          </cell>
          <cell r="B58" t="str">
            <v>Kompensation vedligehold</v>
          </cell>
          <cell r="D58">
            <v>17900</v>
          </cell>
          <cell r="F58">
            <v>0</v>
          </cell>
          <cell r="M58">
            <v>0</v>
          </cell>
          <cell r="JC58">
            <v>0</v>
          </cell>
        </row>
        <row r="59">
          <cell r="A59" t="str">
            <v>17998</v>
          </cell>
          <cell r="B59" t="str">
            <v>Udvikling og vedlighold. i alt</v>
          </cell>
          <cell r="D59" t="str">
            <v>NY</v>
          </cell>
          <cell r="F59">
            <v>4</v>
          </cell>
          <cell r="M59">
            <v>0</v>
          </cell>
          <cell r="JC59">
            <v>0</v>
          </cell>
        </row>
        <row r="60">
          <cell r="A60" t="str">
            <v>17999</v>
          </cell>
          <cell r="B60" t="str">
            <v>A'conto regulering</v>
          </cell>
          <cell r="D60" t="str">
            <v>NY</v>
          </cell>
          <cell r="F60">
            <v>3</v>
          </cell>
          <cell r="M60">
            <v>0</v>
          </cell>
          <cell r="JC60">
            <v>0</v>
          </cell>
        </row>
        <row r="61">
          <cell r="A61" t="str">
            <v>18100</v>
          </cell>
          <cell r="B61" t="str">
            <v>A'conto regulering</v>
          </cell>
          <cell r="D61">
            <v>18100</v>
          </cell>
          <cell r="F61">
            <v>0</v>
          </cell>
          <cell r="M61">
            <v>0</v>
          </cell>
          <cell r="JC61">
            <v>0</v>
          </cell>
        </row>
        <row r="62">
          <cell r="A62" t="str">
            <v>18999</v>
          </cell>
          <cell r="B62" t="str">
            <v>A'conto regulering ialt</v>
          </cell>
          <cell r="D62">
            <v>18200</v>
          </cell>
          <cell r="F62">
            <v>4</v>
          </cell>
          <cell r="M62">
            <v>0</v>
          </cell>
          <cell r="JC62">
            <v>0</v>
          </cell>
        </row>
        <row r="63">
          <cell r="A63" t="str">
            <v>19000</v>
          </cell>
          <cell r="B63" t="str">
            <v>Indtægter ialt</v>
          </cell>
          <cell r="F63">
            <v>2</v>
          </cell>
          <cell r="M63">
            <v>0</v>
          </cell>
          <cell r="JC63">
            <v>0</v>
          </cell>
        </row>
        <row r="64">
          <cell r="A64" t="str">
            <v>19996</v>
          </cell>
          <cell r="F64">
            <v>3</v>
          </cell>
          <cell r="M64">
            <v>0</v>
          </cell>
          <cell r="JC64">
            <v>0</v>
          </cell>
        </row>
        <row r="65">
          <cell r="A65" t="str">
            <v>19997</v>
          </cell>
          <cell r="B65" t="str">
            <v>Direkte omkostninger</v>
          </cell>
          <cell r="F65">
            <v>1</v>
          </cell>
          <cell r="M65">
            <v>0</v>
          </cell>
          <cell r="JC65">
            <v>0</v>
          </cell>
        </row>
        <row r="66">
          <cell r="A66" t="str">
            <v>19998</v>
          </cell>
          <cell r="B66" t="str">
            <v>Direkte produktionsomkostning</v>
          </cell>
          <cell r="F66">
            <v>1</v>
          </cell>
          <cell r="M66">
            <v>0</v>
          </cell>
          <cell r="JC66">
            <v>0</v>
          </cell>
        </row>
        <row r="67">
          <cell r="A67" t="str">
            <v>19999</v>
          </cell>
          <cell r="B67" t="str">
            <v>Hardware Centralt</v>
          </cell>
          <cell r="F67">
            <v>3</v>
          </cell>
          <cell r="M67">
            <v>0</v>
          </cell>
          <cell r="JC67">
            <v>0</v>
          </cell>
        </row>
        <row r="68">
          <cell r="A68" t="str">
            <v>20100</v>
          </cell>
          <cell r="B68" t="str">
            <v>CPU</v>
          </cell>
          <cell r="D68" t="str">
            <v>NY</v>
          </cell>
          <cell r="F68">
            <v>0</v>
          </cell>
          <cell r="M68">
            <v>0</v>
          </cell>
          <cell r="JC68">
            <v>0</v>
          </cell>
        </row>
        <row r="69">
          <cell r="A69" t="str">
            <v>20150</v>
          </cell>
          <cell r="B69" t="str">
            <v>Diskleje</v>
          </cell>
          <cell r="D69" t="str">
            <v>NY</v>
          </cell>
          <cell r="F69">
            <v>0</v>
          </cell>
          <cell r="M69">
            <v>0</v>
          </cell>
          <cell r="JC69">
            <v>0</v>
          </cell>
        </row>
        <row r="70">
          <cell r="A70" t="str">
            <v>20200</v>
          </cell>
          <cell r="B70" t="str">
            <v>Diverse</v>
          </cell>
          <cell r="D70" t="str">
            <v>NY</v>
          </cell>
          <cell r="F70">
            <v>0</v>
          </cell>
          <cell r="M70">
            <v>0</v>
          </cell>
          <cell r="JC70">
            <v>0</v>
          </cell>
        </row>
        <row r="71">
          <cell r="A71" t="str">
            <v>20250</v>
          </cell>
          <cell r="B71" t="str">
            <v>Serviceaftaler</v>
          </cell>
          <cell r="D71" t="str">
            <v>NY</v>
          </cell>
          <cell r="F71">
            <v>0</v>
          </cell>
          <cell r="M71">
            <v>0</v>
          </cell>
          <cell r="JC71">
            <v>0</v>
          </cell>
        </row>
        <row r="72">
          <cell r="A72" t="str">
            <v>20300</v>
          </cell>
          <cell r="B72" t="str">
            <v>Backup</v>
          </cell>
          <cell r="D72" t="str">
            <v>NY</v>
          </cell>
          <cell r="F72">
            <v>0</v>
          </cell>
          <cell r="M72">
            <v>0</v>
          </cell>
          <cell r="JC72">
            <v>0</v>
          </cell>
        </row>
        <row r="73">
          <cell r="A73" t="str">
            <v>20498</v>
          </cell>
          <cell r="B73" t="str">
            <v>Hardware centralt ialt</v>
          </cell>
          <cell r="D73" t="str">
            <v>NY</v>
          </cell>
          <cell r="F73">
            <v>4</v>
          </cell>
          <cell r="M73">
            <v>0</v>
          </cell>
          <cell r="JC73">
            <v>0</v>
          </cell>
        </row>
        <row r="74">
          <cell r="A74" t="str">
            <v>20499</v>
          </cell>
          <cell r="B74" t="str">
            <v>Hardware decentralt</v>
          </cell>
          <cell r="D74" t="str">
            <v>NY</v>
          </cell>
          <cell r="F74">
            <v>3</v>
          </cell>
          <cell r="M74">
            <v>0</v>
          </cell>
          <cell r="JC74">
            <v>0</v>
          </cell>
        </row>
        <row r="75">
          <cell r="A75" t="str">
            <v>20500</v>
          </cell>
          <cell r="B75" t="str">
            <v>Platform</v>
          </cell>
          <cell r="D75" t="str">
            <v>NY</v>
          </cell>
          <cell r="F75">
            <v>0</v>
          </cell>
          <cell r="M75">
            <v>0</v>
          </cell>
          <cell r="JC75">
            <v>0</v>
          </cell>
        </row>
        <row r="76">
          <cell r="A76" t="str">
            <v>20550</v>
          </cell>
          <cell r="B76" t="str">
            <v>Platform leasing ydelser</v>
          </cell>
          <cell r="D76" t="str">
            <v>NY</v>
          </cell>
          <cell r="F76">
            <v>0</v>
          </cell>
          <cell r="M76">
            <v>0</v>
          </cell>
          <cell r="JC76">
            <v>0</v>
          </cell>
        </row>
        <row r="77">
          <cell r="A77" t="str">
            <v>20555</v>
          </cell>
          <cell r="B77" t="str">
            <v>Platform leasing moms ej fradr</v>
          </cell>
          <cell r="F77">
            <v>0</v>
          </cell>
          <cell r="M77">
            <v>0</v>
          </cell>
          <cell r="JC77">
            <v>0</v>
          </cell>
        </row>
        <row r="78">
          <cell r="A78" t="str">
            <v>20560</v>
          </cell>
          <cell r="B78" t="str">
            <v>Afskrivning hardware (12.300)</v>
          </cell>
          <cell r="F78">
            <v>0</v>
          </cell>
          <cell r="M78">
            <v>0</v>
          </cell>
          <cell r="JC78">
            <v>0</v>
          </cell>
        </row>
        <row r="79">
          <cell r="A79" t="str">
            <v>20600</v>
          </cell>
          <cell r="B79" t="str">
            <v>Netværk</v>
          </cell>
          <cell r="D79" t="str">
            <v>NY</v>
          </cell>
          <cell r="F79">
            <v>0</v>
          </cell>
          <cell r="M79">
            <v>0</v>
          </cell>
          <cell r="JC79">
            <v>0</v>
          </cell>
        </row>
        <row r="80">
          <cell r="A80" t="str">
            <v>20650</v>
          </cell>
          <cell r="B80" t="str">
            <v>IP telefoni</v>
          </cell>
          <cell r="D80" t="str">
            <v>NY</v>
          </cell>
          <cell r="F80">
            <v>0</v>
          </cell>
          <cell r="M80">
            <v>0</v>
          </cell>
          <cell r="JC80">
            <v>0</v>
          </cell>
        </row>
        <row r="81">
          <cell r="A81" t="str">
            <v>20700</v>
          </cell>
          <cell r="B81" t="str">
            <v>Serviceaftaler</v>
          </cell>
          <cell r="D81" t="str">
            <v>NY</v>
          </cell>
          <cell r="F81">
            <v>0</v>
          </cell>
          <cell r="M81">
            <v>0</v>
          </cell>
          <cell r="JC81">
            <v>0</v>
          </cell>
        </row>
        <row r="82">
          <cell r="A82" t="str">
            <v>20750</v>
          </cell>
          <cell r="B82" t="str">
            <v>Periodeafgrænsningsposter</v>
          </cell>
          <cell r="D82" t="str">
            <v>NY</v>
          </cell>
          <cell r="F82">
            <v>0</v>
          </cell>
          <cell r="M82">
            <v>0</v>
          </cell>
          <cell r="JC82">
            <v>0</v>
          </cell>
        </row>
        <row r="83">
          <cell r="A83" t="str">
            <v>20998</v>
          </cell>
          <cell r="B83" t="str">
            <v>Hardware decentralt ialt</v>
          </cell>
          <cell r="D83" t="str">
            <v>NY</v>
          </cell>
          <cell r="F83">
            <v>4</v>
          </cell>
          <cell r="M83">
            <v>0</v>
          </cell>
          <cell r="JC83">
            <v>0</v>
          </cell>
        </row>
        <row r="84">
          <cell r="A84" t="str">
            <v>20999</v>
          </cell>
          <cell r="B84" t="str">
            <v>Software centralt</v>
          </cell>
          <cell r="D84" t="str">
            <v>NY</v>
          </cell>
          <cell r="F84">
            <v>3</v>
          </cell>
          <cell r="M84">
            <v>0</v>
          </cell>
          <cell r="JC84">
            <v>0</v>
          </cell>
        </row>
        <row r="85">
          <cell r="A85" t="str">
            <v>21100</v>
          </cell>
          <cell r="B85" t="str">
            <v>Platform</v>
          </cell>
          <cell r="D85" t="str">
            <v>NY</v>
          </cell>
          <cell r="F85">
            <v>0</v>
          </cell>
          <cell r="M85">
            <v>0</v>
          </cell>
          <cell r="JC85">
            <v>0</v>
          </cell>
        </row>
        <row r="86">
          <cell r="A86" t="str">
            <v>21150</v>
          </cell>
          <cell r="B86" t="str">
            <v>Udvikling</v>
          </cell>
          <cell r="D86" t="str">
            <v>NY</v>
          </cell>
          <cell r="F86">
            <v>0</v>
          </cell>
          <cell r="M86">
            <v>0</v>
          </cell>
          <cell r="JC86">
            <v>0</v>
          </cell>
        </row>
        <row r="87">
          <cell r="A87" t="str">
            <v>21200</v>
          </cell>
          <cell r="B87" t="str">
            <v>Systems Management</v>
          </cell>
          <cell r="D87" t="str">
            <v>NY</v>
          </cell>
          <cell r="F87">
            <v>0</v>
          </cell>
          <cell r="M87">
            <v>0</v>
          </cell>
          <cell r="JC87">
            <v>0</v>
          </cell>
        </row>
        <row r="88">
          <cell r="A88" t="str">
            <v>21250</v>
          </cell>
          <cell r="B88" t="str">
            <v>Diverse</v>
          </cell>
          <cell r="D88" t="str">
            <v>NY</v>
          </cell>
          <cell r="F88">
            <v>0</v>
          </cell>
          <cell r="M88">
            <v>0</v>
          </cell>
          <cell r="JC88">
            <v>0</v>
          </cell>
        </row>
        <row r="89">
          <cell r="A89" t="str">
            <v>21298</v>
          </cell>
          <cell r="B89" t="str">
            <v>Software centralt ialt</v>
          </cell>
          <cell r="D89" t="str">
            <v>NY</v>
          </cell>
          <cell r="F89">
            <v>4</v>
          </cell>
          <cell r="M89">
            <v>0</v>
          </cell>
          <cell r="JC89">
            <v>0</v>
          </cell>
        </row>
        <row r="90">
          <cell r="A90" t="str">
            <v>21299</v>
          </cell>
          <cell r="B90" t="str">
            <v>Software decentralt</v>
          </cell>
          <cell r="D90" t="str">
            <v>NY</v>
          </cell>
          <cell r="F90">
            <v>3</v>
          </cell>
          <cell r="M90">
            <v>0</v>
          </cell>
          <cell r="JC90">
            <v>0</v>
          </cell>
        </row>
        <row r="91">
          <cell r="A91" t="str">
            <v>21300</v>
          </cell>
          <cell r="B91" t="str">
            <v>Udvikling</v>
          </cell>
          <cell r="D91" t="str">
            <v>NY</v>
          </cell>
          <cell r="F91">
            <v>0</v>
          </cell>
          <cell r="M91">
            <v>0</v>
          </cell>
          <cell r="JC91">
            <v>0</v>
          </cell>
        </row>
        <row r="92">
          <cell r="A92" t="str">
            <v>21350</v>
          </cell>
          <cell r="B92" t="str">
            <v>Platform</v>
          </cell>
          <cell r="D92" t="str">
            <v>NY</v>
          </cell>
          <cell r="F92">
            <v>0</v>
          </cell>
          <cell r="M92">
            <v>0</v>
          </cell>
          <cell r="JC92">
            <v>0</v>
          </cell>
        </row>
        <row r="93">
          <cell r="A93" t="str">
            <v>21400</v>
          </cell>
          <cell r="B93" t="str">
            <v>Systems Management</v>
          </cell>
          <cell r="D93" t="str">
            <v>NY</v>
          </cell>
          <cell r="F93">
            <v>0</v>
          </cell>
          <cell r="M93">
            <v>0</v>
          </cell>
          <cell r="JC93">
            <v>0</v>
          </cell>
        </row>
        <row r="94">
          <cell r="A94" t="str">
            <v>21450</v>
          </cell>
          <cell r="B94" t="str">
            <v>Netværk/sikkerhed</v>
          </cell>
          <cell r="D94" t="str">
            <v>NY</v>
          </cell>
          <cell r="F94">
            <v>0</v>
          </cell>
          <cell r="M94">
            <v>0</v>
          </cell>
          <cell r="JC94">
            <v>0</v>
          </cell>
        </row>
        <row r="95">
          <cell r="A95" t="str">
            <v>21500</v>
          </cell>
          <cell r="B95" t="str">
            <v>Serviceaftaler</v>
          </cell>
          <cell r="D95" t="str">
            <v>NY</v>
          </cell>
          <cell r="F95">
            <v>0</v>
          </cell>
          <cell r="M95">
            <v>0</v>
          </cell>
          <cell r="JC95">
            <v>0</v>
          </cell>
        </row>
        <row r="96">
          <cell r="A96" t="str">
            <v>21550</v>
          </cell>
          <cell r="B96" t="str">
            <v>Administration</v>
          </cell>
          <cell r="D96" t="str">
            <v>NY</v>
          </cell>
          <cell r="F96">
            <v>0</v>
          </cell>
          <cell r="M96">
            <v>0</v>
          </cell>
          <cell r="JC96">
            <v>0</v>
          </cell>
        </row>
        <row r="97">
          <cell r="A97" t="str">
            <v>21600</v>
          </cell>
          <cell r="B97" t="str">
            <v>Diverse</v>
          </cell>
          <cell r="D97" t="str">
            <v>NY</v>
          </cell>
          <cell r="F97">
            <v>0</v>
          </cell>
          <cell r="M97">
            <v>0</v>
          </cell>
          <cell r="JC97">
            <v>0</v>
          </cell>
        </row>
        <row r="98">
          <cell r="A98" t="str">
            <v>21897</v>
          </cell>
          <cell r="B98" t="str">
            <v>Software decentralt ialt</v>
          </cell>
          <cell r="D98" t="str">
            <v>NY</v>
          </cell>
          <cell r="F98">
            <v>4</v>
          </cell>
          <cell r="M98">
            <v>0</v>
          </cell>
          <cell r="JC98">
            <v>0</v>
          </cell>
        </row>
        <row r="99">
          <cell r="A99" t="str">
            <v>21898</v>
          </cell>
          <cell r="B99" t="str">
            <v>Forsikringer EDB</v>
          </cell>
          <cell r="D99" t="str">
            <v>NY</v>
          </cell>
          <cell r="F99">
            <v>3</v>
          </cell>
          <cell r="M99">
            <v>0</v>
          </cell>
          <cell r="JC99">
            <v>0</v>
          </cell>
        </row>
        <row r="100">
          <cell r="A100" t="str">
            <v>21900</v>
          </cell>
          <cell r="B100" t="str">
            <v>Forsikringer EDB</v>
          </cell>
          <cell r="D100">
            <v>21100</v>
          </cell>
          <cell r="F100">
            <v>0</v>
          </cell>
          <cell r="M100">
            <v>0</v>
          </cell>
          <cell r="JC100">
            <v>0</v>
          </cell>
        </row>
        <row r="101">
          <cell r="A101" t="str">
            <v>21998</v>
          </cell>
          <cell r="B101" t="str">
            <v>Forsikringer EDB ialt</v>
          </cell>
          <cell r="D101" t="str">
            <v>NY</v>
          </cell>
          <cell r="F101">
            <v>4</v>
          </cell>
          <cell r="M101">
            <v>0</v>
          </cell>
          <cell r="JC101">
            <v>0</v>
          </cell>
        </row>
        <row r="102">
          <cell r="A102" t="str">
            <v>21999</v>
          </cell>
          <cell r="B102" t="str">
            <v>Datatransmisson</v>
          </cell>
          <cell r="D102" t="str">
            <v>NY</v>
          </cell>
          <cell r="F102">
            <v>3</v>
          </cell>
          <cell r="M102">
            <v>0</v>
          </cell>
          <cell r="JC102">
            <v>0</v>
          </cell>
        </row>
        <row r="103">
          <cell r="A103" t="str">
            <v>22100</v>
          </cell>
          <cell r="B103" t="str">
            <v>Datatransmission/TP omk.</v>
          </cell>
          <cell r="D103">
            <v>22100</v>
          </cell>
          <cell r="F103">
            <v>0</v>
          </cell>
          <cell r="M103">
            <v>0</v>
          </cell>
          <cell r="JC103">
            <v>0</v>
          </cell>
        </row>
        <row r="104">
          <cell r="A104" t="str">
            <v>22200</v>
          </cell>
          <cell r="B104" t="str">
            <v>Medarbejderbredbånd</v>
          </cell>
          <cell r="F104">
            <v>0</v>
          </cell>
          <cell r="M104">
            <v>0</v>
          </cell>
          <cell r="JC104">
            <v>0</v>
          </cell>
        </row>
        <row r="105">
          <cell r="A105" t="str">
            <v>22998</v>
          </cell>
          <cell r="B105" t="str">
            <v>Datatransmission/TP  ialt</v>
          </cell>
          <cell r="D105" t="str">
            <v>NY</v>
          </cell>
          <cell r="F105">
            <v>4</v>
          </cell>
          <cell r="M105">
            <v>0</v>
          </cell>
          <cell r="JC105">
            <v>0</v>
          </cell>
        </row>
        <row r="106">
          <cell r="A106" t="str">
            <v>22999</v>
          </cell>
          <cell r="B106" t="str">
            <v>Drift og Teknik</v>
          </cell>
          <cell r="D106" t="str">
            <v>NY</v>
          </cell>
          <cell r="F106">
            <v>3</v>
          </cell>
          <cell r="M106">
            <v>0</v>
          </cell>
          <cell r="JC106">
            <v>0</v>
          </cell>
        </row>
        <row r="107">
          <cell r="A107" t="str">
            <v>23100</v>
          </cell>
          <cell r="B107" t="str">
            <v>EDB tilbehør diverse</v>
          </cell>
          <cell r="D107">
            <v>23100</v>
          </cell>
          <cell r="F107">
            <v>0</v>
          </cell>
          <cell r="M107">
            <v>0</v>
          </cell>
          <cell r="JC107">
            <v>0</v>
          </cell>
        </row>
        <row r="108">
          <cell r="A108" t="str">
            <v>23200</v>
          </cell>
          <cell r="B108" t="str">
            <v>Installationsomkostninger</v>
          </cell>
          <cell r="D108">
            <v>23200</v>
          </cell>
          <cell r="F108">
            <v>0</v>
          </cell>
          <cell r="M108">
            <v>0</v>
          </cell>
          <cell r="JC108">
            <v>0</v>
          </cell>
        </row>
        <row r="109">
          <cell r="A109" t="str">
            <v>23300</v>
          </cell>
          <cell r="B109" t="str">
            <v>Magnetbånd/disketter/toner</v>
          </cell>
          <cell r="D109">
            <v>23300</v>
          </cell>
          <cell r="F109">
            <v>0</v>
          </cell>
          <cell r="M109">
            <v>0</v>
          </cell>
          <cell r="JC109">
            <v>0</v>
          </cell>
        </row>
        <row r="110">
          <cell r="A110" t="str">
            <v>23600</v>
          </cell>
          <cell r="B110" t="str">
            <v>Manualer</v>
          </cell>
          <cell r="D110">
            <v>23600</v>
          </cell>
          <cell r="F110">
            <v>0</v>
          </cell>
          <cell r="M110">
            <v>0</v>
          </cell>
          <cell r="JC110">
            <v>0</v>
          </cell>
        </row>
        <row r="111">
          <cell r="A111" t="str">
            <v>23997</v>
          </cell>
          <cell r="B111" t="str">
            <v>Drift og teknik ialt</v>
          </cell>
          <cell r="F111">
            <v>4</v>
          </cell>
          <cell r="M111">
            <v>0</v>
          </cell>
          <cell r="JC111">
            <v>0</v>
          </cell>
        </row>
        <row r="112">
          <cell r="A112" t="str">
            <v>23998</v>
          </cell>
          <cell r="B112" t="str">
            <v>Efterbehandling</v>
          </cell>
          <cell r="F112">
            <v>3</v>
          </cell>
          <cell r="M112">
            <v>0</v>
          </cell>
          <cell r="JC112">
            <v>0</v>
          </cell>
        </row>
        <row r="113">
          <cell r="A113" t="str">
            <v>24100</v>
          </cell>
          <cell r="B113" t="str">
            <v>Printere</v>
          </cell>
          <cell r="D113">
            <v>24100</v>
          </cell>
          <cell r="F113">
            <v>0</v>
          </cell>
          <cell r="M113">
            <v>0</v>
          </cell>
          <cell r="JC113">
            <v>0</v>
          </cell>
        </row>
        <row r="114">
          <cell r="A114" t="str">
            <v>24150</v>
          </cell>
          <cell r="B114" t="str">
            <v>Vedligeholdelse printere</v>
          </cell>
          <cell r="F114">
            <v>0</v>
          </cell>
          <cell r="M114">
            <v>0</v>
          </cell>
          <cell r="JC114">
            <v>0</v>
          </cell>
        </row>
        <row r="115">
          <cell r="A115" t="str">
            <v>24200</v>
          </cell>
          <cell r="B115" t="str">
            <v>Diverse efterbehandling</v>
          </cell>
          <cell r="D115">
            <v>24200</v>
          </cell>
          <cell r="F115">
            <v>0</v>
          </cell>
          <cell r="M115">
            <v>0</v>
          </cell>
          <cell r="JC115">
            <v>0</v>
          </cell>
        </row>
        <row r="116">
          <cell r="A116" t="str">
            <v>24300</v>
          </cell>
          <cell r="B116" t="str">
            <v>Leje maskiner efterbehandling</v>
          </cell>
          <cell r="D116">
            <v>24300</v>
          </cell>
          <cell r="F116">
            <v>0</v>
          </cell>
          <cell r="M116">
            <v>0</v>
          </cell>
          <cell r="JC116">
            <v>0</v>
          </cell>
        </row>
        <row r="117">
          <cell r="A117" t="str">
            <v>24350</v>
          </cell>
          <cell r="B117" t="str">
            <v>Leasing ydel maskiner efterbeh</v>
          </cell>
          <cell r="D117">
            <v>24350</v>
          </cell>
          <cell r="F117">
            <v>0</v>
          </cell>
          <cell r="M117">
            <v>0</v>
          </cell>
          <cell r="JC117">
            <v>0</v>
          </cell>
        </row>
        <row r="118">
          <cell r="A118" t="str">
            <v>24355</v>
          </cell>
          <cell r="B118" t="str">
            <v>Leasing efterbeh moms ej fradr</v>
          </cell>
          <cell r="F118">
            <v>0</v>
          </cell>
          <cell r="M118">
            <v>0</v>
          </cell>
          <cell r="JC118">
            <v>0</v>
          </cell>
        </row>
        <row r="119">
          <cell r="A119" t="str">
            <v>24360</v>
          </cell>
          <cell r="B119" t="str">
            <v>Afskrivning maskiner efterbeha</v>
          </cell>
          <cell r="D119">
            <v>24360</v>
          </cell>
          <cell r="F119">
            <v>0</v>
          </cell>
          <cell r="M119">
            <v>0</v>
          </cell>
          <cell r="JC119">
            <v>0</v>
          </cell>
        </row>
        <row r="120">
          <cell r="A120" t="str">
            <v>24400</v>
          </cell>
          <cell r="B120" t="str">
            <v>Vedligeholdelse maskiner</v>
          </cell>
          <cell r="D120">
            <v>24400</v>
          </cell>
          <cell r="F120">
            <v>0</v>
          </cell>
          <cell r="M120">
            <v>0</v>
          </cell>
          <cell r="JC120">
            <v>0</v>
          </cell>
        </row>
        <row r="121">
          <cell r="A121" t="str">
            <v>24500</v>
          </cell>
          <cell r="B121" t="str">
            <v>Renovation/makulering</v>
          </cell>
          <cell r="D121">
            <v>24500</v>
          </cell>
          <cell r="F121">
            <v>0</v>
          </cell>
          <cell r="M121">
            <v>0</v>
          </cell>
          <cell r="JC121">
            <v>0</v>
          </cell>
        </row>
        <row r="122">
          <cell r="A122" t="str">
            <v>24600</v>
          </cell>
          <cell r="B122" t="str">
            <v>Varevogn benz. rep.</v>
          </cell>
          <cell r="D122">
            <v>24600</v>
          </cell>
          <cell r="F122">
            <v>0</v>
          </cell>
          <cell r="M122">
            <v>0</v>
          </cell>
          <cell r="JC122">
            <v>0</v>
          </cell>
        </row>
        <row r="123">
          <cell r="A123" t="str">
            <v>24700</v>
          </cell>
          <cell r="B123" t="str">
            <v>Varevogn forsikr., vægtafg</v>
          </cell>
          <cell r="D123">
            <v>24700</v>
          </cell>
          <cell r="F123">
            <v>0</v>
          </cell>
          <cell r="M123">
            <v>0</v>
          </cell>
          <cell r="JC123">
            <v>0</v>
          </cell>
        </row>
        <row r="124">
          <cell r="A124" t="str">
            <v>24800</v>
          </cell>
          <cell r="B124" t="str">
            <v>Fragt</v>
          </cell>
          <cell r="D124">
            <v>24800</v>
          </cell>
          <cell r="F124">
            <v>0</v>
          </cell>
          <cell r="M124">
            <v>0</v>
          </cell>
          <cell r="JC124">
            <v>0</v>
          </cell>
        </row>
        <row r="125">
          <cell r="A125" t="str">
            <v>24998</v>
          </cell>
          <cell r="B125" t="str">
            <v>Efterbehandlingen ialt</v>
          </cell>
          <cell r="D125" t="str">
            <v>NY</v>
          </cell>
          <cell r="F125">
            <v>4</v>
          </cell>
          <cell r="M125">
            <v>0</v>
          </cell>
          <cell r="JC125">
            <v>0</v>
          </cell>
        </row>
        <row r="126">
          <cell r="A126" t="str">
            <v>25998</v>
          </cell>
          <cell r="B126" t="str">
            <v>Formularer</v>
          </cell>
          <cell r="D126" t="str">
            <v>NY</v>
          </cell>
          <cell r="F126">
            <v>3</v>
          </cell>
          <cell r="M126">
            <v>0</v>
          </cell>
          <cell r="JC126">
            <v>0</v>
          </cell>
        </row>
        <row r="127">
          <cell r="A127" t="str">
            <v>26100</v>
          </cell>
          <cell r="B127" t="str">
            <v>Formularkøb</v>
          </cell>
          <cell r="D127">
            <v>26100</v>
          </cell>
          <cell r="F127">
            <v>0</v>
          </cell>
          <cell r="M127">
            <v>0</v>
          </cell>
          <cell r="JC127">
            <v>0</v>
          </cell>
        </row>
        <row r="128">
          <cell r="A128" t="str">
            <v>26998</v>
          </cell>
          <cell r="B128" t="str">
            <v>Formularkøb ialt</v>
          </cell>
          <cell r="D128" t="str">
            <v>NY</v>
          </cell>
          <cell r="F128">
            <v>4</v>
          </cell>
          <cell r="M128">
            <v>0</v>
          </cell>
          <cell r="JC128">
            <v>0</v>
          </cell>
        </row>
        <row r="129">
          <cell r="A129" t="str">
            <v>26999</v>
          </cell>
          <cell r="B129" t="str">
            <v>Konsulentbistand</v>
          </cell>
          <cell r="D129" t="str">
            <v>NY</v>
          </cell>
          <cell r="F129">
            <v>3</v>
          </cell>
          <cell r="M129">
            <v>0</v>
          </cell>
          <cell r="JC129">
            <v>0</v>
          </cell>
        </row>
        <row r="130">
          <cell r="A130" t="str">
            <v>27100</v>
          </cell>
          <cell r="B130" t="str">
            <v>Konsulentbistand</v>
          </cell>
          <cell r="D130">
            <v>27100</v>
          </cell>
          <cell r="F130">
            <v>0</v>
          </cell>
          <cell r="M130">
            <v>0</v>
          </cell>
          <cell r="JC130">
            <v>0</v>
          </cell>
        </row>
        <row r="131">
          <cell r="A131" t="str">
            <v>27200</v>
          </cell>
          <cell r="B131" t="str">
            <v>Underleverandør ifm. projekter</v>
          </cell>
          <cell r="D131" t="str">
            <v>NY</v>
          </cell>
          <cell r="F131">
            <v>0</v>
          </cell>
          <cell r="M131">
            <v>0</v>
          </cell>
          <cell r="JC131">
            <v>0</v>
          </cell>
        </row>
        <row r="132">
          <cell r="A132" t="str">
            <v>27500</v>
          </cell>
          <cell r="B132" t="str">
            <v>Klippekort Axcess</v>
          </cell>
          <cell r="F132">
            <v>0</v>
          </cell>
          <cell r="M132">
            <v>0</v>
          </cell>
          <cell r="JC132">
            <v>0</v>
          </cell>
        </row>
        <row r="133">
          <cell r="A133" t="str">
            <v>27998</v>
          </cell>
          <cell r="B133" t="str">
            <v>Konsulentbistand ialt</v>
          </cell>
          <cell r="D133" t="str">
            <v>NY</v>
          </cell>
          <cell r="F133">
            <v>4</v>
          </cell>
          <cell r="M133">
            <v>0</v>
          </cell>
          <cell r="JC133">
            <v>0</v>
          </cell>
        </row>
        <row r="134">
          <cell r="A134" t="str">
            <v>27999</v>
          </cell>
          <cell r="F134">
            <v>3</v>
          </cell>
          <cell r="M134">
            <v>0</v>
          </cell>
          <cell r="JC134">
            <v>0</v>
          </cell>
        </row>
        <row r="135">
          <cell r="A135" t="str">
            <v>28000</v>
          </cell>
          <cell r="F135">
            <v>3</v>
          </cell>
          <cell r="M135">
            <v>0</v>
          </cell>
          <cell r="JC135">
            <v>0</v>
          </cell>
        </row>
        <row r="136">
          <cell r="A136" t="str">
            <v>28100</v>
          </cell>
          <cell r="B136" t="str">
            <v>Personaleuddannelse</v>
          </cell>
          <cell r="D136">
            <v>28100</v>
          </cell>
          <cell r="F136">
            <v>0</v>
          </cell>
          <cell r="M136">
            <v>0</v>
          </cell>
          <cell r="JC136">
            <v>0</v>
          </cell>
        </row>
        <row r="137">
          <cell r="A137" t="str">
            <v>28200</v>
          </cell>
          <cell r="B137" t="str">
            <v>Personaleuddannelse momsfrit</v>
          </cell>
          <cell r="F137">
            <v>0</v>
          </cell>
          <cell r="M137">
            <v>0</v>
          </cell>
          <cell r="JC137">
            <v>0</v>
          </cell>
        </row>
        <row r="138">
          <cell r="A138" t="str">
            <v>28998</v>
          </cell>
          <cell r="B138" t="str">
            <v>Personaleuddannelse ialt</v>
          </cell>
          <cell r="F138">
            <v>4</v>
          </cell>
          <cell r="M138">
            <v>0</v>
          </cell>
          <cell r="JC138">
            <v>0</v>
          </cell>
        </row>
        <row r="139">
          <cell r="A139" t="str">
            <v>28999</v>
          </cell>
          <cell r="F139">
            <v>3</v>
          </cell>
          <cell r="M139">
            <v>0</v>
          </cell>
          <cell r="JC139">
            <v>0</v>
          </cell>
        </row>
        <row r="140">
          <cell r="A140" t="str">
            <v>29050</v>
          </cell>
          <cell r="B140" t="str">
            <v>Rejseudgifter(Fly/tog)</v>
          </cell>
          <cell r="D140">
            <v>29050</v>
          </cell>
          <cell r="F140">
            <v>0</v>
          </cell>
          <cell r="M140">
            <v>0</v>
          </cell>
          <cell r="JC140">
            <v>0</v>
          </cell>
        </row>
        <row r="141">
          <cell r="A141" t="str">
            <v>29060</v>
          </cell>
          <cell r="B141" t="str">
            <v>Hotelophold</v>
          </cell>
          <cell r="F141">
            <v>0</v>
          </cell>
          <cell r="M141">
            <v>0</v>
          </cell>
          <cell r="JC141">
            <v>0</v>
          </cell>
        </row>
        <row r="142">
          <cell r="A142" t="str">
            <v>29070</v>
          </cell>
          <cell r="B142" t="str">
            <v>Fortæring rejser</v>
          </cell>
          <cell r="F142">
            <v>0</v>
          </cell>
          <cell r="M142">
            <v>0</v>
          </cell>
          <cell r="JC142">
            <v>0</v>
          </cell>
        </row>
        <row r="143">
          <cell r="A143" t="str">
            <v>29080</v>
          </cell>
          <cell r="B143" t="str">
            <v>Øvrige rejseomkostninger</v>
          </cell>
          <cell r="F143">
            <v>0</v>
          </cell>
          <cell r="M143">
            <v>0</v>
          </cell>
          <cell r="JC143">
            <v>0</v>
          </cell>
        </row>
        <row r="144">
          <cell r="A144" t="str">
            <v>29100</v>
          </cell>
          <cell r="B144" t="str">
            <v>Rejserefusion fra kunder</v>
          </cell>
          <cell r="D144">
            <v>29100</v>
          </cell>
          <cell r="F144">
            <v>0</v>
          </cell>
          <cell r="M144">
            <v>0</v>
          </cell>
          <cell r="JC144">
            <v>0</v>
          </cell>
        </row>
        <row r="145">
          <cell r="A145" t="str">
            <v>29150</v>
          </cell>
          <cell r="B145" t="str">
            <v>Kørselsomkostninger</v>
          </cell>
          <cell r="D145">
            <v>29150</v>
          </cell>
          <cell r="F145">
            <v>0</v>
          </cell>
          <cell r="M145">
            <v>0</v>
          </cell>
          <cell r="JC145">
            <v>0</v>
          </cell>
        </row>
        <row r="146">
          <cell r="A146" t="str">
            <v>29200</v>
          </cell>
          <cell r="B146" t="str">
            <v>Transportudg. taxa mv.</v>
          </cell>
          <cell r="D146">
            <v>29200</v>
          </cell>
          <cell r="F146">
            <v>0</v>
          </cell>
          <cell r="M146">
            <v>0</v>
          </cell>
          <cell r="JC146">
            <v>0</v>
          </cell>
        </row>
        <row r="147">
          <cell r="A147" t="str">
            <v>29300</v>
          </cell>
          <cell r="B147" t="str">
            <v>Parkeringsafgift</v>
          </cell>
          <cell r="D147">
            <v>29300</v>
          </cell>
          <cell r="F147">
            <v>0</v>
          </cell>
          <cell r="M147">
            <v>0</v>
          </cell>
          <cell r="JC147">
            <v>0</v>
          </cell>
        </row>
        <row r="148">
          <cell r="A148" t="str">
            <v>29400</v>
          </cell>
          <cell r="B148" t="str">
            <v>Kørselsgodtgørelse</v>
          </cell>
          <cell r="D148">
            <v>29400</v>
          </cell>
          <cell r="F148">
            <v>0</v>
          </cell>
          <cell r="M148">
            <v>0</v>
          </cell>
          <cell r="JC148">
            <v>0</v>
          </cell>
        </row>
        <row r="149">
          <cell r="A149" t="str">
            <v>29500</v>
          </cell>
          <cell r="B149" t="str">
            <v>Rejsegodtgørelse</v>
          </cell>
          <cell r="D149">
            <v>29500</v>
          </cell>
          <cell r="F149">
            <v>0</v>
          </cell>
          <cell r="M149">
            <v>0</v>
          </cell>
          <cell r="JC149">
            <v>0</v>
          </cell>
        </row>
        <row r="150">
          <cell r="A150" t="str">
            <v>29600</v>
          </cell>
          <cell r="B150" t="str">
            <v>Mødeudgifter</v>
          </cell>
          <cell r="D150">
            <v>29600</v>
          </cell>
          <cell r="F150">
            <v>0</v>
          </cell>
          <cell r="M150">
            <v>0</v>
          </cell>
          <cell r="JC150">
            <v>0</v>
          </cell>
        </row>
        <row r="151">
          <cell r="A151" t="str">
            <v>29700</v>
          </cell>
          <cell r="B151" t="str">
            <v>Fortæring overarbejde</v>
          </cell>
          <cell r="D151">
            <v>29700</v>
          </cell>
          <cell r="F151">
            <v>0</v>
          </cell>
          <cell r="M151">
            <v>0</v>
          </cell>
          <cell r="JC151">
            <v>0</v>
          </cell>
        </row>
        <row r="152">
          <cell r="A152" t="str">
            <v>29800</v>
          </cell>
          <cell r="B152" t="str">
            <v>Salgs,reklamemateriale/arr.</v>
          </cell>
          <cell r="D152">
            <v>29800</v>
          </cell>
          <cell r="F152">
            <v>0</v>
          </cell>
          <cell r="M152">
            <v>0</v>
          </cell>
          <cell r="JC152">
            <v>0</v>
          </cell>
        </row>
        <row r="153">
          <cell r="A153" t="str">
            <v>29997</v>
          </cell>
          <cell r="B153" t="str">
            <v>Rejser, møder m.v. ialt</v>
          </cell>
          <cell r="F153">
            <v>4</v>
          </cell>
          <cell r="M153">
            <v>0</v>
          </cell>
          <cell r="JC153">
            <v>0</v>
          </cell>
        </row>
        <row r="154">
          <cell r="A154" t="str">
            <v>29998</v>
          </cell>
          <cell r="B154" t="str">
            <v>Uddannelse, salg. rejser ialt</v>
          </cell>
          <cell r="F154">
            <v>4</v>
          </cell>
          <cell r="M154">
            <v>0</v>
          </cell>
          <cell r="JC154">
            <v>0</v>
          </cell>
        </row>
        <row r="155">
          <cell r="A155" t="str">
            <v>29999</v>
          </cell>
          <cell r="F155">
            <v>3</v>
          </cell>
          <cell r="M155">
            <v>0</v>
          </cell>
          <cell r="JC155">
            <v>0</v>
          </cell>
        </row>
        <row r="156">
          <cell r="A156" t="str">
            <v>30100</v>
          </cell>
          <cell r="B156" t="str">
            <v>Fast gage</v>
          </cell>
          <cell r="D156">
            <v>30100</v>
          </cell>
          <cell r="F156">
            <v>0</v>
          </cell>
          <cell r="M156">
            <v>0</v>
          </cell>
          <cell r="JC156">
            <v>0</v>
          </cell>
        </row>
        <row r="157">
          <cell r="A157" t="str">
            <v>30150</v>
          </cell>
          <cell r="B157" t="str">
            <v>Aktiverede lønomk. til projekt</v>
          </cell>
          <cell r="D157">
            <v>30150</v>
          </cell>
          <cell r="F157">
            <v>0</v>
          </cell>
          <cell r="M157">
            <v>0</v>
          </cell>
          <cell r="JC157">
            <v>0</v>
          </cell>
        </row>
        <row r="158">
          <cell r="A158" t="str">
            <v>30200</v>
          </cell>
          <cell r="B158" t="str">
            <v>Løntræk</v>
          </cell>
          <cell r="D158">
            <v>30200</v>
          </cell>
          <cell r="F158">
            <v>0</v>
          </cell>
          <cell r="M158">
            <v>0</v>
          </cell>
          <cell r="JC158">
            <v>0</v>
          </cell>
        </row>
        <row r="159">
          <cell r="A159" t="str">
            <v>30250</v>
          </cell>
          <cell r="B159" t="str">
            <v>Lønrefusion komm.,DFL</v>
          </cell>
          <cell r="D159">
            <v>30250</v>
          </cell>
          <cell r="F159">
            <v>0</v>
          </cell>
          <cell r="M159">
            <v>0</v>
          </cell>
          <cell r="JC159">
            <v>0</v>
          </cell>
        </row>
        <row r="160">
          <cell r="A160" t="str">
            <v>30300</v>
          </cell>
          <cell r="B160" t="str">
            <v>Timelønninger</v>
          </cell>
          <cell r="D160">
            <v>30300</v>
          </cell>
          <cell r="F160">
            <v>0</v>
          </cell>
          <cell r="M160">
            <v>0</v>
          </cell>
          <cell r="JC160">
            <v>0</v>
          </cell>
        </row>
        <row r="161">
          <cell r="A161" t="str">
            <v>30350</v>
          </cell>
          <cell r="B161" t="str">
            <v>Overarbejde</v>
          </cell>
          <cell r="D161">
            <v>30350</v>
          </cell>
          <cell r="F161">
            <v>0</v>
          </cell>
          <cell r="M161">
            <v>0</v>
          </cell>
          <cell r="JC161">
            <v>0</v>
          </cell>
        </row>
        <row r="162">
          <cell r="A162" t="str">
            <v>30400</v>
          </cell>
          <cell r="B162" t="str">
            <v>Engangsvederlag/rejsebonus</v>
          </cell>
          <cell r="D162">
            <v>30400</v>
          </cell>
          <cell r="F162">
            <v>0</v>
          </cell>
          <cell r="M162">
            <v>0</v>
          </cell>
          <cell r="JC162">
            <v>0</v>
          </cell>
        </row>
        <row r="163">
          <cell r="A163" t="str">
            <v>30500</v>
          </cell>
          <cell r="B163" t="str">
            <v>Skiftehold/vagttillæg</v>
          </cell>
          <cell r="D163">
            <v>30500</v>
          </cell>
          <cell r="F163">
            <v>0</v>
          </cell>
          <cell r="M163">
            <v>0</v>
          </cell>
          <cell r="JC163">
            <v>0</v>
          </cell>
        </row>
        <row r="164">
          <cell r="A164" t="str">
            <v>30550</v>
          </cell>
          <cell r="B164" t="str">
            <v>Rejsegodtg. skattepl.</v>
          </cell>
          <cell r="D164">
            <v>30550</v>
          </cell>
          <cell r="F164">
            <v>0</v>
          </cell>
          <cell r="M164">
            <v>0</v>
          </cell>
          <cell r="JC164">
            <v>0</v>
          </cell>
        </row>
        <row r="165">
          <cell r="A165" t="str">
            <v>30600</v>
          </cell>
          <cell r="B165" t="str">
            <v>Feriepenge</v>
          </cell>
          <cell r="D165">
            <v>30600</v>
          </cell>
          <cell r="F165">
            <v>0</v>
          </cell>
          <cell r="M165">
            <v>0</v>
          </cell>
          <cell r="JC165">
            <v>0</v>
          </cell>
        </row>
        <row r="166">
          <cell r="A166" t="str">
            <v>30650</v>
          </cell>
          <cell r="B166" t="str">
            <v>Omsorgsdage</v>
          </cell>
          <cell r="D166">
            <v>30650</v>
          </cell>
          <cell r="F166">
            <v>0</v>
          </cell>
          <cell r="M166">
            <v>0</v>
          </cell>
          <cell r="JC166">
            <v>0</v>
          </cell>
        </row>
        <row r="167">
          <cell r="A167" t="str">
            <v>30700</v>
          </cell>
          <cell r="B167" t="str">
            <v>Gruppeliv</v>
          </cell>
          <cell r="D167">
            <v>30700</v>
          </cell>
          <cell r="F167">
            <v>0</v>
          </cell>
          <cell r="M167">
            <v>0</v>
          </cell>
          <cell r="JC167">
            <v>0</v>
          </cell>
        </row>
        <row r="168">
          <cell r="A168" t="str">
            <v>30800</v>
          </cell>
          <cell r="B168" t="str">
            <v>Pension</v>
          </cell>
          <cell r="D168">
            <v>30800</v>
          </cell>
          <cell r="F168">
            <v>0</v>
          </cell>
          <cell r="M168">
            <v>0</v>
          </cell>
          <cell r="JC168">
            <v>0</v>
          </cell>
        </row>
        <row r="169">
          <cell r="A169" t="str">
            <v>30900</v>
          </cell>
          <cell r="B169" t="str">
            <v>Sociale ydelser ATP</v>
          </cell>
          <cell r="D169">
            <v>30900</v>
          </cell>
          <cell r="F169">
            <v>0</v>
          </cell>
          <cell r="M169">
            <v>0</v>
          </cell>
          <cell r="JC169">
            <v>0</v>
          </cell>
        </row>
        <row r="170">
          <cell r="A170" t="str">
            <v>30998</v>
          </cell>
          <cell r="B170" t="str">
            <v>Direkte løn, pension mv. ialt</v>
          </cell>
          <cell r="F170">
            <v>4</v>
          </cell>
          <cell r="M170">
            <v>0</v>
          </cell>
          <cell r="JC170">
            <v>0</v>
          </cell>
        </row>
        <row r="171">
          <cell r="A171" t="str">
            <v>31998</v>
          </cell>
          <cell r="F171">
            <v>3</v>
          </cell>
          <cell r="M171">
            <v>0</v>
          </cell>
          <cell r="JC171">
            <v>0</v>
          </cell>
        </row>
        <row r="172">
          <cell r="A172" t="str">
            <v>32000</v>
          </cell>
          <cell r="B172" t="str">
            <v>Regulering feriepenge hensæt.</v>
          </cell>
          <cell r="D172" t="str">
            <v>NY</v>
          </cell>
          <cell r="F172">
            <v>0</v>
          </cell>
          <cell r="M172">
            <v>0</v>
          </cell>
          <cell r="JC172">
            <v>0</v>
          </cell>
        </row>
        <row r="173">
          <cell r="A173" t="str">
            <v>32010</v>
          </cell>
          <cell r="B173" t="str">
            <v>Regulering overarbejde hensæt.</v>
          </cell>
          <cell r="D173" t="str">
            <v>NY</v>
          </cell>
          <cell r="F173">
            <v>0</v>
          </cell>
          <cell r="M173">
            <v>0</v>
          </cell>
          <cell r="JC173">
            <v>0</v>
          </cell>
        </row>
        <row r="174">
          <cell r="A174" t="str">
            <v>32999</v>
          </cell>
          <cell r="B174" t="str">
            <v>Regulering hensættelser ialt</v>
          </cell>
          <cell r="F174">
            <v>4</v>
          </cell>
          <cell r="M174">
            <v>0</v>
          </cell>
          <cell r="JC174">
            <v>0</v>
          </cell>
        </row>
        <row r="175">
          <cell r="A175" t="str">
            <v>34996</v>
          </cell>
          <cell r="B175" t="str">
            <v>Administrationsomkostninger</v>
          </cell>
          <cell r="F175">
            <v>1</v>
          </cell>
          <cell r="M175">
            <v>0</v>
          </cell>
          <cell r="JC175">
            <v>0</v>
          </cell>
        </row>
        <row r="176">
          <cell r="A176" t="str">
            <v>34999</v>
          </cell>
          <cell r="F176">
            <v>3</v>
          </cell>
          <cell r="M176">
            <v>0</v>
          </cell>
          <cell r="JC176">
            <v>0</v>
          </cell>
        </row>
        <row r="177">
          <cell r="A177" t="str">
            <v>35100</v>
          </cell>
          <cell r="B177" t="str">
            <v>Kontorartikler</v>
          </cell>
          <cell r="D177">
            <v>35100</v>
          </cell>
          <cell r="F177">
            <v>0</v>
          </cell>
          <cell r="M177">
            <v>0</v>
          </cell>
          <cell r="JC177">
            <v>0</v>
          </cell>
        </row>
        <row r="178">
          <cell r="A178" t="str">
            <v>35200</v>
          </cell>
          <cell r="B178" t="str">
            <v>Småanskaffelser u/12.300,- kr</v>
          </cell>
          <cell r="D178">
            <v>35200</v>
          </cell>
          <cell r="F178">
            <v>0</v>
          </cell>
          <cell r="M178">
            <v>0</v>
          </cell>
          <cell r="JC178">
            <v>0</v>
          </cell>
        </row>
        <row r="179">
          <cell r="A179" t="str">
            <v>35300</v>
          </cell>
          <cell r="B179" t="str">
            <v>Vedligeholdelse inventar-</v>
          </cell>
          <cell r="D179">
            <v>35300</v>
          </cell>
          <cell r="F179">
            <v>0</v>
          </cell>
          <cell r="M179">
            <v>0</v>
          </cell>
          <cell r="JC179">
            <v>0</v>
          </cell>
        </row>
        <row r="180">
          <cell r="A180" t="str">
            <v>35350</v>
          </cell>
          <cell r="B180" t="str">
            <v>Leasing og pasning automater</v>
          </cell>
          <cell r="D180">
            <v>35350</v>
          </cell>
          <cell r="F180">
            <v>0</v>
          </cell>
          <cell r="M180">
            <v>0</v>
          </cell>
          <cell r="JC180">
            <v>0</v>
          </cell>
        </row>
        <row r="181">
          <cell r="A181" t="str">
            <v>35400</v>
          </cell>
          <cell r="B181" t="str">
            <v>Porto</v>
          </cell>
          <cell r="D181">
            <v>35400</v>
          </cell>
          <cell r="F181">
            <v>0</v>
          </cell>
          <cell r="M181">
            <v>0</v>
          </cell>
          <cell r="JC181">
            <v>0</v>
          </cell>
        </row>
        <row r="182">
          <cell r="A182" t="str">
            <v>35500</v>
          </cell>
          <cell r="B182" t="str">
            <v>Telefon, fastnet</v>
          </cell>
          <cell r="D182">
            <v>35500</v>
          </cell>
          <cell r="F182">
            <v>0</v>
          </cell>
          <cell r="M182">
            <v>0</v>
          </cell>
          <cell r="JC182">
            <v>0</v>
          </cell>
        </row>
        <row r="183">
          <cell r="A183" t="str">
            <v>35550</v>
          </cell>
          <cell r="B183" t="str">
            <v>Telefon, mobil</v>
          </cell>
          <cell r="D183" t="str">
            <v>NY</v>
          </cell>
          <cell r="F183">
            <v>0</v>
          </cell>
          <cell r="M183">
            <v>0</v>
          </cell>
          <cell r="JC183">
            <v>0</v>
          </cell>
        </row>
        <row r="184">
          <cell r="A184" t="str">
            <v>35600</v>
          </cell>
          <cell r="B184" t="str">
            <v>Fotokopiering</v>
          </cell>
          <cell r="D184">
            <v>35600</v>
          </cell>
          <cell r="F184">
            <v>0</v>
          </cell>
          <cell r="M184">
            <v>0</v>
          </cell>
          <cell r="JC184">
            <v>0</v>
          </cell>
        </row>
        <row r="185">
          <cell r="A185" t="str">
            <v>35700</v>
          </cell>
          <cell r="B185" t="str">
            <v>Rengøring</v>
          </cell>
          <cell r="D185">
            <v>35700</v>
          </cell>
          <cell r="F185">
            <v>0</v>
          </cell>
          <cell r="M185">
            <v>0</v>
          </cell>
          <cell r="JC185">
            <v>0</v>
          </cell>
        </row>
        <row r="186">
          <cell r="A186" t="str">
            <v>35750</v>
          </cell>
          <cell r="B186" t="str">
            <v>Hygiejne</v>
          </cell>
          <cell r="D186" t="str">
            <v>NY</v>
          </cell>
          <cell r="F186">
            <v>0</v>
          </cell>
          <cell r="M186">
            <v>0</v>
          </cell>
          <cell r="JC186">
            <v>0</v>
          </cell>
        </row>
        <row r="187">
          <cell r="A187" t="str">
            <v>35800</v>
          </cell>
          <cell r="B187" t="str">
            <v>Tidsskrifter fagblade mv</v>
          </cell>
          <cell r="D187">
            <v>35800</v>
          </cell>
          <cell r="F187">
            <v>0</v>
          </cell>
          <cell r="M187">
            <v>0</v>
          </cell>
          <cell r="JC187">
            <v>0</v>
          </cell>
        </row>
        <row r="188">
          <cell r="A188" t="str">
            <v>35900</v>
          </cell>
          <cell r="B188" t="str">
            <v>Kontingenter</v>
          </cell>
          <cell r="D188">
            <v>35900</v>
          </cell>
          <cell r="F188">
            <v>0</v>
          </cell>
          <cell r="M188">
            <v>0</v>
          </cell>
          <cell r="JC188">
            <v>0</v>
          </cell>
        </row>
        <row r="189">
          <cell r="A189" t="str">
            <v>36100</v>
          </cell>
          <cell r="B189" t="str">
            <v>Forsikringer kontor/personale</v>
          </cell>
          <cell r="D189">
            <v>36100</v>
          </cell>
          <cell r="F189">
            <v>0</v>
          </cell>
          <cell r="M189">
            <v>0</v>
          </cell>
          <cell r="JC189">
            <v>0</v>
          </cell>
        </row>
        <row r="190">
          <cell r="A190" t="str">
            <v>36200</v>
          </cell>
          <cell r="B190" t="str">
            <v>Annoncer</v>
          </cell>
          <cell r="D190">
            <v>36200</v>
          </cell>
          <cell r="F190">
            <v>0</v>
          </cell>
          <cell r="M190">
            <v>0</v>
          </cell>
          <cell r="JC190">
            <v>0</v>
          </cell>
        </row>
        <row r="191">
          <cell r="A191" t="str">
            <v>36300</v>
          </cell>
          <cell r="B191" t="str">
            <v>Diverse organi./velgørenhed</v>
          </cell>
          <cell r="D191">
            <v>36300</v>
          </cell>
          <cell r="F191">
            <v>0</v>
          </cell>
          <cell r="M191">
            <v>0</v>
          </cell>
          <cell r="JC191">
            <v>0</v>
          </cell>
        </row>
        <row r="192">
          <cell r="A192" t="str">
            <v>36500</v>
          </cell>
          <cell r="B192" t="str">
            <v>Multiløn</v>
          </cell>
          <cell r="D192">
            <v>36500</v>
          </cell>
          <cell r="F192">
            <v>0</v>
          </cell>
          <cell r="M192">
            <v>0</v>
          </cell>
          <cell r="JC192">
            <v>0</v>
          </cell>
        </row>
        <row r="193">
          <cell r="A193" t="str">
            <v>36600</v>
          </cell>
          <cell r="B193" t="str">
            <v>Mødeudgifter</v>
          </cell>
          <cell r="D193">
            <v>36600</v>
          </cell>
          <cell r="F193">
            <v>0</v>
          </cell>
          <cell r="M193">
            <v>0</v>
          </cell>
          <cell r="JC193">
            <v>0</v>
          </cell>
        </row>
        <row r="194">
          <cell r="A194" t="str">
            <v>36700</v>
          </cell>
          <cell r="B194" t="str">
            <v>Kassedifferencer</v>
          </cell>
          <cell r="D194">
            <v>36700</v>
          </cell>
          <cell r="F194">
            <v>0</v>
          </cell>
          <cell r="M194">
            <v>0</v>
          </cell>
          <cell r="JC194">
            <v>0</v>
          </cell>
        </row>
        <row r="195">
          <cell r="A195" t="str">
            <v>36998</v>
          </cell>
          <cell r="B195" t="str">
            <v>Kontoromkostninger ialt</v>
          </cell>
          <cell r="F195">
            <v>4</v>
          </cell>
          <cell r="M195">
            <v>0</v>
          </cell>
          <cell r="JC195">
            <v>0</v>
          </cell>
        </row>
        <row r="196">
          <cell r="A196" t="str">
            <v>36999</v>
          </cell>
          <cell r="F196">
            <v>3</v>
          </cell>
          <cell r="M196">
            <v>0</v>
          </cell>
          <cell r="JC196">
            <v>0</v>
          </cell>
        </row>
        <row r="197">
          <cell r="A197" t="str">
            <v>37100</v>
          </cell>
          <cell r="B197" t="str">
            <v>Revision</v>
          </cell>
          <cell r="D197">
            <v>37100</v>
          </cell>
          <cell r="F197">
            <v>0</v>
          </cell>
          <cell r="M197">
            <v>0</v>
          </cell>
          <cell r="JC197">
            <v>0</v>
          </cell>
        </row>
        <row r="198">
          <cell r="A198" t="str">
            <v>37200</v>
          </cell>
          <cell r="B198" t="str">
            <v>Revision sikkerhed</v>
          </cell>
          <cell r="D198">
            <v>37200</v>
          </cell>
          <cell r="F198">
            <v>0</v>
          </cell>
          <cell r="M198">
            <v>0</v>
          </cell>
          <cell r="JC198">
            <v>0</v>
          </cell>
        </row>
        <row r="199">
          <cell r="A199" t="str">
            <v>37300</v>
          </cell>
          <cell r="B199" t="str">
            <v>Advokatomkostninger</v>
          </cell>
          <cell r="D199">
            <v>37300</v>
          </cell>
          <cell r="F199">
            <v>0</v>
          </cell>
          <cell r="M199">
            <v>0</v>
          </cell>
          <cell r="JC199">
            <v>0</v>
          </cell>
        </row>
        <row r="200">
          <cell r="A200" t="str">
            <v>37400</v>
          </cell>
          <cell r="B200" t="str">
            <v>Anden konsulentbistand</v>
          </cell>
          <cell r="D200">
            <v>37400</v>
          </cell>
          <cell r="F200">
            <v>0</v>
          </cell>
          <cell r="M200">
            <v>0</v>
          </cell>
          <cell r="JC200">
            <v>0</v>
          </cell>
        </row>
        <row r="201">
          <cell r="A201" t="str">
            <v>37997</v>
          </cell>
          <cell r="B201" t="str">
            <v>Revision og konsulentbistand i</v>
          </cell>
          <cell r="F201">
            <v>4</v>
          </cell>
          <cell r="M201">
            <v>0</v>
          </cell>
          <cell r="JC201">
            <v>0</v>
          </cell>
        </row>
        <row r="202">
          <cell r="A202" t="str">
            <v>37999</v>
          </cell>
          <cell r="F202">
            <v>3</v>
          </cell>
          <cell r="M202">
            <v>0</v>
          </cell>
          <cell r="JC202">
            <v>0</v>
          </cell>
        </row>
        <row r="203">
          <cell r="A203" t="str">
            <v>38100</v>
          </cell>
          <cell r="B203" t="str">
            <v>Bildrift personale</v>
          </cell>
          <cell r="D203">
            <v>38100</v>
          </cell>
          <cell r="F203">
            <v>0</v>
          </cell>
          <cell r="M203">
            <v>0</v>
          </cell>
          <cell r="JC203">
            <v>0</v>
          </cell>
        </row>
        <row r="204">
          <cell r="A204" t="str">
            <v>38200</v>
          </cell>
          <cell r="B204" t="str">
            <v>Telefon personale</v>
          </cell>
          <cell r="D204">
            <v>38200</v>
          </cell>
          <cell r="F204">
            <v>0</v>
          </cell>
          <cell r="M204">
            <v>0</v>
          </cell>
          <cell r="JC204">
            <v>0</v>
          </cell>
        </row>
        <row r="205">
          <cell r="A205" t="str">
            <v>38300</v>
          </cell>
          <cell r="B205" t="str">
            <v>Personaleklubber Idræt/Vinklub</v>
          </cell>
          <cell r="D205">
            <v>38300</v>
          </cell>
          <cell r="F205">
            <v>0</v>
          </cell>
          <cell r="M205">
            <v>0</v>
          </cell>
          <cell r="JC205">
            <v>0</v>
          </cell>
        </row>
        <row r="206">
          <cell r="A206" t="str">
            <v>38400</v>
          </cell>
          <cell r="B206" t="str">
            <v>Personalekaffe</v>
          </cell>
          <cell r="D206">
            <v>38400</v>
          </cell>
          <cell r="F206">
            <v>0</v>
          </cell>
          <cell r="M206">
            <v>0</v>
          </cell>
          <cell r="JC206">
            <v>0</v>
          </cell>
        </row>
        <row r="207">
          <cell r="A207" t="str">
            <v>38500</v>
          </cell>
          <cell r="B207" t="str">
            <v>Jubilæer</v>
          </cell>
          <cell r="D207">
            <v>38500</v>
          </cell>
          <cell r="F207">
            <v>0</v>
          </cell>
          <cell r="M207">
            <v>0</v>
          </cell>
          <cell r="JC207">
            <v>0</v>
          </cell>
        </row>
        <row r="208">
          <cell r="A208" t="str">
            <v>38550</v>
          </cell>
          <cell r="B208" t="str">
            <v>Aviser</v>
          </cell>
          <cell r="D208" t="str">
            <v>NY</v>
          </cell>
          <cell r="F208">
            <v>0</v>
          </cell>
          <cell r="M208">
            <v>0</v>
          </cell>
          <cell r="JC208">
            <v>0</v>
          </cell>
        </row>
        <row r="209">
          <cell r="A209" t="str">
            <v>38600</v>
          </cell>
          <cell r="B209" t="str">
            <v>Andre personaleomkostninger</v>
          </cell>
          <cell r="D209">
            <v>38600</v>
          </cell>
          <cell r="F209">
            <v>0</v>
          </cell>
          <cell r="M209">
            <v>0</v>
          </cell>
          <cell r="JC209">
            <v>0</v>
          </cell>
        </row>
        <row r="210">
          <cell r="A210" t="str">
            <v>38998</v>
          </cell>
          <cell r="B210" t="str">
            <v>Personaleomkostninger ialt</v>
          </cell>
          <cell r="F210">
            <v>4</v>
          </cell>
          <cell r="M210">
            <v>0</v>
          </cell>
          <cell r="JC210">
            <v>0</v>
          </cell>
        </row>
        <row r="211">
          <cell r="A211" t="str">
            <v>38999</v>
          </cell>
          <cell r="F211">
            <v>3</v>
          </cell>
          <cell r="M211">
            <v>0</v>
          </cell>
          <cell r="JC211">
            <v>0</v>
          </cell>
        </row>
        <row r="212">
          <cell r="A212" t="str">
            <v>39100</v>
          </cell>
          <cell r="B212" t="str">
            <v>ATP Refusion</v>
          </cell>
          <cell r="D212">
            <v>39100</v>
          </cell>
          <cell r="F212">
            <v>0</v>
          </cell>
          <cell r="M212">
            <v>0</v>
          </cell>
          <cell r="JC212">
            <v>0</v>
          </cell>
        </row>
        <row r="213">
          <cell r="A213" t="str">
            <v>39200</v>
          </cell>
          <cell r="B213" t="str">
            <v>Finansieringsbidrag</v>
          </cell>
          <cell r="D213">
            <v>39200</v>
          </cell>
          <cell r="F213">
            <v>0</v>
          </cell>
          <cell r="M213">
            <v>0</v>
          </cell>
          <cell r="JC213">
            <v>0</v>
          </cell>
        </row>
        <row r="214">
          <cell r="A214" t="str">
            <v>39250</v>
          </cell>
          <cell r="B214" t="str">
            <v>Barselsfond</v>
          </cell>
          <cell r="D214">
            <v>39250</v>
          </cell>
          <cell r="F214">
            <v>0</v>
          </cell>
          <cell r="M214">
            <v>0</v>
          </cell>
          <cell r="JC214">
            <v>0</v>
          </cell>
        </row>
        <row r="215">
          <cell r="A215" t="str">
            <v>39300</v>
          </cell>
          <cell r="B215" t="str">
            <v>AER</v>
          </cell>
          <cell r="D215">
            <v>39300</v>
          </cell>
          <cell r="F215">
            <v>0</v>
          </cell>
          <cell r="M215">
            <v>0</v>
          </cell>
          <cell r="JC215">
            <v>0</v>
          </cell>
        </row>
        <row r="216">
          <cell r="A216" t="str">
            <v>39400</v>
          </cell>
          <cell r="B216" t="str">
            <v>Overenskomstbestemte fonde mv.</v>
          </cell>
          <cell r="D216">
            <v>39400</v>
          </cell>
          <cell r="F216">
            <v>0</v>
          </cell>
          <cell r="M216">
            <v>0</v>
          </cell>
          <cell r="JC216">
            <v>0</v>
          </cell>
        </row>
        <row r="217">
          <cell r="A217" t="str">
            <v>39500</v>
          </cell>
          <cell r="B217" t="str">
            <v>Arbejdsmiljøafgift</v>
          </cell>
          <cell r="D217">
            <v>39500</v>
          </cell>
          <cell r="F217">
            <v>0</v>
          </cell>
          <cell r="M217">
            <v>0</v>
          </cell>
          <cell r="JC217">
            <v>0</v>
          </cell>
        </row>
        <row r="218">
          <cell r="A218" t="str">
            <v>39600</v>
          </cell>
          <cell r="B218" t="str">
            <v>Lønsumsafgift</v>
          </cell>
          <cell r="F218">
            <v>0</v>
          </cell>
          <cell r="M218">
            <v>0</v>
          </cell>
          <cell r="JC218">
            <v>0</v>
          </cell>
        </row>
        <row r="219">
          <cell r="A219" t="str">
            <v>39998</v>
          </cell>
          <cell r="B219" t="str">
            <v>ATP mv ialt</v>
          </cell>
          <cell r="F219">
            <v>4</v>
          </cell>
          <cell r="M219">
            <v>0</v>
          </cell>
          <cell r="JC219">
            <v>0</v>
          </cell>
        </row>
        <row r="220">
          <cell r="A220" t="str">
            <v>39999</v>
          </cell>
          <cell r="F220">
            <v>3</v>
          </cell>
          <cell r="M220">
            <v>0</v>
          </cell>
          <cell r="JC220">
            <v>0</v>
          </cell>
        </row>
        <row r="221">
          <cell r="A221" t="str">
            <v>40100</v>
          </cell>
          <cell r="B221" t="str">
            <v>Restauration</v>
          </cell>
          <cell r="D221">
            <v>40100</v>
          </cell>
          <cell r="F221">
            <v>0</v>
          </cell>
          <cell r="M221">
            <v>0</v>
          </cell>
          <cell r="JC221">
            <v>0</v>
          </cell>
        </row>
        <row r="222">
          <cell r="A222" t="str">
            <v>40200</v>
          </cell>
          <cell r="B222" t="str">
            <v>Gaver, blomster</v>
          </cell>
          <cell r="D222">
            <v>40200</v>
          </cell>
          <cell r="F222">
            <v>0</v>
          </cell>
          <cell r="M222">
            <v>0</v>
          </cell>
          <cell r="JC222">
            <v>0</v>
          </cell>
        </row>
        <row r="223">
          <cell r="A223" t="str">
            <v>40998</v>
          </cell>
          <cell r="B223" t="str">
            <v>Repræsentation ialt</v>
          </cell>
          <cell r="F223">
            <v>4</v>
          </cell>
          <cell r="M223">
            <v>0</v>
          </cell>
          <cell r="JC223">
            <v>0</v>
          </cell>
        </row>
        <row r="224">
          <cell r="A224" t="str">
            <v>40999</v>
          </cell>
          <cell r="F224">
            <v>3</v>
          </cell>
          <cell r="M224">
            <v>0</v>
          </cell>
          <cell r="JC224">
            <v>0</v>
          </cell>
        </row>
        <row r="225">
          <cell r="A225" t="str">
            <v>41100</v>
          </cell>
          <cell r="B225" t="str">
            <v>Husleje</v>
          </cell>
          <cell r="D225">
            <v>41100</v>
          </cell>
          <cell r="F225">
            <v>0</v>
          </cell>
          <cell r="M225">
            <v>0</v>
          </cell>
          <cell r="JC225">
            <v>0</v>
          </cell>
        </row>
        <row r="226">
          <cell r="A226" t="str">
            <v>41150</v>
          </cell>
          <cell r="B226" t="str">
            <v>Indgået husleje</v>
          </cell>
          <cell r="D226">
            <v>41150</v>
          </cell>
          <cell r="F226">
            <v>0</v>
          </cell>
          <cell r="M226">
            <v>0</v>
          </cell>
          <cell r="JC226">
            <v>0</v>
          </cell>
        </row>
        <row r="227">
          <cell r="A227" t="str">
            <v>41200</v>
          </cell>
          <cell r="B227" t="str">
            <v>Varme</v>
          </cell>
          <cell r="D227">
            <v>41200</v>
          </cell>
          <cell r="F227">
            <v>0</v>
          </cell>
          <cell r="M227">
            <v>0</v>
          </cell>
          <cell r="JC227">
            <v>0</v>
          </cell>
        </row>
        <row r="228">
          <cell r="A228" t="str">
            <v>41300</v>
          </cell>
          <cell r="B228" t="str">
            <v>Fællesudgifter</v>
          </cell>
          <cell r="D228">
            <v>41300</v>
          </cell>
          <cell r="F228">
            <v>0</v>
          </cell>
          <cell r="M228">
            <v>0</v>
          </cell>
          <cell r="JC228">
            <v>0</v>
          </cell>
        </row>
        <row r="229">
          <cell r="A229" t="str">
            <v>41400</v>
          </cell>
          <cell r="B229" t="str">
            <v>El</v>
          </cell>
          <cell r="D229">
            <v>41400</v>
          </cell>
          <cell r="F229">
            <v>0</v>
          </cell>
          <cell r="M229">
            <v>0</v>
          </cell>
          <cell r="JC229">
            <v>0</v>
          </cell>
        </row>
        <row r="230">
          <cell r="A230" t="str">
            <v>41500</v>
          </cell>
          <cell r="B230" t="str">
            <v>Vand</v>
          </cell>
          <cell r="D230">
            <v>41500</v>
          </cell>
          <cell r="F230">
            <v>0</v>
          </cell>
          <cell r="M230">
            <v>0</v>
          </cell>
          <cell r="JC230">
            <v>0</v>
          </cell>
        </row>
        <row r="231">
          <cell r="A231" t="str">
            <v>41600</v>
          </cell>
          <cell r="B231" t="str">
            <v>Ejendomssikring</v>
          </cell>
          <cell r="D231">
            <v>41600</v>
          </cell>
          <cell r="F231">
            <v>0</v>
          </cell>
          <cell r="M231">
            <v>0</v>
          </cell>
          <cell r="JC231">
            <v>0</v>
          </cell>
        </row>
        <row r="232">
          <cell r="A232" t="str">
            <v>41700</v>
          </cell>
          <cell r="B232" t="str">
            <v>Lokalevedligeholdelse</v>
          </cell>
          <cell r="D232">
            <v>41700</v>
          </cell>
          <cell r="F232">
            <v>0</v>
          </cell>
          <cell r="M232">
            <v>0</v>
          </cell>
          <cell r="JC232">
            <v>0</v>
          </cell>
        </row>
        <row r="233">
          <cell r="A233" t="str">
            <v>41997</v>
          </cell>
          <cell r="B233" t="str">
            <v>Lokoaleomkostninger ialt</v>
          </cell>
          <cell r="F233">
            <v>4</v>
          </cell>
          <cell r="M233">
            <v>0</v>
          </cell>
          <cell r="JC233">
            <v>0</v>
          </cell>
        </row>
        <row r="234">
          <cell r="A234" t="str">
            <v>41999</v>
          </cell>
          <cell r="F234">
            <v>3</v>
          </cell>
          <cell r="M234">
            <v>0</v>
          </cell>
          <cell r="JC234">
            <v>0</v>
          </cell>
        </row>
        <row r="235">
          <cell r="A235" t="str">
            <v>42100</v>
          </cell>
          <cell r="B235" t="str">
            <v>Fast gage</v>
          </cell>
          <cell r="D235">
            <v>42100</v>
          </cell>
          <cell r="F235">
            <v>0</v>
          </cell>
          <cell r="M235">
            <v>0</v>
          </cell>
          <cell r="JC235">
            <v>0</v>
          </cell>
        </row>
        <row r="236">
          <cell r="A236" t="str">
            <v>42150</v>
          </cell>
          <cell r="B236" t="str">
            <v>Vikarhjælp</v>
          </cell>
          <cell r="D236">
            <v>42150</v>
          </cell>
          <cell r="F236">
            <v>0</v>
          </cell>
          <cell r="M236">
            <v>0</v>
          </cell>
          <cell r="JC236">
            <v>0</v>
          </cell>
        </row>
        <row r="237">
          <cell r="A237" t="str">
            <v>42200</v>
          </cell>
          <cell r="B237" t="str">
            <v>Løntræk</v>
          </cell>
          <cell r="D237">
            <v>42200</v>
          </cell>
          <cell r="F237">
            <v>0</v>
          </cell>
          <cell r="M237">
            <v>0</v>
          </cell>
          <cell r="JC237">
            <v>0</v>
          </cell>
        </row>
        <row r="238">
          <cell r="A238" t="str">
            <v>42300</v>
          </cell>
          <cell r="B238" t="str">
            <v>Lønrefusion komm. DFL</v>
          </cell>
          <cell r="D238">
            <v>42300</v>
          </cell>
          <cell r="F238">
            <v>0</v>
          </cell>
          <cell r="M238">
            <v>0</v>
          </cell>
          <cell r="JC238">
            <v>0</v>
          </cell>
        </row>
        <row r="239">
          <cell r="A239" t="str">
            <v>42400</v>
          </cell>
          <cell r="B239" t="str">
            <v>Timelønninger</v>
          </cell>
          <cell r="D239">
            <v>42400</v>
          </cell>
          <cell r="F239">
            <v>0</v>
          </cell>
          <cell r="M239">
            <v>0</v>
          </cell>
          <cell r="JC239">
            <v>0</v>
          </cell>
        </row>
        <row r="240">
          <cell r="A240" t="str">
            <v>42500</v>
          </cell>
          <cell r="B240" t="str">
            <v>Overarbejde</v>
          </cell>
          <cell r="D240">
            <v>42500</v>
          </cell>
          <cell r="F240">
            <v>0</v>
          </cell>
          <cell r="M240">
            <v>0</v>
          </cell>
          <cell r="JC240">
            <v>0</v>
          </cell>
        </row>
        <row r="241">
          <cell r="A241" t="str">
            <v>42600</v>
          </cell>
          <cell r="B241" t="str">
            <v>Engangsvederlag</v>
          </cell>
          <cell r="D241">
            <v>42600</v>
          </cell>
          <cell r="F241">
            <v>0</v>
          </cell>
          <cell r="M241">
            <v>0</v>
          </cell>
          <cell r="JC241">
            <v>0</v>
          </cell>
        </row>
        <row r="242">
          <cell r="A242" t="str">
            <v>42700</v>
          </cell>
          <cell r="B242" t="str">
            <v>Skiftehold/vagttillæg</v>
          </cell>
          <cell r="D242">
            <v>42700</v>
          </cell>
          <cell r="F242">
            <v>0</v>
          </cell>
          <cell r="M242">
            <v>0</v>
          </cell>
          <cell r="JC242">
            <v>0</v>
          </cell>
        </row>
        <row r="243">
          <cell r="A243" t="str">
            <v>42750</v>
          </cell>
          <cell r="B243" t="str">
            <v>Rejsegodtg. skattepl.</v>
          </cell>
          <cell r="D243" t="str">
            <v>NY</v>
          </cell>
          <cell r="F243">
            <v>0</v>
          </cell>
          <cell r="M243">
            <v>0</v>
          </cell>
          <cell r="JC243">
            <v>0</v>
          </cell>
        </row>
        <row r="244">
          <cell r="A244" t="str">
            <v>42800</v>
          </cell>
          <cell r="B244" t="str">
            <v>Feriepenge</v>
          </cell>
          <cell r="D244">
            <v>42800</v>
          </cell>
          <cell r="F244">
            <v>0</v>
          </cell>
          <cell r="M244">
            <v>0</v>
          </cell>
          <cell r="JC244">
            <v>0</v>
          </cell>
        </row>
        <row r="245">
          <cell r="A245" t="str">
            <v>42850</v>
          </cell>
          <cell r="B245" t="str">
            <v>Omsorgsdage</v>
          </cell>
          <cell r="D245">
            <v>42850</v>
          </cell>
          <cell r="F245">
            <v>0</v>
          </cell>
          <cell r="M245">
            <v>0</v>
          </cell>
          <cell r="JC245">
            <v>0</v>
          </cell>
        </row>
        <row r="246">
          <cell r="A246" t="str">
            <v>42900</v>
          </cell>
          <cell r="B246" t="str">
            <v>Gruppeliv</v>
          </cell>
          <cell r="D246">
            <v>42900</v>
          </cell>
          <cell r="F246">
            <v>0</v>
          </cell>
          <cell r="M246">
            <v>0</v>
          </cell>
          <cell r="JC246">
            <v>0</v>
          </cell>
        </row>
        <row r="247">
          <cell r="A247" t="str">
            <v>43100</v>
          </cell>
          <cell r="B247" t="str">
            <v>Pension</v>
          </cell>
          <cell r="D247">
            <v>43100</v>
          </cell>
          <cell r="F247">
            <v>0</v>
          </cell>
          <cell r="M247">
            <v>0</v>
          </cell>
          <cell r="JC247">
            <v>0</v>
          </cell>
        </row>
        <row r="248">
          <cell r="A248" t="str">
            <v>43200</v>
          </cell>
          <cell r="B248" t="str">
            <v>Sociale ydelser ATP</v>
          </cell>
          <cell r="D248">
            <v>43200</v>
          </cell>
          <cell r="F248">
            <v>0</v>
          </cell>
          <cell r="M248">
            <v>0</v>
          </cell>
          <cell r="JC248">
            <v>0</v>
          </cell>
        </row>
        <row r="249">
          <cell r="A249" t="str">
            <v>43297</v>
          </cell>
          <cell r="B249" t="str">
            <v>Adm. løn, pension mv ialt</v>
          </cell>
          <cell r="F249">
            <v>4</v>
          </cell>
          <cell r="M249">
            <v>0</v>
          </cell>
          <cell r="JC249">
            <v>0</v>
          </cell>
        </row>
        <row r="250">
          <cell r="A250" t="str">
            <v>43299</v>
          </cell>
          <cell r="F250">
            <v>3</v>
          </cell>
          <cell r="M250">
            <v>0</v>
          </cell>
          <cell r="JC250">
            <v>0</v>
          </cell>
        </row>
        <row r="251">
          <cell r="A251" t="str">
            <v>43300</v>
          </cell>
          <cell r="B251" t="str">
            <v>Regulering Feriepenge hensæt.</v>
          </cell>
          <cell r="D251">
            <v>43300</v>
          </cell>
          <cell r="F251">
            <v>0</v>
          </cell>
          <cell r="M251">
            <v>0</v>
          </cell>
          <cell r="JC251">
            <v>0</v>
          </cell>
        </row>
        <row r="252">
          <cell r="A252" t="str">
            <v>43400</v>
          </cell>
          <cell r="B252" t="str">
            <v>Regulering Overarbejde hensæt.</v>
          </cell>
          <cell r="D252">
            <v>43400</v>
          </cell>
          <cell r="F252">
            <v>0</v>
          </cell>
          <cell r="M252">
            <v>0</v>
          </cell>
          <cell r="JC252">
            <v>0</v>
          </cell>
        </row>
        <row r="253">
          <cell r="A253" t="str">
            <v>43498</v>
          </cell>
          <cell r="B253" t="str">
            <v>Regulering hensættelser ialt</v>
          </cell>
          <cell r="F253">
            <v>4</v>
          </cell>
          <cell r="M253">
            <v>0</v>
          </cell>
          <cell r="JC253">
            <v>0</v>
          </cell>
        </row>
        <row r="254">
          <cell r="A254" t="str">
            <v>44999</v>
          </cell>
          <cell r="F254">
            <v>3</v>
          </cell>
          <cell r="M254">
            <v>0</v>
          </cell>
          <cell r="JC254">
            <v>0</v>
          </cell>
        </row>
        <row r="255">
          <cell r="A255" t="str">
            <v>45100</v>
          </cell>
          <cell r="B255" t="str">
            <v>Afskrivninger</v>
          </cell>
          <cell r="D255">
            <v>45100</v>
          </cell>
          <cell r="F255">
            <v>0</v>
          </cell>
          <cell r="M255">
            <v>0</v>
          </cell>
          <cell r="JC255">
            <v>0</v>
          </cell>
        </row>
        <row r="256">
          <cell r="A256" t="str">
            <v>45996</v>
          </cell>
          <cell r="B256" t="str">
            <v>Afskrivninger ialt</v>
          </cell>
          <cell r="F256">
            <v>4</v>
          </cell>
          <cell r="M256">
            <v>0</v>
          </cell>
          <cell r="JC256">
            <v>0</v>
          </cell>
        </row>
        <row r="257">
          <cell r="A257" t="str">
            <v>45999</v>
          </cell>
          <cell r="F257">
            <v>3</v>
          </cell>
          <cell r="M257">
            <v>0</v>
          </cell>
          <cell r="JC257">
            <v>0</v>
          </cell>
        </row>
        <row r="258">
          <cell r="A258" t="str">
            <v>46050</v>
          </cell>
          <cell r="B258" t="str">
            <v>Salg Personalefrokost løn</v>
          </cell>
          <cell r="D258">
            <v>46050</v>
          </cell>
          <cell r="F258">
            <v>0</v>
          </cell>
          <cell r="M258">
            <v>0</v>
          </cell>
          <cell r="JC258">
            <v>0</v>
          </cell>
        </row>
        <row r="259">
          <cell r="A259" t="str">
            <v>46075</v>
          </cell>
          <cell r="B259" t="str">
            <v>Salg Personale bonner</v>
          </cell>
          <cell r="D259" t="str">
            <v>NY</v>
          </cell>
          <cell r="F259">
            <v>0</v>
          </cell>
          <cell r="M259">
            <v>0</v>
          </cell>
          <cell r="JC259">
            <v>0</v>
          </cell>
        </row>
        <row r="260">
          <cell r="A260" t="str">
            <v>46080</v>
          </cell>
          <cell r="B260" t="str">
            <v>Salg Andre</v>
          </cell>
          <cell r="F260">
            <v>0</v>
          </cell>
          <cell r="M260">
            <v>0</v>
          </cell>
          <cell r="JC260">
            <v>0</v>
          </cell>
        </row>
        <row r="261">
          <cell r="A261" t="str">
            <v>46100</v>
          </cell>
          <cell r="B261" t="str">
            <v>Salg Møder frokost mv</v>
          </cell>
          <cell r="D261">
            <v>46100</v>
          </cell>
          <cell r="F261">
            <v>0</v>
          </cell>
          <cell r="M261">
            <v>0</v>
          </cell>
          <cell r="JC261">
            <v>0</v>
          </cell>
        </row>
        <row r="262">
          <cell r="A262" t="str">
            <v>46120</v>
          </cell>
          <cell r="B262" t="str">
            <v>Salg Øl, vand møder</v>
          </cell>
          <cell r="D262">
            <v>46120</v>
          </cell>
          <cell r="F262">
            <v>0</v>
          </cell>
          <cell r="M262">
            <v>0</v>
          </cell>
          <cell r="JC262">
            <v>0</v>
          </cell>
        </row>
        <row r="263">
          <cell r="A263" t="str">
            <v>46130</v>
          </cell>
          <cell r="B263" t="str">
            <v>Salg Kaffe, te, småkager møder</v>
          </cell>
          <cell r="D263" t="str">
            <v>NY</v>
          </cell>
          <cell r="F263">
            <v>0</v>
          </cell>
          <cell r="M263">
            <v>0</v>
          </cell>
          <cell r="JC263">
            <v>0</v>
          </cell>
        </row>
        <row r="264">
          <cell r="A264" t="str">
            <v>46150</v>
          </cell>
          <cell r="B264" t="str">
            <v>Salg Køkken</v>
          </cell>
          <cell r="D264">
            <v>46150</v>
          </cell>
          <cell r="F264">
            <v>0</v>
          </cell>
          <cell r="M264">
            <v>0</v>
          </cell>
          <cell r="JC264">
            <v>0</v>
          </cell>
        </row>
        <row r="265">
          <cell r="A265" t="str">
            <v>46200</v>
          </cell>
          <cell r="B265" t="str">
            <v>Salg automat</v>
          </cell>
          <cell r="D265">
            <v>46200</v>
          </cell>
          <cell r="F265">
            <v>0</v>
          </cell>
          <cell r="M265">
            <v>0</v>
          </cell>
          <cell r="JC265">
            <v>0</v>
          </cell>
        </row>
        <row r="266">
          <cell r="A266" t="str">
            <v>46250</v>
          </cell>
          <cell r="B266" t="str">
            <v>Varekøb køkken</v>
          </cell>
          <cell r="D266">
            <v>46250</v>
          </cell>
          <cell r="F266">
            <v>0</v>
          </cell>
          <cell r="M266">
            <v>40</v>
          </cell>
          <cell r="JC266">
            <v>40</v>
          </cell>
        </row>
        <row r="267">
          <cell r="A267" t="str">
            <v>46275</v>
          </cell>
          <cell r="B267" t="str">
            <v>Varekøb frugt</v>
          </cell>
          <cell r="D267" t="str">
            <v>NY</v>
          </cell>
          <cell r="F267">
            <v>0</v>
          </cell>
          <cell r="M267">
            <v>0</v>
          </cell>
          <cell r="JC267">
            <v>0</v>
          </cell>
        </row>
        <row r="268">
          <cell r="A268" t="str">
            <v>46280</v>
          </cell>
          <cell r="B268" t="str">
            <v>Varekøb morgenbrød</v>
          </cell>
          <cell r="F268">
            <v>0</v>
          </cell>
          <cell r="M268">
            <v>0</v>
          </cell>
          <cell r="JC268">
            <v>0</v>
          </cell>
        </row>
        <row r="269">
          <cell r="A269" t="str">
            <v>46300</v>
          </cell>
          <cell r="B269" t="str">
            <v>Varekøb til møder</v>
          </cell>
          <cell r="D269">
            <v>46300</v>
          </cell>
          <cell r="F269">
            <v>0</v>
          </cell>
          <cell r="M269">
            <v>0</v>
          </cell>
          <cell r="JC269">
            <v>0</v>
          </cell>
        </row>
        <row r="270">
          <cell r="A270" t="str">
            <v>46350</v>
          </cell>
          <cell r="B270" t="str">
            <v>Køb Automat slik og tobak</v>
          </cell>
          <cell r="D270">
            <v>46350</v>
          </cell>
          <cell r="F270">
            <v>0</v>
          </cell>
          <cell r="M270">
            <v>0</v>
          </cell>
          <cell r="JC270">
            <v>0</v>
          </cell>
        </row>
        <row r="271">
          <cell r="A271" t="str">
            <v>46450</v>
          </cell>
          <cell r="B271" t="str">
            <v>Køb Automat øl og vand</v>
          </cell>
          <cell r="D271">
            <v>46450</v>
          </cell>
          <cell r="F271">
            <v>0</v>
          </cell>
          <cell r="M271">
            <v>0</v>
          </cell>
          <cell r="JC271">
            <v>0</v>
          </cell>
        </row>
        <row r="272">
          <cell r="A272" t="str">
            <v>46500</v>
          </cell>
          <cell r="B272" t="str">
            <v>Småanskaffelser/forbrugsmat.</v>
          </cell>
          <cell r="D272" t="str">
            <v>NY</v>
          </cell>
          <cell r="F272">
            <v>0</v>
          </cell>
          <cell r="M272">
            <v>0</v>
          </cell>
          <cell r="JC272">
            <v>0</v>
          </cell>
        </row>
        <row r="273">
          <cell r="A273" t="str">
            <v>46550</v>
          </cell>
          <cell r="B273" t="str">
            <v>Rengøring</v>
          </cell>
          <cell r="D273" t="str">
            <v>NY</v>
          </cell>
          <cell r="F273">
            <v>0</v>
          </cell>
          <cell r="M273">
            <v>0</v>
          </cell>
          <cell r="JC273">
            <v>0</v>
          </cell>
        </row>
        <row r="274">
          <cell r="A274" t="str">
            <v>46600</v>
          </cell>
          <cell r="B274" t="str">
            <v>Diverse omkostninger</v>
          </cell>
          <cell r="D274">
            <v>46600</v>
          </cell>
          <cell r="F274">
            <v>0</v>
          </cell>
          <cell r="M274">
            <v>0</v>
          </cell>
          <cell r="JC274">
            <v>0</v>
          </cell>
        </row>
        <row r="275">
          <cell r="A275" t="str">
            <v>46610</v>
          </cell>
          <cell r="B275" t="str">
            <v>Kantinemoms</v>
          </cell>
          <cell r="F275">
            <v>0</v>
          </cell>
          <cell r="M275">
            <v>0</v>
          </cell>
          <cell r="JC275">
            <v>0</v>
          </cell>
        </row>
        <row r="276">
          <cell r="A276" t="str">
            <v>46648</v>
          </cell>
          <cell r="B276" t="str">
            <v>Kantinen drift ialt</v>
          </cell>
          <cell r="F276">
            <v>4</v>
          </cell>
          <cell r="M276">
            <v>0</v>
          </cell>
          <cell r="JC276">
            <v>0</v>
          </cell>
        </row>
        <row r="277">
          <cell r="A277" t="str">
            <v>46649</v>
          </cell>
          <cell r="F277">
            <v>3</v>
          </cell>
          <cell r="M277">
            <v>0</v>
          </cell>
          <cell r="JC277">
            <v>0</v>
          </cell>
        </row>
        <row r="278">
          <cell r="A278" t="str">
            <v>46650</v>
          </cell>
          <cell r="B278" t="str">
            <v>Øvrige indtægter</v>
          </cell>
          <cell r="F278">
            <v>0</v>
          </cell>
          <cell r="M278">
            <v>0</v>
          </cell>
          <cell r="JC278">
            <v>0</v>
          </cell>
        </row>
        <row r="279">
          <cell r="A279" t="str">
            <v>46700</v>
          </cell>
          <cell r="B279" t="str">
            <v>Øvrige omkostninger</v>
          </cell>
          <cell r="F279">
            <v>0</v>
          </cell>
          <cell r="M279">
            <v>0</v>
          </cell>
          <cell r="JC279">
            <v>0</v>
          </cell>
        </row>
        <row r="280">
          <cell r="A280" t="str">
            <v>46799</v>
          </cell>
          <cell r="B280" t="str">
            <v>Øvrige indtægter/omkostninger</v>
          </cell>
          <cell r="F280">
            <v>4</v>
          </cell>
          <cell r="M280">
            <v>0</v>
          </cell>
          <cell r="JC280">
            <v>0</v>
          </cell>
        </row>
        <row r="281">
          <cell r="A281" t="str">
            <v>46960</v>
          </cell>
          <cell r="F281">
            <v>3</v>
          </cell>
          <cell r="M281">
            <v>0</v>
          </cell>
          <cell r="JC281">
            <v>0</v>
          </cell>
        </row>
        <row r="282">
          <cell r="A282" t="str">
            <v>46970</v>
          </cell>
          <cell r="B282" t="str">
            <v>Tab på debitorer</v>
          </cell>
          <cell r="F282">
            <v>0</v>
          </cell>
          <cell r="M282">
            <v>0</v>
          </cell>
          <cell r="JC282">
            <v>0</v>
          </cell>
        </row>
        <row r="283">
          <cell r="A283" t="str">
            <v>46980</v>
          </cell>
          <cell r="B283" t="str">
            <v>Tab på debitorer ialt</v>
          </cell>
          <cell r="F283">
            <v>4</v>
          </cell>
          <cell r="M283">
            <v>0</v>
          </cell>
          <cell r="JC283">
            <v>0</v>
          </cell>
        </row>
        <row r="284">
          <cell r="A284" t="str">
            <v>47099</v>
          </cell>
          <cell r="F284">
            <v>3</v>
          </cell>
          <cell r="M284">
            <v>0</v>
          </cell>
          <cell r="JC284">
            <v>0</v>
          </cell>
        </row>
        <row r="285">
          <cell r="A285" t="str">
            <v>47100</v>
          </cell>
          <cell r="B285" t="str">
            <v>Renteindtægter</v>
          </cell>
          <cell r="D285">
            <v>47100</v>
          </cell>
          <cell r="F285">
            <v>0</v>
          </cell>
          <cell r="M285">
            <v>0</v>
          </cell>
          <cell r="JC285">
            <v>0</v>
          </cell>
        </row>
        <row r="286">
          <cell r="A286" t="str">
            <v>47200</v>
          </cell>
          <cell r="B286" t="str">
            <v>Kontantrabatter</v>
          </cell>
          <cell r="D286">
            <v>47200</v>
          </cell>
          <cell r="F286">
            <v>0</v>
          </cell>
          <cell r="M286">
            <v>0</v>
          </cell>
          <cell r="JC286">
            <v>0</v>
          </cell>
        </row>
        <row r="287">
          <cell r="A287" t="str">
            <v>47250</v>
          </cell>
          <cell r="B287" t="str">
            <v>Kursgevinst</v>
          </cell>
          <cell r="F287">
            <v>0</v>
          </cell>
          <cell r="M287">
            <v>0</v>
          </cell>
          <cell r="JC287">
            <v>0</v>
          </cell>
        </row>
        <row r="288">
          <cell r="A288" t="str">
            <v>47300</v>
          </cell>
          <cell r="B288" t="str">
            <v>Renteudgifter</v>
          </cell>
          <cell r="D288">
            <v>47300</v>
          </cell>
          <cell r="F288">
            <v>0</v>
          </cell>
          <cell r="M288">
            <v>0</v>
          </cell>
          <cell r="JC288">
            <v>0</v>
          </cell>
        </row>
        <row r="289">
          <cell r="A289" t="str">
            <v>47350</v>
          </cell>
          <cell r="B289" t="str">
            <v>Renteudgifter leasinggæld</v>
          </cell>
          <cell r="D289">
            <v>47350</v>
          </cell>
          <cell r="F289">
            <v>0</v>
          </cell>
          <cell r="M289">
            <v>0</v>
          </cell>
          <cell r="JC289">
            <v>0</v>
          </cell>
        </row>
        <row r="290">
          <cell r="A290" t="str">
            <v>47375</v>
          </cell>
          <cell r="B290" t="str">
            <v>Kurstab</v>
          </cell>
          <cell r="F290">
            <v>0</v>
          </cell>
          <cell r="M290">
            <v>0</v>
          </cell>
          <cell r="JC290">
            <v>0</v>
          </cell>
        </row>
        <row r="291">
          <cell r="A291" t="str">
            <v>47400</v>
          </cell>
          <cell r="B291" t="str">
            <v>Diverse gebyrer</v>
          </cell>
          <cell r="D291">
            <v>47400</v>
          </cell>
          <cell r="F291">
            <v>0</v>
          </cell>
          <cell r="M291">
            <v>0</v>
          </cell>
          <cell r="JC291">
            <v>0</v>
          </cell>
        </row>
        <row r="292">
          <cell r="A292" t="str">
            <v>47500</v>
          </cell>
          <cell r="B292" t="str">
            <v>Ej fradragsberet renter mv</v>
          </cell>
          <cell r="D292">
            <v>47500</v>
          </cell>
          <cell r="F292">
            <v>0</v>
          </cell>
          <cell r="M292">
            <v>0</v>
          </cell>
          <cell r="JC292">
            <v>0</v>
          </cell>
        </row>
        <row r="293">
          <cell r="A293" t="str">
            <v>47998</v>
          </cell>
          <cell r="B293" t="str">
            <v>Finansielle poster ialt</v>
          </cell>
          <cell r="F293">
            <v>4</v>
          </cell>
          <cell r="M293">
            <v>0</v>
          </cell>
          <cell r="JC293">
            <v>0</v>
          </cell>
        </row>
        <row r="294">
          <cell r="A294" t="str">
            <v>47999</v>
          </cell>
          <cell r="F294">
            <v>3</v>
          </cell>
          <cell r="M294">
            <v>0</v>
          </cell>
          <cell r="JC294">
            <v>0</v>
          </cell>
        </row>
        <row r="295">
          <cell r="A295" t="str">
            <v>48100</v>
          </cell>
          <cell r="B295" t="str">
            <v>Ekstraordinære indtægter</v>
          </cell>
          <cell r="D295">
            <v>48100</v>
          </cell>
          <cell r="F295">
            <v>0</v>
          </cell>
          <cell r="M295">
            <v>0</v>
          </cell>
          <cell r="JC295">
            <v>0</v>
          </cell>
        </row>
        <row r="296">
          <cell r="A296" t="str">
            <v>48200</v>
          </cell>
          <cell r="B296" t="str">
            <v>Fortjeneste på udg. aktiver</v>
          </cell>
          <cell r="D296">
            <v>48200</v>
          </cell>
          <cell r="F296">
            <v>0</v>
          </cell>
          <cell r="M296">
            <v>0</v>
          </cell>
          <cell r="JC296">
            <v>0</v>
          </cell>
        </row>
        <row r="297">
          <cell r="A297" t="str">
            <v>48300</v>
          </cell>
          <cell r="B297" t="str">
            <v>Ekstraordinære udgifter</v>
          </cell>
          <cell r="D297">
            <v>48300</v>
          </cell>
          <cell r="F297">
            <v>0</v>
          </cell>
          <cell r="M297">
            <v>0</v>
          </cell>
          <cell r="JC297">
            <v>0</v>
          </cell>
        </row>
        <row r="298">
          <cell r="A298" t="str">
            <v>48400</v>
          </cell>
          <cell r="B298" t="str">
            <v>Tab på udg. aktiver</v>
          </cell>
          <cell r="D298">
            <v>48400</v>
          </cell>
          <cell r="F298">
            <v>0</v>
          </cell>
          <cell r="M298">
            <v>0</v>
          </cell>
          <cell r="JC298">
            <v>0</v>
          </cell>
        </row>
        <row r="299">
          <cell r="A299" t="str">
            <v>48999</v>
          </cell>
          <cell r="B299" t="str">
            <v>Ekstraordinære poster ialt</v>
          </cell>
          <cell r="F299">
            <v>4</v>
          </cell>
          <cell r="M299">
            <v>0</v>
          </cell>
          <cell r="JC299">
            <v>0</v>
          </cell>
        </row>
        <row r="300">
          <cell r="A300" t="str">
            <v>49000</v>
          </cell>
          <cell r="F300">
            <v>3</v>
          </cell>
          <cell r="M300">
            <v>0</v>
          </cell>
          <cell r="JC300">
            <v>0</v>
          </cell>
        </row>
        <row r="301">
          <cell r="A301" t="str">
            <v>49100</v>
          </cell>
          <cell r="B301" t="str">
            <v>Skat</v>
          </cell>
          <cell r="F301">
            <v>0</v>
          </cell>
          <cell r="M301">
            <v>0</v>
          </cell>
          <cell r="JC301">
            <v>0</v>
          </cell>
        </row>
        <row r="302">
          <cell r="A302" t="str">
            <v>49200</v>
          </cell>
          <cell r="B302" t="str">
            <v>Skat ialt</v>
          </cell>
          <cell r="F302">
            <v>4</v>
          </cell>
          <cell r="M302">
            <v>0</v>
          </cell>
          <cell r="JC302">
            <v>0</v>
          </cell>
        </row>
        <row r="303">
          <cell r="A303" t="str">
            <v>49998</v>
          </cell>
          <cell r="B303" t="str">
            <v>Omkostninger ialt</v>
          </cell>
          <cell r="F303">
            <v>4</v>
          </cell>
          <cell r="M303">
            <v>0</v>
          </cell>
          <cell r="JC303">
            <v>0</v>
          </cell>
        </row>
        <row r="304">
          <cell r="A304" t="str">
            <v>49999</v>
          </cell>
          <cell r="F304">
            <v>2</v>
          </cell>
          <cell r="M304">
            <v>0</v>
          </cell>
          <cell r="JC304">
            <v>0</v>
          </cell>
        </row>
      </sheetData>
      <sheetData sheetId="3">
        <row r="12">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cell r="LJ12">
            <v>0</v>
          </cell>
          <cell r="LK12">
            <v>0</v>
          </cell>
          <cell r="LL12">
            <v>0</v>
          </cell>
          <cell r="LM12">
            <v>0</v>
          </cell>
          <cell r="LN12">
            <v>0</v>
          </cell>
          <cell r="LO12">
            <v>0</v>
          </cell>
          <cell r="LP12">
            <v>0</v>
          </cell>
          <cell r="LQ12">
            <v>0</v>
          </cell>
          <cell r="LR12">
            <v>0</v>
          </cell>
          <cell r="LS12">
            <v>0</v>
          </cell>
          <cell r="LT12">
            <v>0</v>
          </cell>
          <cell r="LU12">
            <v>0</v>
          </cell>
          <cell r="LV12">
            <v>0</v>
          </cell>
          <cell r="LW12">
            <v>0</v>
          </cell>
          <cell r="LX12">
            <v>0</v>
          </cell>
          <cell r="LY12">
            <v>0</v>
          </cell>
          <cell r="LZ12">
            <v>0</v>
          </cell>
          <cell r="MA12">
            <v>0</v>
          </cell>
          <cell r="MB12">
            <v>0</v>
          </cell>
          <cell r="MC12">
            <v>0</v>
          </cell>
          <cell r="MD12">
            <v>0</v>
          </cell>
          <cell r="ME12">
            <v>0</v>
          </cell>
          <cell r="MF12">
            <v>0</v>
          </cell>
          <cell r="MG12">
            <v>0</v>
          </cell>
          <cell r="MH12">
            <v>0</v>
          </cell>
          <cell r="MI12">
            <v>0</v>
          </cell>
          <cell r="MJ12">
            <v>0</v>
          </cell>
          <cell r="MK12">
            <v>0</v>
          </cell>
          <cell r="ML12">
            <v>0</v>
          </cell>
          <cell r="MM12">
            <v>0</v>
          </cell>
          <cell r="MN12">
            <v>0</v>
          </cell>
          <cell r="MO12">
            <v>0</v>
          </cell>
          <cell r="MP12">
            <v>0</v>
          </cell>
          <cell r="MQ12">
            <v>0</v>
          </cell>
          <cell r="MR12">
            <v>0</v>
          </cell>
          <cell r="MS12">
            <v>0</v>
          </cell>
          <cell r="MT12">
            <v>0</v>
          </cell>
          <cell r="MU12">
            <v>0</v>
          </cell>
          <cell r="MV12">
            <v>0</v>
          </cell>
          <cell r="MW12">
            <v>0</v>
          </cell>
          <cell r="MX12">
            <v>0</v>
          </cell>
          <cell r="MY12">
            <v>0</v>
          </cell>
          <cell r="MZ12">
            <v>0</v>
          </cell>
          <cell r="NA12">
            <v>0</v>
          </cell>
          <cell r="NB12">
            <v>0</v>
          </cell>
          <cell r="NC12">
            <v>0</v>
          </cell>
          <cell r="ND12">
            <v>0</v>
          </cell>
          <cell r="NE12">
            <v>0</v>
          </cell>
          <cell r="NF12">
            <v>0</v>
          </cell>
          <cell r="NG12">
            <v>0</v>
          </cell>
          <cell r="NH12">
            <v>0</v>
          </cell>
          <cell r="NI12">
            <v>0</v>
          </cell>
          <cell r="NJ12">
            <v>0</v>
          </cell>
          <cell r="NK12">
            <v>0</v>
          </cell>
          <cell r="NL12">
            <v>0</v>
          </cell>
          <cell r="NM12">
            <v>0</v>
          </cell>
          <cell r="NN12">
            <v>0</v>
          </cell>
          <cell r="NO12">
            <v>0</v>
          </cell>
          <cell r="NP12">
            <v>0</v>
          </cell>
          <cell r="NQ12">
            <v>0</v>
          </cell>
          <cell r="NR12">
            <v>0</v>
          </cell>
          <cell r="NS12">
            <v>0</v>
          </cell>
          <cell r="NT12">
            <v>0</v>
          </cell>
          <cell r="NU12">
            <v>0</v>
          </cell>
          <cell r="NV12">
            <v>0</v>
          </cell>
          <cell r="NW12">
            <v>0</v>
          </cell>
          <cell r="NX12">
            <v>0</v>
          </cell>
          <cell r="NY12">
            <v>0</v>
          </cell>
          <cell r="NZ12">
            <v>0</v>
          </cell>
          <cell r="OA12">
            <v>0</v>
          </cell>
          <cell r="OB12">
            <v>0</v>
          </cell>
          <cell r="OC12">
            <v>0</v>
          </cell>
          <cell r="OD12">
            <v>0</v>
          </cell>
          <cell r="OE12">
            <v>0</v>
          </cell>
          <cell r="OF12">
            <v>0</v>
          </cell>
          <cell r="OG12">
            <v>0</v>
          </cell>
          <cell r="OH12">
            <v>0</v>
          </cell>
          <cell r="OI12">
            <v>0</v>
          </cell>
          <cell r="OJ12">
            <v>0</v>
          </cell>
          <cell r="OK12">
            <v>0</v>
          </cell>
          <cell r="OL12">
            <v>0</v>
          </cell>
          <cell r="OM12">
            <v>0</v>
          </cell>
          <cell r="ON12">
            <v>0</v>
          </cell>
          <cell r="OO12">
            <v>0</v>
          </cell>
          <cell r="OP12">
            <v>0</v>
          </cell>
          <cell r="OQ12">
            <v>0</v>
          </cell>
          <cell r="OR12">
            <v>0</v>
          </cell>
          <cell r="OS12">
            <v>0</v>
          </cell>
          <cell r="OT12">
            <v>0</v>
          </cell>
          <cell r="OU12">
            <v>0</v>
          </cell>
          <cell r="OV12">
            <v>0</v>
          </cell>
          <cell r="OW12">
            <v>0</v>
          </cell>
          <cell r="OX12">
            <v>0</v>
          </cell>
          <cell r="OY12">
            <v>0</v>
          </cell>
          <cell r="OZ12">
            <v>0</v>
          </cell>
          <cell r="PA12">
            <v>0</v>
          </cell>
          <cell r="PB12">
            <v>0</v>
          </cell>
          <cell r="PC12">
            <v>0</v>
          </cell>
          <cell r="PD12">
            <v>0</v>
          </cell>
          <cell r="PE12">
            <v>0</v>
          </cell>
          <cell r="PF12">
            <v>0</v>
          </cell>
          <cell r="PG12">
            <v>0</v>
          </cell>
          <cell r="PH12">
            <v>0</v>
          </cell>
          <cell r="PI12">
            <v>0</v>
          </cell>
          <cell r="PJ12">
            <v>0</v>
          </cell>
          <cell r="PK12">
            <v>0</v>
          </cell>
          <cell r="PL12">
            <v>0</v>
          </cell>
          <cell r="PM12">
            <v>0</v>
          </cell>
          <cell r="PN12">
            <v>0</v>
          </cell>
          <cell r="PO12">
            <v>0</v>
          </cell>
          <cell r="PP12">
            <v>0</v>
          </cell>
          <cell r="PQ12">
            <v>0</v>
          </cell>
          <cell r="PR12">
            <v>0</v>
          </cell>
          <cell r="PS12">
            <v>0</v>
          </cell>
          <cell r="PT12">
            <v>0</v>
          </cell>
          <cell r="PU12">
            <v>0</v>
          </cell>
          <cell r="PV12">
            <v>0</v>
          </cell>
          <cell r="PW12">
            <v>0</v>
          </cell>
          <cell r="PX12">
            <v>0</v>
          </cell>
          <cell r="PY12">
            <v>0</v>
          </cell>
          <cell r="PZ12">
            <v>0</v>
          </cell>
          <cell r="QA12">
            <v>0</v>
          </cell>
          <cell r="QB12">
            <v>0</v>
          </cell>
          <cell r="QC12">
            <v>0</v>
          </cell>
          <cell r="QD12">
            <v>0</v>
          </cell>
          <cell r="QE12">
            <v>0</v>
          </cell>
          <cell r="QF12">
            <v>0</v>
          </cell>
          <cell r="QG12">
            <v>0</v>
          </cell>
          <cell r="QH12">
            <v>0</v>
          </cell>
          <cell r="QI12">
            <v>0</v>
          </cell>
          <cell r="QJ12">
            <v>0</v>
          </cell>
          <cell r="QK12">
            <v>0</v>
          </cell>
          <cell r="QL12">
            <v>0</v>
          </cell>
          <cell r="QM12">
            <v>0</v>
          </cell>
          <cell r="QN12">
            <v>0</v>
          </cell>
          <cell r="QO12">
            <v>0</v>
          </cell>
          <cell r="QP12">
            <v>0</v>
          </cell>
          <cell r="QQ12">
            <v>0</v>
          </cell>
          <cell r="QR12">
            <v>0</v>
          </cell>
          <cell r="QS12">
            <v>0</v>
          </cell>
          <cell r="QT12">
            <v>0</v>
          </cell>
          <cell r="QU12">
            <v>0</v>
          </cell>
          <cell r="QV12">
            <v>0</v>
          </cell>
          <cell r="QW12">
            <v>0</v>
          </cell>
          <cell r="QX12">
            <v>0</v>
          </cell>
          <cell r="QY12">
            <v>0</v>
          </cell>
          <cell r="QZ12">
            <v>0</v>
          </cell>
          <cell r="RA12">
            <v>0</v>
          </cell>
          <cell r="RB12">
            <v>0</v>
          </cell>
          <cell r="RC12">
            <v>0</v>
          </cell>
          <cell r="RD12">
            <v>0</v>
          </cell>
          <cell r="RE12">
            <v>0</v>
          </cell>
          <cell r="RF12">
            <v>0</v>
          </cell>
          <cell r="RG12">
            <v>0</v>
          </cell>
          <cell r="RH12">
            <v>0</v>
          </cell>
          <cell r="RI12">
            <v>0</v>
          </cell>
          <cell r="RJ12">
            <v>0</v>
          </cell>
          <cell r="RK12">
            <v>0</v>
          </cell>
          <cell r="RL12">
            <v>0</v>
          </cell>
          <cell r="RM12">
            <v>0</v>
          </cell>
          <cell r="RN12">
            <v>0</v>
          </cell>
          <cell r="RO12">
            <v>0</v>
          </cell>
          <cell r="RP12">
            <v>0</v>
          </cell>
          <cell r="RQ12">
            <v>0</v>
          </cell>
          <cell r="RR12">
            <v>0</v>
          </cell>
          <cell r="RS12">
            <v>0</v>
          </cell>
          <cell r="RT12">
            <v>0</v>
          </cell>
          <cell r="RU12">
            <v>0</v>
          </cell>
          <cell r="RV12">
            <v>0</v>
          </cell>
          <cell r="RW12">
            <v>0</v>
          </cell>
          <cell r="RX12">
            <v>0</v>
          </cell>
          <cell r="RY12">
            <v>0</v>
          </cell>
          <cell r="RZ12">
            <v>0</v>
          </cell>
          <cell r="SA12">
            <v>0</v>
          </cell>
          <cell r="SB12">
            <v>0</v>
          </cell>
          <cell r="SC12">
            <v>0</v>
          </cell>
          <cell r="SD12">
            <v>0</v>
          </cell>
          <cell r="SE12">
            <v>0</v>
          </cell>
          <cell r="SF12">
            <v>0</v>
          </cell>
          <cell r="SG12">
            <v>0</v>
          </cell>
          <cell r="SH12">
            <v>0</v>
          </cell>
          <cell r="SI12">
            <v>0</v>
          </cell>
          <cell r="SJ12">
            <v>0</v>
          </cell>
          <cell r="SK12">
            <v>0</v>
          </cell>
          <cell r="SL12">
            <v>0</v>
          </cell>
          <cell r="SM12">
            <v>0</v>
          </cell>
          <cell r="SN12">
            <v>0</v>
          </cell>
          <cell r="SO12">
            <v>0</v>
          </cell>
          <cell r="SP12">
            <v>0</v>
          </cell>
          <cell r="SQ12">
            <v>0</v>
          </cell>
          <cell r="SR12">
            <v>0</v>
          </cell>
          <cell r="SS12">
            <v>0</v>
          </cell>
          <cell r="ST12">
            <v>0</v>
          </cell>
          <cell r="SU12">
            <v>0</v>
          </cell>
          <cell r="SV12">
            <v>0</v>
          </cell>
          <cell r="SW12">
            <v>0</v>
          </cell>
          <cell r="SX12">
            <v>0</v>
          </cell>
          <cell r="SY12">
            <v>0</v>
          </cell>
          <cell r="SZ12">
            <v>0</v>
          </cell>
          <cell r="TA12">
            <v>0</v>
          </cell>
          <cell r="TB12">
            <v>0</v>
          </cell>
          <cell r="TC12">
            <v>0</v>
          </cell>
          <cell r="TD12">
            <v>0</v>
          </cell>
          <cell r="TE12">
            <v>0</v>
          </cell>
          <cell r="TF12">
            <v>0</v>
          </cell>
          <cell r="TG12">
            <v>0</v>
          </cell>
        </row>
      </sheetData>
      <sheetData sheetId="4">
        <row r="12">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cell r="LJ12">
            <v>0</v>
          </cell>
          <cell r="LK12">
            <v>0</v>
          </cell>
          <cell r="LL12">
            <v>0</v>
          </cell>
          <cell r="LM12">
            <v>0</v>
          </cell>
          <cell r="LN12">
            <v>0</v>
          </cell>
          <cell r="LO12">
            <v>0</v>
          </cell>
          <cell r="LP12">
            <v>0</v>
          </cell>
          <cell r="LQ12">
            <v>0</v>
          </cell>
          <cell r="LR12">
            <v>0</v>
          </cell>
          <cell r="LS12">
            <v>0</v>
          </cell>
          <cell r="LT12">
            <v>0</v>
          </cell>
          <cell r="LU12">
            <v>0</v>
          </cell>
          <cell r="LV12">
            <v>0</v>
          </cell>
          <cell r="LW12">
            <v>0</v>
          </cell>
          <cell r="LX12">
            <v>0</v>
          </cell>
          <cell r="LY12">
            <v>0</v>
          </cell>
          <cell r="LZ12">
            <v>0</v>
          </cell>
          <cell r="MA12">
            <v>0</v>
          </cell>
          <cell r="MB12">
            <v>0</v>
          </cell>
          <cell r="MC12">
            <v>0</v>
          </cell>
          <cell r="MD12">
            <v>0</v>
          </cell>
          <cell r="ME12">
            <v>0</v>
          </cell>
          <cell r="MF12">
            <v>0</v>
          </cell>
          <cell r="MG12">
            <v>0</v>
          </cell>
          <cell r="MH12">
            <v>0</v>
          </cell>
          <cell r="MI12">
            <v>0</v>
          </cell>
          <cell r="MJ12">
            <v>0</v>
          </cell>
          <cell r="MK12">
            <v>0</v>
          </cell>
          <cell r="ML12">
            <v>0</v>
          </cell>
          <cell r="MM12">
            <v>0</v>
          </cell>
          <cell r="MN12">
            <v>0</v>
          </cell>
          <cell r="MO12">
            <v>0</v>
          </cell>
          <cell r="MP12">
            <v>0</v>
          </cell>
          <cell r="MQ12">
            <v>0</v>
          </cell>
          <cell r="MR12">
            <v>0</v>
          </cell>
          <cell r="MS12">
            <v>0</v>
          </cell>
          <cell r="MT12">
            <v>0</v>
          </cell>
          <cell r="MU12">
            <v>0</v>
          </cell>
          <cell r="MV12">
            <v>0</v>
          </cell>
          <cell r="MW12">
            <v>0</v>
          </cell>
          <cell r="MX12">
            <v>0</v>
          </cell>
          <cell r="MY12">
            <v>0</v>
          </cell>
          <cell r="MZ12">
            <v>0</v>
          </cell>
          <cell r="NA12">
            <v>0</v>
          </cell>
          <cell r="NB12">
            <v>0</v>
          </cell>
          <cell r="NC12">
            <v>0</v>
          </cell>
          <cell r="ND12">
            <v>0</v>
          </cell>
          <cell r="NE12">
            <v>0</v>
          </cell>
          <cell r="NF12">
            <v>0</v>
          </cell>
          <cell r="NG12">
            <v>0</v>
          </cell>
          <cell r="NH12">
            <v>0</v>
          </cell>
          <cell r="NI12">
            <v>0</v>
          </cell>
          <cell r="NJ12">
            <v>0</v>
          </cell>
          <cell r="NK12">
            <v>0</v>
          </cell>
          <cell r="NL12">
            <v>0</v>
          </cell>
          <cell r="NM12">
            <v>0</v>
          </cell>
          <cell r="NN12">
            <v>0</v>
          </cell>
          <cell r="NO12">
            <v>0</v>
          </cell>
          <cell r="NP12">
            <v>0</v>
          </cell>
          <cell r="NQ12">
            <v>0</v>
          </cell>
          <cell r="NR12">
            <v>0</v>
          </cell>
          <cell r="NS12">
            <v>0</v>
          </cell>
          <cell r="NT12">
            <v>0</v>
          </cell>
          <cell r="NU12">
            <v>0</v>
          </cell>
          <cell r="NV12">
            <v>0</v>
          </cell>
          <cell r="NW12">
            <v>0</v>
          </cell>
          <cell r="NX12">
            <v>0</v>
          </cell>
          <cell r="NY12">
            <v>0</v>
          </cell>
          <cell r="NZ12">
            <v>0</v>
          </cell>
          <cell r="OA12">
            <v>0</v>
          </cell>
          <cell r="OB12">
            <v>0</v>
          </cell>
          <cell r="OC12">
            <v>0</v>
          </cell>
          <cell r="OD12">
            <v>0</v>
          </cell>
          <cell r="OE12">
            <v>0</v>
          </cell>
          <cell r="OF12">
            <v>0</v>
          </cell>
          <cell r="OG12">
            <v>0</v>
          </cell>
          <cell r="OH12">
            <v>0</v>
          </cell>
          <cell r="OI12">
            <v>0</v>
          </cell>
          <cell r="OJ12">
            <v>0</v>
          </cell>
          <cell r="OK12">
            <v>0</v>
          </cell>
          <cell r="OL12">
            <v>0</v>
          </cell>
          <cell r="OM12">
            <v>0</v>
          </cell>
          <cell r="ON12">
            <v>0</v>
          </cell>
          <cell r="OO12">
            <v>0</v>
          </cell>
          <cell r="OP12">
            <v>0</v>
          </cell>
          <cell r="OQ12">
            <v>0</v>
          </cell>
          <cell r="OR12">
            <v>0</v>
          </cell>
          <cell r="OS12">
            <v>0</v>
          </cell>
          <cell r="OT12">
            <v>0</v>
          </cell>
          <cell r="OU12">
            <v>0</v>
          </cell>
          <cell r="OV12">
            <v>0</v>
          </cell>
          <cell r="OW12">
            <v>0</v>
          </cell>
          <cell r="OX12">
            <v>0</v>
          </cell>
          <cell r="OY12">
            <v>0</v>
          </cell>
          <cell r="OZ12">
            <v>0</v>
          </cell>
          <cell r="PA12">
            <v>0</v>
          </cell>
          <cell r="PB12">
            <v>0</v>
          </cell>
          <cell r="PC12">
            <v>0</v>
          </cell>
          <cell r="PD12">
            <v>0</v>
          </cell>
          <cell r="PE12">
            <v>0</v>
          </cell>
          <cell r="PF12">
            <v>0</v>
          </cell>
          <cell r="PG12">
            <v>0</v>
          </cell>
          <cell r="PH12">
            <v>0</v>
          </cell>
          <cell r="PI12">
            <v>0</v>
          </cell>
          <cell r="PJ12">
            <v>0</v>
          </cell>
          <cell r="PK12">
            <v>0</v>
          </cell>
          <cell r="PL12">
            <v>0</v>
          </cell>
          <cell r="PM12">
            <v>0</v>
          </cell>
          <cell r="PN12">
            <v>0</v>
          </cell>
          <cell r="PO12">
            <v>0</v>
          </cell>
          <cell r="PP12">
            <v>0</v>
          </cell>
          <cell r="PQ12">
            <v>0</v>
          </cell>
          <cell r="PR12">
            <v>0</v>
          </cell>
          <cell r="PS12">
            <v>0</v>
          </cell>
          <cell r="PT12">
            <v>0</v>
          </cell>
          <cell r="PU12">
            <v>0</v>
          </cell>
          <cell r="PV12">
            <v>0</v>
          </cell>
          <cell r="PW12">
            <v>0</v>
          </cell>
          <cell r="PX12">
            <v>0</v>
          </cell>
          <cell r="PY12">
            <v>0</v>
          </cell>
          <cell r="PZ12">
            <v>0</v>
          </cell>
          <cell r="QA12">
            <v>0</v>
          </cell>
          <cell r="QB12">
            <v>0</v>
          </cell>
          <cell r="QC12">
            <v>0</v>
          </cell>
          <cell r="QD12">
            <v>0</v>
          </cell>
          <cell r="QE12">
            <v>0</v>
          </cell>
          <cell r="QF12">
            <v>0</v>
          </cell>
          <cell r="QG12">
            <v>0</v>
          </cell>
          <cell r="QH12">
            <v>0</v>
          </cell>
          <cell r="QI12">
            <v>0</v>
          </cell>
          <cell r="QJ12">
            <v>0</v>
          </cell>
          <cell r="QK12">
            <v>0</v>
          </cell>
          <cell r="QL12">
            <v>0</v>
          </cell>
          <cell r="QM12">
            <v>0</v>
          </cell>
          <cell r="QN12">
            <v>0</v>
          </cell>
          <cell r="QO12">
            <v>0</v>
          </cell>
          <cell r="QP12">
            <v>0</v>
          </cell>
          <cell r="QQ12">
            <v>0</v>
          </cell>
          <cell r="QR12">
            <v>0</v>
          </cell>
          <cell r="QS12">
            <v>0</v>
          </cell>
          <cell r="QT12">
            <v>0</v>
          </cell>
          <cell r="QU12">
            <v>0</v>
          </cell>
          <cell r="QV12">
            <v>0</v>
          </cell>
          <cell r="QW12">
            <v>0</v>
          </cell>
          <cell r="QX12">
            <v>0</v>
          </cell>
          <cell r="QY12">
            <v>0</v>
          </cell>
          <cell r="QZ12">
            <v>0</v>
          </cell>
          <cell r="RA12">
            <v>0</v>
          </cell>
          <cell r="RB12">
            <v>0</v>
          </cell>
          <cell r="RC12">
            <v>0</v>
          </cell>
          <cell r="RD12">
            <v>0</v>
          </cell>
          <cell r="RE12">
            <v>0</v>
          </cell>
          <cell r="RF12">
            <v>0</v>
          </cell>
          <cell r="RG12">
            <v>0</v>
          </cell>
          <cell r="RH12">
            <v>0</v>
          </cell>
          <cell r="RI12">
            <v>0</v>
          </cell>
          <cell r="RJ12">
            <v>0</v>
          </cell>
          <cell r="RK12">
            <v>0</v>
          </cell>
          <cell r="RL12">
            <v>0</v>
          </cell>
          <cell r="RM12">
            <v>0</v>
          </cell>
          <cell r="RN12">
            <v>0</v>
          </cell>
          <cell r="RO12">
            <v>0</v>
          </cell>
          <cell r="RP12">
            <v>0</v>
          </cell>
          <cell r="RQ12">
            <v>0</v>
          </cell>
          <cell r="RR12">
            <v>0</v>
          </cell>
          <cell r="RS12">
            <v>0</v>
          </cell>
          <cell r="RT12">
            <v>0</v>
          </cell>
          <cell r="RU12">
            <v>0</v>
          </cell>
          <cell r="RV12">
            <v>0</v>
          </cell>
          <cell r="RW12">
            <v>0</v>
          </cell>
          <cell r="RX12">
            <v>0</v>
          </cell>
          <cell r="RY12">
            <v>0</v>
          </cell>
          <cell r="RZ12">
            <v>0</v>
          </cell>
          <cell r="SA12">
            <v>0</v>
          </cell>
          <cell r="SB12">
            <v>0</v>
          </cell>
          <cell r="SC12">
            <v>0</v>
          </cell>
          <cell r="SD12">
            <v>0</v>
          </cell>
          <cell r="SE12">
            <v>0</v>
          </cell>
          <cell r="SF12">
            <v>0</v>
          </cell>
          <cell r="SG12">
            <v>0</v>
          </cell>
          <cell r="SH12">
            <v>0</v>
          </cell>
          <cell r="SI12">
            <v>0</v>
          </cell>
          <cell r="SJ12">
            <v>0</v>
          </cell>
          <cell r="SK12">
            <v>0</v>
          </cell>
          <cell r="SL12">
            <v>0</v>
          </cell>
          <cell r="SM12">
            <v>0</v>
          </cell>
          <cell r="SN12">
            <v>0</v>
          </cell>
          <cell r="SO12">
            <v>0</v>
          </cell>
          <cell r="SP12">
            <v>0</v>
          </cell>
          <cell r="SQ12">
            <v>0</v>
          </cell>
          <cell r="SR12">
            <v>0</v>
          </cell>
          <cell r="SS12">
            <v>0</v>
          </cell>
          <cell r="ST12">
            <v>0</v>
          </cell>
          <cell r="SU12">
            <v>0</v>
          </cell>
          <cell r="SV12">
            <v>0</v>
          </cell>
          <cell r="SW12">
            <v>0</v>
          </cell>
          <cell r="SX12">
            <v>0</v>
          </cell>
          <cell r="SY12">
            <v>0</v>
          </cell>
          <cell r="SZ12">
            <v>0</v>
          </cell>
          <cell r="TA12">
            <v>0</v>
          </cell>
          <cell r="TB12">
            <v>0</v>
          </cell>
          <cell r="TC12">
            <v>0</v>
          </cell>
          <cell r="TD12">
            <v>0</v>
          </cell>
          <cell r="TE12">
            <v>0</v>
          </cell>
          <cell r="TF12">
            <v>0</v>
          </cell>
          <cell r="TG12">
            <v>0</v>
          </cell>
        </row>
      </sheetData>
      <sheetData sheetId="5"/>
      <sheetData sheetId="6">
        <row r="16">
          <cell r="U16" t="str">
            <v>Sidste år</v>
          </cell>
        </row>
      </sheetData>
      <sheetData sheetId="7"/>
      <sheetData sheetId="8"/>
      <sheetData sheetId="9"/>
      <sheetData sheetId="10">
        <row r="12">
          <cell r="I12">
            <v>56296.270989999997</v>
          </cell>
        </row>
      </sheetData>
      <sheetData sheetId="11"/>
      <sheetData sheetId="12"/>
      <sheetData sheetId="13">
        <row r="6">
          <cell r="B6" t="str">
            <v>Periode</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Drivers"/>
      <sheetName val="Summary_Cover"/>
      <sheetName val="Summary_Valuation"/>
      <sheetName val="Observations"/>
      <sheetName val="CAvS_Cover"/>
      <sheetName val="CAvS_Foot_Field_MI"/>
      <sheetName val="CAvS_Foot_Field_FI"/>
      <sheetName val="CAvS_Financials"/>
      <sheetName val="CAvS_DCF"/>
      <sheetName val="CAvS_DCF_Out"/>
      <sheetName val="CAvS_LBO_MI"/>
      <sheetName val="CAvS_LBO_FI"/>
      <sheetName val="CAvS_Foot_Field_FI_BoD"/>
      <sheetName val="CAvS_Comp_Foot_Field"/>
      <sheetName val="CAvS_Comp_Foot_Field_Out_MI"/>
      <sheetName val="CAvS_Comp_Foot_Field_Out_FI"/>
      <sheetName val="Aus_Cover"/>
      <sheetName val="Aus_Financials"/>
      <sheetName val="Aus_DCF"/>
      <sheetName val="Aus_DCF_Out"/>
      <sheetName val="Aus_LBO_FI"/>
      <sheetName val="Aus_LBO_MI"/>
      <sheetName val="Aus_Foot_Field_MI"/>
      <sheetName val="Aus_Foot_Field_FI"/>
      <sheetName val="Aus_Comp_Foot_Field"/>
      <sheetName val="Aus_Comp_Foot_Field_Out_MI"/>
      <sheetName val="Aus_Comp_Foot_Field_Out_FI"/>
      <sheetName val="Aus_Cases"/>
      <sheetName val="UK_Total_Cover"/>
      <sheetName val="PF_Impact_All"/>
      <sheetName val="PF_Impact_UK"/>
      <sheetName val="Coral_Group"/>
      <sheetName val="UK_Total_Foot_Field"/>
      <sheetName val="UK_Total_Summary"/>
      <sheetName val="UK_Total_Financials"/>
      <sheetName val="UK_Total_Financials_OUT"/>
      <sheetName val="UK Lex_AVP"/>
      <sheetName val="All Lex_AVP"/>
      <sheetName val="Aus_AVP"/>
      <sheetName val="Aus_Financials_MLA£"/>
      <sheetName val="Aus_Summary_Financials"/>
      <sheetName val="Aus_Financials_MLA$"/>
      <sheetName val="DCF_SOTP_Case_1"/>
      <sheetName val="DCF_SOTP_Case 2"/>
      <sheetName val="UK_Total_DCF"/>
      <sheetName val="UK_Total_DCF_Out"/>
      <sheetName val="SOTP_Analysis"/>
      <sheetName val="UK_Total_LBO"/>
      <sheetName val="UK_Total_Comp_Foot_Field"/>
      <sheetName val="UK_Total_Comp_Foot_Field_Out_MI"/>
      <sheetName val="UK_Total_Comp_Foot_Field_Out_FI"/>
      <sheetName val="FRA_Cover"/>
      <sheetName val="FRA_Financials"/>
      <sheetName val="FRA_DCF"/>
      <sheetName val="FRA_LBO"/>
      <sheetName val="FRA_Cases"/>
      <sheetName val="FRAS_Cover"/>
      <sheetName val="FRAS_Financials"/>
      <sheetName val="FRAS_DCF "/>
      <sheetName val="FRAS_LBO"/>
      <sheetName val="FRAS_Cases"/>
      <sheetName val="Leasing_Cover"/>
      <sheetName val="Leasing_Financials"/>
      <sheetName val="Leasing_DCF"/>
      <sheetName val="Leasing_LBO"/>
      <sheetName val="Leasing_Cases"/>
      <sheetName val="CFI_Cover"/>
      <sheetName val="CFI_Financials"/>
      <sheetName val="CFI_DCF"/>
      <sheetName val="CFI_LBO"/>
      <sheetName val="CFI_Cases"/>
      <sheetName val="Adjustments_Cover"/>
      <sheetName val="Adjustments_Financials"/>
      <sheetName val="Adjustments_DCF"/>
      <sheetName val="Adjustments_Cases"/>
      <sheetName val="Fairfax_Broker_Consensus"/>
      <sheetName val="Fairfax_AVP_BoD"/>
      <sheetName val="__FDSCACHE__"/>
      <sheetName val="Lexington_AVP"/>
      <sheetName val="Tx_Comps"/>
      <sheetName val="Coral_Group_Cover"/>
      <sheetName val="Strat_Plan"/>
      <sheetName val="Strat_Plan_Detail"/>
      <sheetName val="Strat_Plan_Output"/>
      <sheetName val="Coral_Proj"/>
      <sheetName val="Coral_AVP"/>
      <sheetName val="Delta_Cover"/>
      <sheetName val="Delta_Value"/>
      <sheetName val="Delta_IS"/>
      <sheetName val="UK_Cover"/>
      <sheetName val="UK_Foot_Field"/>
      <sheetName val="UK_Financials"/>
      <sheetName val="UK_DCF"/>
      <sheetName val="UK_LBO"/>
      <sheetName val="UK_Cases"/>
      <sheetName val="Output_Valuation_Summary"/>
      <sheetName val="Total_Deltas"/>
      <sheetName val="Aus_Delta_Summary"/>
      <sheetName val="UK_Delta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 YTD14"/>
      <sheetName val="General overview (2)"/>
      <sheetName val="Sales expenses"/>
      <sheetName val="Admin expenses"/>
      <sheetName val="Projects and R&amp;D expenses"/>
      <sheetName val="Salary recon"/>
      <sheetName val="GROUP (2)"/>
      <sheetName val="Index"/>
      <sheetName val="P&amp;L FY11-14"/>
      <sheetName val="Seasonality - Revenue &amp; EBITDA"/>
      <sheetName val="Rev. &amp; GP - Products"/>
      <sheetName val="Rev. &amp; GP - Legal entity"/>
      <sheetName val="Rev. &amp; GP - Geography FY14"/>
      <sheetName val="Top 10 suppliers"/>
      <sheetName val="Top 10 Projects  2014"/>
      <sheetName val="Quality of earnings"/>
      <sheetName val="Loss making projects"/>
      <sheetName val="Budget Accuracy FY14"/>
      <sheetName val="Avg. no. employees"/>
      <sheetName val="Salaries"/>
      <sheetName val="General overview"/>
      <sheetName val="Backlog FY11-14"/>
      <sheetName val="Pipeline by phase FY15-19"/>
      <sheetName val="Pipeline by phase FY14-18"/>
      <sheetName val="2. Balance Sheet"/>
      <sheetName val="Net Assets 31 Dec 14"/>
      <sheetName val="Fixed assets"/>
      <sheetName val="NWC by tertial"/>
      <sheetName val="Net Debt 31 Dec 14"/>
      <sheetName val="Inventories"/>
      <sheetName val="WIP projects"/>
      <sheetName val="Aged receivables"/>
      <sheetName val="Aged payables"/>
      <sheetName val="Net assets - other"/>
      <sheetName val="Other receivables"/>
      <sheetName val="Other liabilities"/>
      <sheetName val=" AUS DEC14"/>
      <sheetName val="Accrued expenses"/>
      <sheetName val="Debtors and WIP SGG SGQ"/>
      <sheetName val="CAPEX"/>
      <sheetName val="Warranty costs"/>
      <sheetName val="Cash and bank"/>
      <sheetName val="Guarantees"/>
      <sheetName val="Off balance sheet items"/>
      <sheetName val="3. Cash Flow"/>
      <sheetName val="Cash flow"/>
      <sheetName val="4. Appendix"/>
      <sheetName val="Consolidated P&amp;L FY14"/>
      <sheetName val="Consolidated balance sheet FY14"/>
      <sheetName val="Recon. P&amp;L FY14"/>
      <sheetName val="Recon. balance sheet 14"/>
      <sheetName val="Recon. P&amp;L FY13"/>
      <sheetName val="Recon. balance sheet FY13"/>
      <sheetName val="5. Input ----------&gt;"/>
      <sheetName val="Dec 14 group"/>
      <sheetName val="Backlog FY15"/>
      <sheetName val="Pipeline Total"/>
      <sheetName val="Pipeline Monthly report SEK"/>
      <sheetName val="Exchange Rates"/>
      <sheetName val="Liberty projecter"/>
      <sheetName val="Employees FY14"/>
      <sheetName val="Salaries FY14"/>
      <sheetName val="Depreciation"/>
      <sheetName val="Collateral"/>
      <sheetName val="Evercore Backlog Analysis"/>
      <sheetName val="Pipeline 2014 EUR"/>
      <sheetName val="Pipeline - Xccy"/>
      <sheetName val="Sheet1"/>
      <sheetName val="All"/>
      <sheetName val="Provision SGIAB"/>
      <sheetName val="Capitalized Development 2014"/>
      <sheetName val="Goodwill"/>
      <sheetName val="Varumärken o rättigheter"/>
      <sheetName val="2011-2014"/>
      <sheetName val="Loss projects"/>
      <sheetName val="GROUP"/>
      <sheetName val="Leasing"/>
      <sheetName val="Disputes"/>
      <sheetName val="warranty"/>
      <sheetName val="P&amp;L FY11-14 (2)"/>
      <sheetName val="Revenue 14 FX revenue"/>
      <sheetName val="Koncern 1412"/>
      <sheetName val="Prepaymets AUS @DEC14"/>
      <sheetName val="Projekter nye grupper 2011-2014"/>
      <sheetName val="Backcharges"/>
      <sheetName val="Backcharges in FY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H5">
            <v>997.67399999999998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B1" t="str">
            <v xml:space="preserve">NWC by four-month period - Jan 11 to Dec 14 </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ow r="1">
          <cell r="B1" t="str">
            <v xml:space="preserve">Other liabilities </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6">
          <cell r="B26">
            <v>1.278087</v>
          </cell>
        </row>
      </sheetData>
      <sheetData sheetId="59" refreshError="1"/>
      <sheetData sheetId="60" refreshError="1"/>
      <sheetData sheetId="61" refreshError="1"/>
      <sheetData sheetId="62" refreshError="1"/>
      <sheetData sheetId="63" refreshError="1"/>
      <sheetData sheetId="64">
        <row r="2">
          <cell r="B2" t="str">
            <v>Firefly: Backlog Analysis</v>
          </cell>
        </row>
        <row r="3">
          <cell r="B3" t="str">
            <v>SEKm, FYE-Dec</v>
          </cell>
        </row>
        <row r="4">
          <cell r="C4" t="str">
            <v>FY10</v>
          </cell>
          <cell r="D4" t="str">
            <v>FY11</v>
          </cell>
          <cell r="E4" t="str">
            <v>FY12</v>
          </cell>
          <cell r="F4" t="str">
            <v>FY13</v>
          </cell>
          <cell r="G4" t="str">
            <v>FY14</v>
          </cell>
          <cell r="H4" t="str">
            <v>FY15</v>
          </cell>
        </row>
        <row r="5">
          <cell r="C5" t="str">
            <v>Actual</v>
          </cell>
          <cell r="D5" t="str">
            <v>Actual</v>
          </cell>
          <cell r="E5" t="str">
            <v>Actual</v>
          </cell>
          <cell r="F5" t="str">
            <v>Actual</v>
          </cell>
          <cell r="G5" t="str">
            <v>Actual</v>
          </cell>
          <cell r="H5" t="str">
            <v>Forecast</v>
          </cell>
        </row>
        <row r="6">
          <cell r="B6" t="str">
            <v>Backlog at start of year</v>
          </cell>
          <cell r="C6">
            <v>287.79899999999998</v>
          </cell>
          <cell r="D6">
            <v>272.41999999999996</v>
          </cell>
          <cell r="E6">
            <v>664.13898809333318</v>
          </cell>
          <cell r="F6">
            <v>726.25199999999984</v>
          </cell>
          <cell r="G6">
            <v>678.41499999999974</v>
          </cell>
          <cell r="H6">
            <v>764.53378394412903</v>
          </cell>
        </row>
        <row r="7">
          <cell r="B7" t="str">
            <v>Plus: Orders secured in year</v>
          </cell>
          <cell r="C7">
            <v>595.524</v>
          </cell>
          <cell r="D7">
            <v>1097.4879880933333</v>
          </cell>
          <cell r="E7">
            <v>933.27101190666679</v>
          </cell>
          <cell r="F7">
            <v>839.25699999999995</v>
          </cell>
          <cell r="G7">
            <v>1068.443</v>
          </cell>
        </row>
        <row r="8">
          <cell r="B8" t="str">
            <v>Less: Revenue in year</v>
          </cell>
          <cell r="C8">
            <v>-610.90300000000002</v>
          </cell>
          <cell r="D8">
            <v>-705.76900000000001</v>
          </cell>
          <cell r="E8">
            <v>-871.15800000000002</v>
          </cell>
          <cell r="F8">
            <v>-887.09400000000005</v>
          </cell>
          <cell r="G8">
            <v>-997.67399999999998</v>
          </cell>
          <cell r="H8">
            <v>-1267</v>
          </cell>
        </row>
        <row r="9">
          <cell r="B9" t="str">
            <v>Backlog at end of year</v>
          </cell>
          <cell r="C9">
            <v>272.41999999999996</v>
          </cell>
          <cell r="D9">
            <v>664.13898809333318</v>
          </cell>
          <cell r="E9">
            <v>726.25199999999984</v>
          </cell>
          <cell r="F9">
            <v>678.41499999999974</v>
          </cell>
          <cell r="G9">
            <v>749.18399999999974</v>
          </cell>
        </row>
        <row r="11">
          <cell r="B11" t="str">
            <v>FX differential to update backlog for SEB estimated FX for 2015</v>
          </cell>
          <cell r="G11">
            <v>15.349783944129285</v>
          </cell>
        </row>
        <row r="12">
          <cell r="B12" t="str">
            <v>Backlog at start of FY15 (FY15E FX)</v>
          </cell>
          <cell r="G12">
            <v>764.53378394412903</v>
          </cell>
        </row>
        <row r="14">
          <cell r="B14" t="str">
            <v>Pipeline for coming FY (at start of year)</v>
          </cell>
          <cell r="C14">
            <v>1820.1220000000001</v>
          </cell>
          <cell r="D14">
            <v>2134.694</v>
          </cell>
          <cell r="E14">
            <v>2328.511</v>
          </cell>
          <cell r="F14">
            <v>3098.51</v>
          </cell>
          <cell r="G14">
            <v>3427.511</v>
          </cell>
          <cell r="H14">
            <v>4533.491</v>
          </cell>
        </row>
        <row r="15">
          <cell r="B15" t="str">
            <v>Order intake as a % of pipeline start of year</v>
          </cell>
          <cell r="C15">
            <v>0.32718905655774722</v>
          </cell>
          <cell r="D15">
            <v>0.51411958252252232</v>
          </cell>
          <cell r="E15">
            <v>0.40080163327837698</v>
          </cell>
          <cell r="F15">
            <v>0.27085825122397533</v>
          </cell>
          <cell r="G15">
            <v>0.31172562247065</v>
          </cell>
        </row>
      </sheetData>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46">
          <cell r="B46">
            <v>6633</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Y15 Build-Up"/>
      <sheetName val="Waterfall"/>
      <sheetName val="New Orders&gt;&gt;&gt;"/>
      <sheetName val="New Orders FY15"/>
      <sheetName val="Backlog&gt;&gt;&gt;"/>
      <sheetName val="Backlog Total"/>
      <sheetName val="Dec 2014"/>
      <sheetName val="FX &gt;&gt;&gt;"/>
      <sheetName val="Currency Matrix"/>
      <sheetName val="FX_Rates_Reference"/>
      <sheetName val="DCF_SOTP_Case 2"/>
      <sheetName val="Lexington_AVP"/>
      <sheetName val="Strat_Plan_Output"/>
      <sheetName val="UK_Total_Comp_Foot_Field"/>
      <sheetName val="CAvS_Comp_Foot_Field_Out_FI"/>
      <sheetName val="UK_Total_LBO"/>
      <sheetName val="UK_Total_Financials_OUT"/>
      <sheetName val="Aus_Comp_Foot_Field_Out_MI"/>
      <sheetName val="CAvS_DCF_Out"/>
      <sheetName val="UK_Total_DCF"/>
      <sheetName val="Coral_Group"/>
      <sheetName val="Aus_Foot_Field_FI"/>
      <sheetName val="Aus_Summary_Financials"/>
      <sheetName val="UK_Total_DCF_Out"/>
      <sheetName val="CAvS_DCF"/>
      <sheetName val="UK_Total_Foot_Field"/>
      <sheetName val="Aus_Financials_MLA£"/>
      <sheetName val="PF_Impact_UK"/>
      <sheetName val="CAvS_LBO_MI"/>
      <sheetName val="Aus_LBO_MI"/>
      <sheetName val="Aus_DCF"/>
      <sheetName val="CAvS_Foot_Field_FI_BoD"/>
      <sheetName val="Aus_Foot_Field_MI"/>
      <sheetName val="CAvS_Comp_Foot_Field"/>
      <sheetName val="PF_Impact_All"/>
      <sheetName val="Coral_AVP"/>
      <sheetName val="UK_Total_Comp_Foot_Field_Out_MI"/>
      <sheetName val="Aus_DCF_Out"/>
      <sheetName val="Aus_LBO_FI"/>
      <sheetName val="CAvS_Foot_Field_MI"/>
      <sheetName val="UK_Total_Comp_Foot_Field_Out_FI"/>
      <sheetName val="Fairfax_AVP_BoD"/>
      <sheetName val="CAvS_LBO_FI"/>
      <sheetName val="Strat_Plan"/>
      <sheetName val="Tx_Comps"/>
      <sheetName val="Aus_Comp_Foot_Field"/>
      <sheetName val="SOTP_Analysis"/>
      <sheetName val="CAvS_Foot_Field_FI"/>
      <sheetName val="Aus_AVP"/>
      <sheetName val="CAvS_Comp_Foot_Field_Out_MI"/>
      <sheetName val="Aus_Financials_MLA$"/>
      <sheetName val="Aus_Comp_Foot_Field_Out_FI"/>
      <sheetName val="All Lex_AVP"/>
    </sheetNames>
    <sheetDataSet>
      <sheetData sheetId="0" refreshError="1"/>
      <sheetData sheetId="1">
        <row r="2">
          <cell r="B2" t="str">
            <v>Firefly: FY15E Revenue Build-Up</v>
          </cell>
        </row>
        <row r="4">
          <cell r="F4" t="str">
            <v>SEKm</v>
          </cell>
        </row>
        <row r="6">
          <cell r="C6" t="str">
            <v>Backlog for delivery in FY15 (at FY15E FX)</v>
          </cell>
          <cell r="F6">
            <v>649.57553220912928</v>
          </cell>
        </row>
        <row r="7">
          <cell r="C7" t="str">
            <v>Total backlog as at 31 Dec 2014</v>
          </cell>
          <cell r="F7">
            <v>764.53378394412925</v>
          </cell>
        </row>
        <row r="8">
          <cell r="C8" t="str">
            <v>Less: Backlog for delivery in FY16</v>
          </cell>
          <cell r="F8">
            <v>-114.958251735</v>
          </cell>
        </row>
        <row r="10">
          <cell r="C10" t="str">
            <v>New orders revenue for delivery in FY15</v>
          </cell>
          <cell r="F10">
            <v>178.81296558955643</v>
          </cell>
        </row>
        <row r="11">
          <cell r="C11" t="str">
            <v>New orders FY15 YTD</v>
          </cell>
          <cell r="F11">
            <v>228.89060660605648</v>
          </cell>
        </row>
        <row r="12">
          <cell r="C12" t="str">
            <v>Less: New orders revenue for delivery after FY15</v>
          </cell>
          <cell r="F12">
            <v>-50.077641016500053</v>
          </cell>
        </row>
        <row r="14">
          <cell r="C14" t="str">
            <v>Backlog and new orders for delivery in FY15</v>
          </cell>
          <cell r="F14">
            <v>828.38849779868565</v>
          </cell>
        </row>
        <row r="16">
          <cell r="C16" t="str">
            <v>Plus: FY15 spares and maintenance revenue</v>
          </cell>
          <cell r="F16">
            <v>228.07494857142899</v>
          </cell>
        </row>
        <row r="17">
          <cell r="C17" t="str">
            <v>% of FY15 revenue</v>
          </cell>
          <cell r="F17">
            <v>0.18</v>
          </cell>
        </row>
        <row r="19">
          <cell r="C19" t="str">
            <v>Less: FY15 backlog - spares and mainentance</v>
          </cell>
          <cell r="F19">
            <v>-46.086614207682352</v>
          </cell>
        </row>
        <row r="20">
          <cell r="C20" t="str">
            <v>Less: FY15 new orders - spares and mainentance</v>
          </cell>
          <cell r="F20">
            <v>-15.558278785000001</v>
          </cell>
        </row>
        <row r="22">
          <cell r="C22" t="str">
            <v>Additional orders to be secured in FY15 to meet budget</v>
          </cell>
          <cell r="F22">
            <v>272.26449424161768</v>
          </cell>
        </row>
        <row r="23">
          <cell r="C23" t="str">
            <v>% of revenue</v>
          </cell>
          <cell r="F23">
            <v>0.21487501924457467</v>
          </cell>
        </row>
        <row r="25">
          <cell r="C25" t="str">
            <v>FY15 reforecast revenue</v>
          </cell>
          <cell r="F25">
            <v>1267.0830476190499</v>
          </cell>
        </row>
      </sheetData>
      <sheetData sheetId="2" refreshError="1"/>
      <sheetData sheetId="3" refreshError="1"/>
      <sheetData sheetId="4" refreshError="1"/>
      <sheetData sheetId="5" refreshError="1"/>
      <sheetData sheetId="6" refreshError="1"/>
      <sheetData sheetId="7">
        <row r="12">
          <cell r="Q12">
            <v>9.25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58A32-EEDF-4604-8B6C-4EBA2097416F}">
  <sheetPr>
    <tabColor rgb="FF222221"/>
  </sheetPr>
  <dimension ref="A1:T34"/>
  <sheetViews>
    <sheetView showGridLines="0" zoomScale="85" zoomScaleNormal="85" workbookViewId="0"/>
  </sheetViews>
  <sheetFormatPr defaultColWidth="0" defaultRowHeight="12" customHeight="1" zeroHeight="1"/>
  <cols>
    <col min="1" max="2" width="4.1640625" customWidth="1"/>
    <col min="3" max="16" width="9.1640625" customWidth="1"/>
    <col min="17" max="17" width="12.1640625" customWidth="1"/>
    <col min="18" max="18" width="9.1640625" customWidth="1"/>
    <col min="19" max="20" width="4.1640625" customWidth="1"/>
    <col min="21" max="16384" width="9.1640625" hidden="1"/>
  </cols>
  <sheetData>
    <row r="1" spans="2:19"/>
    <row r="2" spans="2:19">
      <c r="B2" s="55"/>
      <c r="C2" s="56"/>
      <c r="D2" s="56"/>
      <c r="E2" s="56"/>
      <c r="F2" s="56"/>
      <c r="G2" s="56"/>
      <c r="H2" s="56"/>
      <c r="I2" s="56"/>
      <c r="J2" s="56"/>
      <c r="K2" s="56"/>
      <c r="L2" s="56"/>
      <c r="M2" s="56"/>
      <c r="N2" s="56"/>
      <c r="O2" s="56"/>
      <c r="P2" s="56"/>
      <c r="Q2" s="56"/>
      <c r="R2" s="56"/>
      <c r="S2" s="57"/>
    </row>
    <row r="3" spans="2:19" ht="36" customHeight="1">
      <c r="B3" s="62" t="str">
        <f xml:space="preserve"> '2.1 Model setup'!N18</f>
        <v>Green Power Denmark</v>
      </c>
    </row>
    <row r="4" spans="2:19" ht="21" customHeight="1">
      <c r="B4" s="63" t="str">
        <f xml:space="preserve"> '2.1 Model setup'!N22</f>
        <v xml:space="preserve">Tarifmodel 3.0 og producentbetaling (V2) </v>
      </c>
    </row>
    <row r="5" spans="2:19"/>
    <row r="6" spans="2:19" ht="6.6" customHeight="1">
      <c r="C6" s="58"/>
    </row>
    <row r="7" spans="2:19" ht="18.600000000000001" customHeight="1">
      <c r="B7" s="261" t="s">
        <v>682</v>
      </c>
    </row>
    <row r="8" spans="2:19"/>
    <row r="9" spans="2:19"/>
    <row r="10" spans="2:19"/>
    <row r="11" spans="2:19"/>
    <row r="12" spans="2:19"/>
    <row r="13" spans="2:19"/>
    <row r="14" spans="2:19"/>
    <row r="15" spans="2:19"/>
    <row r="16" spans="2:19"/>
    <row r="17" spans="2:19"/>
    <row r="18" spans="2:19"/>
    <row r="19" spans="2:19"/>
    <row r="20" spans="2:19"/>
    <row r="21" spans="2:19"/>
    <row r="22" spans="2:19"/>
    <row r="23" spans="2:19"/>
    <row r="24" spans="2:19"/>
    <row r="25" spans="2:19">
      <c r="Q25" s="64" t="s">
        <v>144</v>
      </c>
    </row>
    <row r="26" spans="2:19">
      <c r="B26" s="59"/>
      <c r="C26" s="60"/>
      <c r="D26" s="60"/>
      <c r="E26" s="60"/>
      <c r="F26" s="60"/>
      <c r="G26" s="60"/>
      <c r="H26" s="60"/>
      <c r="I26" s="60"/>
      <c r="J26" s="60"/>
      <c r="K26" s="60"/>
      <c r="L26" s="60"/>
      <c r="M26" s="60"/>
      <c r="N26" s="60"/>
      <c r="O26" s="60"/>
      <c r="P26" s="60"/>
      <c r="Q26" s="60"/>
      <c r="R26" s="60"/>
      <c r="S26" s="61"/>
    </row>
    <row r="27" spans="2:19"/>
    <row r="34" ht="12" customHeight="1"/>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8FFD0-4FA8-47A8-8CB0-C4AFB797CDA9}">
  <sheetPr>
    <tabColor rgb="FF307675"/>
    <outlinePr summaryBelow="0"/>
  </sheetPr>
  <dimension ref="A1:CG50"/>
  <sheetViews>
    <sheetView showGridLines="0" zoomScale="85" zoomScaleNormal="85" workbookViewId="0">
      <pane xSplit="14" ySplit="10" topLeftCell="O11" activePane="bottomRight" state="frozen"/>
      <selection activeCell="F31" sqref="F31"/>
      <selection pane="topRight" activeCell="F31" sqref="F31"/>
      <selection pane="bottomLeft" activeCell="F31" sqref="F31"/>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23" width="18.6640625" style="1" customWidth="1"/>
    <col min="24" max="29" width="16.6640625" style="1" customWidth="1"/>
    <col min="30" max="85" width="16.6640625" style="1" hidden="1" customWidth="1"/>
    <col min="86" max="16384" width="9.1640625" style="1" hidden="1"/>
  </cols>
  <sheetData>
    <row r="1" spans="1:29" ht="4.9000000000000004" customHeight="1"/>
    <row r="2" spans="1:29" ht="19.899999999999999" customHeight="1">
      <c r="B2" s="6" t="str">
        <f ca="1" xml:space="preserve"> MID( CELL("filename", B2), FIND("]", CELL("filename",B2) ) + 1, Model.MaxChars)</f>
        <v>1.4 Hoveddata</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1:29"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1:29" ht="15" customHeight="1">
      <c r="F4" s="74" t="s">
        <v>274</v>
      </c>
      <c r="I4" s="25">
        <f xml:space="preserve"> SUM(L:L)</f>
        <v>0</v>
      </c>
    </row>
    <row r="5" spans="1:29" ht="15" customHeight="1">
      <c r="F5" s="74" t="s">
        <v>275</v>
      </c>
      <c r="I5" s="84">
        <f xml:space="preserve"> SUM(M:M)</f>
        <v>0</v>
      </c>
    </row>
    <row r="6" spans="1:29" ht="15" customHeight="1">
      <c r="F6" s="74" t="s">
        <v>276</v>
      </c>
      <c r="I6" s="25">
        <f xml:space="preserve"> SUM( L:L ) + SUM( '1.1 Provenu'!L:L ) + SUM( '1.2 Tarifoversigt'!L:L) + SUM( '1.3 Varslingsanalyse'!L:L) + SUM('2.1 Model setup'!L:L ) + SUM('2.2 Generelle input'!L:L ) + SUM( '2.3 Selskabsspecifikke input'!L:L) + SUM( '3.1 Opsplitning af forbrug'!L:L) + SUM( '3.2 Abonnement'!L:L) + SUM( '3.3 Forbrugstariffer og effekt'!L:L) + SUM( '3.4 Tidsdifferentieret tarif'!L:L) + SUM('3.5 Indfødningstarif'!L:L)+ SUM( 'Hjælpeark, forbrugsnøgler'!L:L) + SUM( 'Hjælpeark, fall-back-metoden'!L:L )</f>
        <v>0</v>
      </c>
    </row>
    <row r="7" spans="1:29" ht="15" customHeight="1">
      <c r="F7" s="75" t="s">
        <v>236</v>
      </c>
      <c r="G7" s="27"/>
      <c r="H7" s="27"/>
      <c r="I7" s="329">
        <f xml:space="preserve"> '1.3 Varslingsanalyse'!I7</f>
        <v>0</v>
      </c>
    </row>
    <row r="8" spans="1:29" ht="15" customHeight="1">
      <c r="L8" s="484" t="str">
        <f xml:space="preserve"> Header.Labels</f>
        <v>Checks</v>
      </c>
      <c r="M8" s="484"/>
    </row>
    <row r="9" spans="1:29" ht="5.0999999999999996" customHeight="1">
      <c r="E9" s="14"/>
      <c r="F9" s="28"/>
      <c r="G9" s="28"/>
      <c r="H9" s="28"/>
      <c r="I9" s="28"/>
      <c r="J9" s="28"/>
      <c r="L9" s="485"/>
      <c r="M9" s="473"/>
      <c r="N9" s="28"/>
      <c r="O9" s="28"/>
      <c r="P9" s="28"/>
      <c r="Q9" s="28"/>
    </row>
    <row r="10" spans="1:29"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1:29" s="15" customFormat="1" ht="15" customHeight="1">
      <c r="A11" s="1"/>
      <c r="C11" s="16"/>
      <c r="D11" s="17"/>
      <c r="F11" s="1"/>
      <c r="K11" s="19"/>
    </row>
    <row r="12" spans="1:29" s="475" customFormat="1" ht="15" customHeight="1">
      <c r="B12" s="479" t="str">
        <f xml:space="preserve"> COUNTA(B$10:B11) &amp; ") Oversigt over hoveddata"</f>
        <v>1) Oversigt over hoveddata</v>
      </c>
      <c r="C12" s="477"/>
      <c r="D12" s="478"/>
      <c r="K12" s="472"/>
    </row>
    <row r="14" spans="1:29" ht="15" customHeight="1">
      <c r="D14" s="4" t="s">
        <v>508</v>
      </c>
      <c r="W14" s="89" t="s">
        <v>16</v>
      </c>
      <c r="AC14" s="4"/>
    </row>
    <row r="15" spans="1:29" ht="15" customHeight="1">
      <c r="D15" s="15" t="s">
        <v>186</v>
      </c>
      <c r="E15" s="15"/>
      <c r="F15" s="15"/>
      <c r="G15" s="15"/>
      <c r="H15" s="15"/>
      <c r="I15" s="15"/>
      <c r="J15" s="15"/>
      <c r="K15" s="19" t="str">
        <f xml:space="preserve"> Model.Units2</f>
        <v>kWh</v>
      </c>
      <c r="L15" s="123"/>
      <c r="M15" s="15"/>
      <c r="N15" s="15"/>
      <c r="O15" s="274"/>
      <c r="P15" s="274"/>
      <c r="Q15" s="274"/>
      <c r="R15" s="15">
        <f xml:space="preserve"> '2.3 Selskabsspecifikke input'!R214</f>
        <v>0</v>
      </c>
      <c r="S15" s="15">
        <f xml:space="preserve"> '2.3 Selskabsspecifikke input'!S214</f>
        <v>0</v>
      </c>
      <c r="T15" s="15">
        <f xml:space="preserve"> '2.3 Selskabsspecifikke input'!T214</f>
        <v>0</v>
      </c>
      <c r="U15" s="15">
        <f xml:space="preserve"> '2.3 Selskabsspecifikke input'!U214</f>
        <v>0</v>
      </c>
      <c r="V15" s="15">
        <f xml:space="preserve"> '2.3 Selskabsspecifikke input'!V214</f>
        <v>0</v>
      </c>
      <c r="W15" s="18">
        <f xml:space="preserve"> SUM( O15:V15 )</f>
        <v>0</v>
      </c>
    </row>
    <row r="16" spans="1:29" ht="15" customHeight="1">
      <c r="D16" s="1" t="s">
        <v>187</v>
      </c>
      <c r="K16" s="5" t="str">
        <f xml:space="preserve"> Model.Units2</f>
        <v>kWh</v>
      </c>
      <c r="L16" s="85"/>
      <c r="O16" s="202"/>
      <c r="P16" s="202"/>
      <c r="Q16" s="202"/>
      <c r="R16" s="1">
        <f xml:space="preserve"> '2.3 Selskabsspecifikke input'!R241</f>
        <v>0</v>
      </c>
      <c r="S16" s="1">
        <f xml:space="preserve"> '2.3 Selskabsspecifikke input'!S241</f>
        <v>0</v>
      </c>
      <c r="T16" s="1">
        <f xml:space="preserve"> '2.3 Selskabsspecifikke input'!T241</f>
        <v>0</v>
      </c>
      <c r="U16" s="1">
        <f xml:space="preserve"> '2.3 Selskabsspecifikke input'!U241</f>
        <v>0</v>
      </c>
      <c r="V16" s="1">
        <f xml:space="preserve"> '2.3 Selskabsspecifikke input'!V241</f>
        <v>0</v>
      </c>
      <c r="W16" s="4">
        <f t="shared" ref="W16:W18" si="0" xml:space="preserve"> SUM( O16:V16 )</f>
        <v>0</v>
      </c>
    </row>
    <row r="17" spans="4:29" ht="15" customHeight="1">
      <c r="D17" s="1" t="s">
        <v>188</v>
      </c>
      <c r="K17" s="5" t="str">
        <f xml:space="preserve"> Model.Units2</f>
        <v>kWh</v>
      </c>
      <c r="L17" s="85"/>
      <c r="O17" s="202"/>
      <c r="P17" s="202"/>
      <c r="Q17" s="202"/>
      <c r="R17" s="1">
        <f xml:space="preserve"> '2.3 Selskabsspecifikke input'!R268</f>
        <v>0</v>
      </c>
      <c r="S17" s="1">
        <f xml:space="preserve"> '2.3 Selskabsspecifikke input'!S268</f>
        <v>0</v>
      </c>
      <c r="T17" s="1">
        <f xml:space="preserve"> '2.3 Selskabsspecifikke input'!T268</f>
        <v>0</v>
      </c>
      <c r="U17" s="1">
        <f xml:space="preserve"> '2.3 Selskabsspecifikke input'!U268</f>
        <v>0</v>
      </c>
      <c r="V17" s="1">
        <f xml:space="preserve"> '2.3 Selskabsspecifikke input'!V268</f>
        <v>0</v>
      </c>
      <c r="W17" s="4">
        <f t="shared" si="0"/>
        <v>0</v>
      </c>
    </row>
    <row r="18" spans="4:29" ht="15" customHeight="1">
      <c r="D18" s="1" t="s">
        <v>189</v>
      </c>
      <c r="K18" s="5" t="str">
        <f xml:space="preserve"> Model.Units2</f>
        <v>kWh</v>
      </c>
      <c r="L18" s="85"/>
      <c r="O18" s="202"/>
      <c r="P18" s="202"/>
      <c r="Q18" s="202"/>
      <c r="R18" s="1">
        <f xml:space="preserve"> '2.3 Selskabsspecifikke input'!R295</f>
        <v>0</v>
      </c>
      <c r="S18" s="1">
        <f xml:space="preserve"> '2.3 Selskabsspecifikke input'!S295</f>
        <v>0</v>
      </c>
      <c r="T18" s="1">
        <f xml:space="preserve"> '2.3 Selskabsspecifikke input'!T295</f>
        <v>0</v>
      </c>
      <c r="U18" s="1">
        <f xml:space="preserve"> '2.3 Selskabsspecifikke input'!U295</f>
        <v>0</v>
      </c>
      <c r="V18" s="1">
        <f xml:space="preserve"> '2.3 Selskabsspecifikke input'!V295</f>
        <v>0</v>
      </c>
      <c r="W18" s="35">
        <f t="shared" si="0"/>
        <v>0</v>
      </c>
    </row>
    <row r="19" spans="4:29" ht="15" customHeight="1">
      <c r="D19" s="186" t="s">
        <v>16</v>
      </c>
      <c r="E19" s="186"/>
      <c r="F19" s="186"/>
      <c r="G19" s="186"/>
      <c r="H19" s="186"/>
      <c r="I19" s="186"/>
      <c r="J19" s="186"/>
      <c r="K19" s="187" t="str">
        <f xml:space="preserve"> Model.Units2</f>
        <v>kWh</v>
      </c>
      <c r="L19" s="90"/>
      <c r="M19" s="186"/>
      <c r="N19" s="186"/>
      <c r="O19" s="388"/>
      <c r="P19" s="388"/>
      <c r="Q19" s="388"/>
      <c r="R19" s="186">
        <f t="shared" ref="R19:W19" si="1" xml:space="preserve"> SUM( R15:R18 )</f>
        <v>0</v>
      </c>
      <c r="S19" s="186">
        <f t="shared" si="1"/>
        <v>0</v>
      </c>
      <c r="T19" s="186">
        <f t="shared" si="1"/>
        <v>0</v>
      </c>
      <c r="U19" s="186">
        <f t="shared" si="1"/>
        <v>0</v>
      </c>
      <c r="V19" s="186">
        <f t="shared" si="1"/>
        <v>0</v>
      </c>
      <c r="W19" s="35">
        <f t="shared" si="1"/>
        <v>0</v>
      </c>
    </row>
    <row r="20" spans="4:29" ht="15" customHeight="1">
      <c r="D20" s="4"/>
      <c r="E20" s="4"/>
      <c r="F20" s="4"/>
      <c r="G20" s="4"/>
      <c r="H20" s="4"/>
      <c r="I20" s="4"/>
      <c r="J20" s="4"/>
      <c r="K20" s="78"/>
      <c r="L20" s="4"/>
      <c r="M20" s="4"/>
      <c r="N20" s="4"/>
      <c r="O20" s="4"/>
      <c r="P20" s="4"/>
      <c r="Q20" s="4"/>
      <c r="R20" s="111"/>
      <c r="S20" s="111"/>
      <c r="T20" s="111"/>
      <c r="U20" s="111"/>
      <c r="V20" s="111"/>
      <c r="W20" s="111"/>
    </row>
    <row r="21" spans="4:29" ht="15" customHeight="1">
      <c r="D21" s="4" t="s">
        <v>618</v>
      </c>
      <c r="W21" s="185" t="s">
        <v>16</v>
      </c>
      <c r="AC21" s="4"/>
    </row>
    <row r="22" spans="4:29" ht="15" customHeight="1">
      <c r="D22" s="33" t="s">
        <v>657</v>
      </c>
      <c r="E22" s="33"/>
      <c r="F22" s="33"/>
      <c r="G22" s="33"/>
      <c r="H22" s="33"/>
      <c r="I22" s="33"/>
      <c r="J22" s="33"/>
      <c r="K22" s="34" t="str">
        <f xml:space="preserve"> Model.Units2</f>
        <v>kWh</v>
      </c>
      <c r="L22" s="90"/>
      <c r="M22" s="33"/>
      <c r="N22" s="33"/>
      <c r="O22" s="33">
        <f xml:space="preserve"> '2.3 Selskabsspecifikke input'!O310</f>
        <v>0</v>
      </c>
      <c r="P22" s="33">
        <f xml:space="preserve"> '2.3 Selskabsspecifikke input'!P310</f>
        <v>0</v>
      </c>
      <c r="Q22" s="271"/>
      <c r="R22" s="33">
        <f xml:space="preserve"> '2.3 Selskabsspecifikke input'!R310</f>
        <v>0</v>
      </c>
      <c r="S22" s="33">
        <f xml:space="preserve"> '2.3 Selskabsspecifikke input'!S310</f>
        <v>0</v>
      </c>
      <c r="T22" s="33">
        <f xml:space="preserve"> '2.3 Selskabsspecifikke input'!T310</f>
        <v>0</v>
      </c>
      <c r="U22" s="33">
        <f xml:space="preserve"> '2.3 Selskabsspecifikke input'!U310</f>
        <v>0</v>
      </c>
      <c r="V22" s="33">
        <f xml:space="preserve"> '2.3 Selskabsspecifikke input'!V310</f>
        <v>0</v>
      </c>
      <c r="W22" s="186">
        <f xml:space="preserve"> SUM( O22:V22 )</f>
        <v>0</v>
      </c>
    </row>
    <row r="23" spans="4:29" ht="15" customHeight="1">
      <c r="D23" s="4"/>
      <c r="E23" s="4"/>
      <c r="F23" s="4"/>
      <c r="G23" s="4"/>
      <c r="H23" s="4"/>
      <c r="I23" s="4"/>
      <c r="J23" s="4"/>
      <c r="K23" s="78"/>
      <c r="L23" s="4"/>
      <c r="M23" s="4"/>
      <c r="N23" s="4"/>
      <c r="O23" s="4"/>
      <c r="P23" s="4"/>
      <c r="Q23" s="4"/>
      <c r="R23" s="111"/>
      <c r="S23" s="111"/>
      <c r="T23" s="111"/>
      <c r="U23" s="111"/>
      <c r="V23" s="111"/>
      <c r="W23" s="111"/>
    </row>
    <row r="24" spans="4:29" ht="15" customHeight="1">
      <c r="D24" s="4" t="s">
        <v>124</v>
      </c>
      <c r="W24" s="185" t="s">
        <v>16</v>
      </c>
      <c r="AC24" s="4"/>
    </row>
    <row r="25" spans="4:29" ht="15" customHeight="1">
      <c r="D25" s="33" t="s">
        <v>123</v>
      </c>
      <c r="E25" s="33"/>
      <c r="F25" s="33"/>
      <c r="G25" s="33"/>
      <c r="H25" s="33"/>
      <c r="I25" s="33"/>
      <c r="J25" s="33"/>
      <c r="K25" s="34" t="str">
        <f xml:space="preserve"> Model.Units2</f>
        <v>kWh</v>
      </c>
      <c r="L25" s="90"/>
      <c r="M25" s="33"/>
      <c r="N25" s="33"/>
      <c r="O25" s="271"/>
      <c r="P25" s="271"/>
      <c r="Q25" s="271"/>
      <c r="R25" s="33">
        <f xml:space="preserve"> '2.3 Selskabsspecifikke input'!R184</f>
        <v>0</v>
      </c>
      <c r="S25" s="33">
        <f xml:space="preserve"> '2.3 Selskabsspecifikke input'!S184</f>
        <v>0</v>
      </c>
      <c r="T25" s="33">
        <f xml:space="preserve"> '2.3 Selskabsspecifikke input'!T184</f>
        <v>0</v>
      </c>
      <c r="U25" s="33">
        <f xml:space="preserve"> '2.3 Selskabsspecifikke input'!U184</f>
        <v>0</v>
      </c>
      <c r="V25" s="33">
        <f xml:space="preserve"> '2.3 Selskabsspecifikke input'!V184</f>
        <v>0</v>
      </c>
      <c r="W25" s="186">
        <f xml:space="preserve"> SUM( O25:V25 )</f>
        <v>0</v>
      </c>
    </row>
    <row r="26" spans="4:29" ht="15" customHeight="1">
      <c r="D26" s="4"/>
      <c r="E26" s="4"/>
      <c r="F26" s="4"/>
      <c r="G26" s="4"/>
      <c r="H26" s="4"/>
      <c r="I26" s="4"/>
      <c r="J26" s="4"/>
      <c r="K26" s="78"/>
      <c r="L26" s="4"/>
      <c r="M26" s="4"/>
      <c r="N26" s="4"/>
      <c r="O26" s="4"/>
      <c r="P26" s="4"/>
      <c r="Q26" s="4"/>
      <c r="R26" s="111"/>
      <c r="S26" s="111"/>
      <c r="T26" s="111"/>
      <c r="U26" s="111"/>
      <c r="V26" s="111"/>
      <c r="W26" s="111"/>
    </row>
    <row r="27" spans="4:29" ht="15" customHeight="1">
      <c r="D27" s="4" t="s">
        <v>625</v>
      </c>
      <c r="W27" s="185" t="s">
        <v>16</v>
      </c>
      <c r="AC27" s="4"/>
    </row>
    <row r="28" spans="4:29" ht="15" customHeight="1">
      <c r="D28" s="15" t="s">
        <v>508</v>
      </c>
      <c r="E28" s="15"/>
      <c r="F28" s="15"/>
      <c r="G28" s="15"/>
      <c r="H28" s="15"/>
      <c r="I28" s="15"/>
      <c r="J28" s="15"/>
      <c r="K28" s="19" t="str">
        <f xml:space="preserve"> Model.Units2</f>
        <v>kWh</v>
      </c>
      <c r="L28" s="123"/>
      <c r="M28" s="15"/>
      <c r="N28" s="15"/>
      <c r="O28" s="274"/>
      <c r="P28" s="274"/>
      <c r="Q28" s="274"/>
      <c r="R28" s="15">
        <f xml:space="preserve"> R19</f>
        <v>0</v>
      </c>
      <c r="S28" s="15">
        <f xml:space="preserve"> S19</f>
        <v>0</v>
      </c>
      <c r="T28" s="15">
        <f xml:space="preserve"> T19</f>
        <v>0</v>
      </c>
      <c r="U28" s="15">
        <f xml:space="preserve"> U19</f>
        <v>0</v>
      </c>
      <c r="V28" s="15">
        <f xml:space="preserve"> V19</f>
        <v>0</v>
      </c>
      <c r="W28" s="18">
        <f xml:space="preserve"> SUM( O28:V28 )</f>
        <v>0</v>
      </c>
    </row>
    <row r="29" spans="4:29" ht="15" customHeight="1">
      <c r="D29" s="1" t="s">
        <v>657</v>
      </c>
      <c r="K29" s="5" t="str">
        <f xml:space="preserve"> Model.Units2</f>
        <v>kWh</v>
      </c>
      <c r="L29" s="85"/>
      <c r="O29" s="1">
        <f xml:space="preserve"> O22</f>
        <v>0</v>
      </c>
      <c r="P29" s="1">
        <f t="shared" ref="P29:V29" si="2" xml:space="preserve"> P22</f>
        <v>0</v>
      </c>
      <c r="Q29" s="202"/>
      <c r="R29" s="1">
        <f t="shared" si="2"/>
        <v>0</v>
      </c>
      <c r="S29" s="1">
        <f t="shared" si="2"/>
        <v>0</v>
      </c>
      <c r="T29" s="1">
        <f t="shared" si="2"/>
        <v>0</v>
      </c>
      <c r="U29" s="1">
        <f t="shared" si="2"/>
        <v>0</v>
      </c>
      <c r="V29" s="1">
        <f t="shared" si="2"/>
        <v>0</v>
      </c>
      <c r="W29" s="4">
        <f xml:space="preserve"> SUM( O29:V29 )</f>
        <v>0</v>
      </c>
    </row>
    <row r="30" spans="4:29" ht="15" customHeight="1">
      <c r="D30" s="27" t="s">
        <v>123</v>
      </c>
      <c r="E30" s="27"/>
      <c r="F30" s="27"/>
      <c r="G30" s="27"/>
      <c r="H30" s="27"/>
      <c r="I30" s="27"/>
      <c r="J30" s="27"/>
      <c r="K30" s="32" t="str">
        <f xml:space="preserve"> Model.Units2</f>
        <v>kWh</v>
      </c>
      <c r="L30" s="85"/>
      <c r="O30" s="202"/>
      <c r="P30" s="202"/>
      <c r="Q30" s="202"/>
      <c r="R30" s="1">
        <f xml:space="preserve"> R25</f>
        <v>0</v>
      </c>
      <c r="S30" s="1">
        <f xml:space="preserve"> S25</f>
        <v>0</v>
      </c>
      <c r="T30" s="1">
        <f xml:space="preserve"> T25</f>
        <v>0</v>
      </c>
      <c r="U30" s="1">
        <f xml:space="preserve"> U25</f>
        <v>0</v>
      </c>
      <c r="V30" s="1">
        <f xml:space="preserve"> V25</f>
        <v>0</v>
      </c>
      <c r="W30" s="4">
        <f xml:space="preserve"> SUM( O30:V30 )</f>
        <v>0</v>
      </c>
    </row>
    <row r="31" spans="4:29" ht="15" customHeight="1">
      <c r="D31" s="35" t="s">
        <v>16</v>
      </c>
      <c r="E31" s="35"/>
      <c r="F31" s="35"/>
      <c r="G31" s="35"/>
      <c r="H31" s="35"/>
      <c r="I31" s="35"/>
      <c r="J31" s="35"/>
      <c r="K31" s="201" t="str">
        <f xml:space="preserve"> Model.Units2</f>
        <v>kWh</v>
      </c>
      <c r="L31" s="90"/>
      <c r="M31" s="186"/>
      <c r="N31" s="186"/>
      <c r="O31" s="186">
        <f xml:space="preserve"> SUM( O28:O30 )</f>
        <v>0</v>
      </c>
      <c r="P31" s="186">
        <f t="shared" ref="P31:V31" si="3" xml:space="preserve"> SUM( P28:P30 )</f>
        <v>0</v>
      </c>
      <c r="Q31" s="271"/>
      <c r="R31" s="186">
        <f t="shared" si="3"/>
        <v>0</v>
      </c>
      <c r="S31" s="186">
        <f t="shared" si="3"/>
        <v>0</v>
      </c>
      <c r="T31" s="186">
        <f t="shared" si="3"/>
        <v>0</v>
      </c>
      <c r="U31" s="186">
        <f t="shared" si="3"/>
        <v>0</v>
      </c>
      <c r="V31" s="186">
        <f t="shared" si="3"/>
        <v>0</v>
      </c>
      <c r="W31" s="186">
        <f t="shared" ref="W31" si="4" xml:space="preserve"> W28 + W30</f>
        <v>0</v>
      </c>
    </row>
    <row r="32" spans="4:29" ht="15" customHeight="1">
      <c r="D32" s="4"/>
      <c r="E32" s="4"/>
      <c r="F32" s="4"/>
      <c r="G32" s="4"/>
      <c r="H32" s="4"/>
      <c r="I32" s="4"/>
      <c r="J32" s="4"/>
      <c r="K32" s="78"/>
      <c r="L32" s="4"/>
      <c r="M32" s="4"/>
      <c r="N32" s="4"/>
      <c r="O32" s="4"/>
      <c r="P32" s="4"/>
      <c r="Q32" s="4"/>
      <c r="R32" s="111"/>
      <c r="S32" s="111"/>
      <c r="T32" s="111"/>
      <c r="U32" s="111"/>
      <c r="V32" s="111"/>
      <c r="W32" s="111"/>
    </row>
    <row r="33" spans="4:23" ht="15" customHeight="1">
      <c r="D33" s="35" t="s">
        <v>524</v>
      </c>
      <c r="E33" s="27"/>
      <c r="F33" s="27"/>
      <c r="G33" s="27"/>
      <c r="H33" s="27"/>
      <c r="I33" s="27"/>
      <c r="J33" s="27"/>
      <c r="K33" s="32"/>
      <c r="L33" s="27"/>
      <c r="M33" s="27"/>
      <c r="N33" s="27"/>
      <c r="O33" s="27"/>
      <c r="P33" s="27"/>
      <c r="Q33" s="27"/>
      <c r="R33" s="27"/>
      <c r="S33" s="27"/>
      <c r="T33" s="27"/>
      <c r="U33" s="27"/>
      <c r="V33" s="27"/>
      <c r="W33" s="185" t="s">
        <v>16</v>
      </c>
    </row>
    <row r="34" spans="4:23" ht="15" customHeight="1">
      <c r="D34" s="124" t="s">
        <v>261</v>
      </c>
      <c r="K34" s="5" t="str">
        <f t="shared" ref="K34:K39" si="5" xml:space="preserve"> Model.Units</f>
        <v>DKKt</v>
      </c>
      <c r="O34" s="274"/>
      <c r="P34" s="274"/>
      <c r="Q34" s="1">
        <f xml:space="preserve"> '2.3 Selskabsspecifikke input'!Q317</f>
        <v>0</v>
      </c>
      <c r="R34" s="1">
        <f xml:space="preserve"> '2.3 Selskabsspecifikke input'!R317</f>
        <v>0</v>
      </c>
      <c r="S34" s="1">
        <f xml:space="preserve"> '2.3 Selskabsspecifikke input'!S317</f>
        <v>0</v>
      </c>
      <c r="T34" s="1">
        <f xml:space="preserve"> '2.3 Selskabsspecifikke input'!T317</f>
        <v>0</v>
      </c>
      <c r="U34" s="1">
        <f xml:space="preserve"> '2.3 Selskabsspecifikke input'!U317</f>
        <v>0</v>
      </c>
      <c r="V34" s="1">
        <f xml:space="preserve"> '2.3 Selskabsspecifikke input'!V317</f>
        <v>0</v>
      </c>
      <c r="W34" s="4">
        <f xml:space="preserve"> SUM( O34:V34 )</f>
        <v>0</v>
      </c>
    </row>
    <row r="35" spans="4:23" ht="15" customHeight="1">
      <c r="D35" s="124" t="s">
        <v>262</v>
      </c>
      <c r="K35" s="5" t="str">
        <f t="shared" si="5"/>
        <v>DKKt</v>
      </c>
      <c r="O35" s="202"/>
      <c r="P35" s="202"/>
      <c r="Q35" s="1">
        <f xml:space="preserve"> '2.3 Selskabsspecifikke input'!Q318</f>
        <v>0</v>
      </c>
      <c r="R35" s="1">
        <f xml:space="preserve"> '2.3 Selskabsspecifikke input'!R318</f>
        <v>0</v>
      </c>
      <c r="S35" s="1">
        <f xml:space="preserve"> '2.3 Selskabsspecifikke input'!S318</f>
        <v>0</v>
      </c>
      <c r="T35" s="1">
        <f xml:space="preserve"> '2.3 Selskabsspecifikke input'!T318</f>
        <v>0</v>
      </c>
      <c r="U35" s="1">
        <f xml:space="preserve"> '2.3 Selskabsspecifikke input'!U318</f>
        <v>0</v>
      </c>
      <c r="V35" s="1">
        <f xml:space="preserve"> '2.3 Selskabsspecifikke input'!V318</f>
        <v>0</v>
      </c>
      <c r="W35" s="4">
        <f xml:space="preserve"> SUM( O35:V35 )</f>
        <v>0</v>
      </c>
    </row>
    <row r="36" spans="4:23" ht="15" customHeight="1">
      <c r="D36" s="124" t="s">
        <v>240</v>
      </c>
      <c r="K36" s="5" t="str">
        <f t="shared" si="5"/>
        <v>DKKt</v>
      </c>
      <c r="L36" s="85"/>
      <c r="O36" s="202"/>
      <c r="P36" s="202"/>
      <c r="Q36" s="1">
        <f xml:space="preserve"> '2.3 Selskabsspecifikke input'!Q322</f>
        <v>0</v>
      </c>
      <c r="R36" s="1">
        <f xml:space="preserve"> '2.3 Selskabsspecifikke input'!R322</f>
        <v>0</v>
      </c>
      <c r="S36" s="1">
        <f xml:space="preserve"> '2.3 Selskabsspecifikke input'!S322</f>
        <v>0</v>
      </c>
      <c r="T36" s="1">
        <f xml:space="preserve"> '2.3 Selskabsspecifikke input'!T322</f>
        <v>0</v>
      </c>
      <c r="U36" s="1">
        <f xml:space="preserve"> '2.3 Selskabsspecifikke input'!U322</f>
        <v>0</v>
      </c>
      <c r="V36" s="1">
        <f xml:space="preserve"> '2.3 Selskabsspecifikke input'!V322</f>
        <v>0</v>
      </c>
      <c r="W36" s="4">
        <f xml:space="preserve"> SUM( O36:V36 )</f>
        <v>0</v>
      </c>
    </row>
    <row r="37" spans="4:23" ht="15" customHeight="1">
      <c r="D37" s="1" t="s">
        <v>679</v>
      </c>
      <c r="K37" s="5" t="str">
        <f xml:space="preserve"> Model.Units</f>
        <v>DKKt</v>
      </c>
      <c r="O37" s="202"/>
      <c r="P37" s="202"/>
      <c r="Q37" s="1">
        <f xml:space="preserve"> '2.3 Selskabsspecifikke input'!Q323</f>
        <v>0</v>
      </c>
      <c r="R37" s="1">
        <f xml:space="preserve"> '2.3 Selskabsspecifikke input'!R323</f>
        <v>0</v>
      </c>
      <c r="S37" s="1">
        <f xml:space="preserve"> '2.3 Selskabsspecifikke input'!S323</f>
        <v>0</v>
      </c>
      <c r="T37" s="1">
        <f xml:space="preserve"> '2.3 Selskabsspecifikke input'!T323</f>
        <v>0</v>
      </c>
      <c r="U37" s="1">
        <f xml:space="preserve"> '2.3 Selskabsspecifikke input'!U323</f>
        <v>0</v>
      </c>
      <c r="V37" s="1">
        <f xml:space="preserve"> '2.3 Selskabsspecifikke input'!V323</f>
        <v>0</v>
      </c>
      <c r="W37" s="4">
        <f xml:space="preserve"> SUM( O37:V37 )</f>
        <v>0</v>
      </c>
    </row>
    <row r="38" spans="4:23" ht="15" customHeight="1">
      <c r="D38" s="27" t="s">
        <v>243</v>
      </c>
      <c r="E38" s="27"/>
      <c r="F38" s="27"/>
      <c r="G38" s="27"/>
      <c r="H38" s="27"/>
      <c r="I38" s="27"/>
      <c r="J38" s="27"/>
      <c r="K38" s="32" t="str">
        <f xml:space="preserve"> Model.Units</f>
        <v>DKKt</v>
      </c>
      <c r="L38" s="27"/>
      <c r="M38" s="27"/>
      <c r="N38" s="27"/>
      <c r="O38" s="202"/>
      <c r="P38" s="202"/>
      <c r="Q38" s="27">
        <f xml:space="preserve"> '2.3 Selskabsspecifikke input'!Q324</f>
        <v>0</v>
      </c>
      <c r="R38" s="27">
        <f xml:space="preserve"> '2.3 Selskabsspecifikke input'!R324</f>
        <v>0</v>
      </c>
      <c r="S38" s="27">
        <f xml:space="preserve"> '2.3 Selskabsspecifikke input'!S324</f>
        <v>0</v>
      </c>
      <c r="T38" s="27">
        <f xml:space="preserve"> '2.3 Selskabsspecifikke input'!T324</f>
        <v>0</v>
      </c>
      <c r="U38" s="27">
        <f xml:space="preserve"> '2.3 Selskabsspecifikke input'!U324</f>
        <v>0</v>
      </c>
      <c r="V38" s="27">
        <f xml:space="preserve"> '2.3 Selskabsspecifikke input'!V324</f>
        <v>0</v>
      </c>
      <c r="W38" s="35">
        <f xml:space="preserve"> SUM( O38:V38 )</f>
        <v>0</v>
      </c>
    </row>
    <row r="39" spans="4:23" ht="15" customHeight="1">
      <c r="D39" s="188" t="s">
        <v>16</v>
      </c>
      <c r="E39" s="186"/>
      <c r="F39" s="186"/>
      <c r="G39" s="186"/>
      <c r="H39" s="186"/>
      <c r="I39" s="186"/>
      <c r="J39" s="186"/>
      <c r="K39" s="187" t="str">
        <f t="shared" si="5"/>
        <v>DKKt</v>
      </c>
      <c r="L39" s="186"/>
      <c r="M39" s="186"/>
      <c r="N39" s="186"/>
      <c r="O39" s="388"/>
      <c r="P39" s="388"/>
      <c r="Q39" s="186">
        <f t="shared" ref="Q39:W39" si="6" xml:space="preserve"> SUM( Q34:Q38 )</f>
        <v>0</v>
      </c>
      <c r="R39" s="186">
        <f t="shared" si="6"/>
        <v>0</v>
      </c>
      <c r="S39" s="186">
        <f t="shared" si="6"/>
        <v>0</v>
      </c>
      <c r="T39" s="186">
        <f t="shared" si="6"/>
        <v>0</v>
      </c>
      <c r="U39" s="186">
        <f t="shared" si="6"/>
        <v>0</v>
      </c>
      <c r="V39" s="186">
        <f t="shared" si="6"/>
        <v>0</v>
      </c>
      <c r="W39" s="186">
        <f t="shared" si="6"/>
        <v>0</v>
      </c>
    </row>
    <row r="40" spans="4:23" s="209" customFormat="1" ht="15" customHeight="1">
      <c r="D40" s="653" t="s">
        <v>684</v>
      </c>
    </row>
    <row r="42" spans="4:23" ht="15" customHeight="1">
      <c r="D42" s="4" t="s">
        <v>307</v>
      </c>
      <c r="W42" s="185" t="s">
        <v>16</v>
      </c>
    </row>
    <row r="43" spans="4:23" ht="15" customHeight="1">
      <c r="D43" s="123" t="s">
        <v>125</v>
      </c>
      <c r="E43" s="15"/>
      <c r="F43" s="15"/>
      <c r="G43" s="15"/>
      <c r="H43" s="15"/>
      <c r="I43" s="15"/>
      <c r="J43" s="15"/>
      <c r="K43" s="19" t="str">
        <f xml:space="preserve"> Model.Units</f>
        <v>DKKt</v>
      </c>
      <c r="L43" s="15"/>
      <c r="M43" s="15"/>
      <c r="N43" s="15"/>
      <c r="O43" s="15">
        <f xml:space="preserve"> '1.1 Provenu'!O15</f>
        <v>0</v>
      </c>
      <c r="P43" s="15">
        <f xml:space="preserve"> '1.1 Provenu'!P15</f>
        <v>0</v>
      </c>
      <c r="Q43" s="274"/>
      <c r="R43" s="15">
        <f xml:space="preserve"> '1.1 Provenu'!R15</f>
        <v>0</v>
      </c>
      <c r="S43" s="15">
        <f xml:space="preserve"> '1.1 Provenu'!S15</f>
        <v>0</v>
      </c>
      <c r="T43" s="15">
        <f xml:space="preserve"> '1.1 Provenu'!T15</f>
        <v>0</v>
      </c>
      <c r="U43" s="15">
        <f xml:space="preserve"> '1.1 Provenu'!U15</f>
        <v>0</v>
      </c>
      <c r="V43" s="15">
        <f xml:space="preserve"> '1.1 Provenu'!V15</f>
        <v>0</v>
      </c>
      <c r="W43" s="4">
        <f xml:space="preserve"> SUM( O43:V43 )</f>
        <v>0</v>
      </c>
    </row>
    <row r="44" spans="4:23" ht="15" customHeight="1">
      <c r="D44" s="1" t="s">
        <v>192</v>
      </c>
      <c r="K44" s="5" t="str">
        <f xml:space="preserve"> Model.Units</f>
        <v>DKKt</v>
      </c>
      <c r="O44" s="202"/>
      <c r="P44" s="202"/>
      <c r="Q44" s="202"/>
      <c r="R44" s="1">
        <f xml:space="preserve"> '1.1 Provenu'!R16</f>
        <v>0</v>
      </c>
      <c r="S44" s="1">
        <f xml:space="preserve"> '1.1 Provenu'!S16</f>
        <v>0</v>
      </c>
      <c r="T44" s="1">
        <f xml:space="preserve"> '1.1 Provenu'!T16</f>
        <v>0</v>
      </c>
      <c r="U44" s="1">
        <f xml:space="preserve"> '1.1 Provenu'!U16</f>
        <v>0</v>
      </c>
      <c r="V44" s="1">
        <f xml:space="preserve"> '1.1 Provenu'!V16</f>
        <v>0</v>
      </c>
      <c r="W44" s="4">
        <f xml:space="preserve"> SUM( O44:V44 )</f>
        <v>0</v>
      </c>
    </row>
    <row r="45" spans="4:23" ht="15" customHeight="1">
      <c r="D45" s="85" t="s">
        <v>683</v>
      </c>
      <c r="K45" s="5" t="str">
        <f xml:space="preserve"> Model.Units</f>
        <v>DKKt</v>
      </c>
      <c r="O45" s="202"/>
      <c r="P45" s="202"/>
      <c r="Q45" s="1">
        <f xml:space="preserve"> '1.1 Provenu'!Q17</f>
        <v>0</v>
      </c>
      <c r="R45" s="1">
        <f xml:space="preserve"> '1.1 Provenu'!R17</f>
        <v>0</v>
      </c>
      <c r="S45" s="1">
        <f xml:space="preserve"> '1.1 Provenu'!S17</f>
        <v>0</v>
      </c>
      <c r="T45" s="1">
        <f xml:space="preserve"> '1.1 Provenu'!T17</f>
        <v>0</v>
      </c>
      <c r="U45" s="1">
        <f xml:space="preserve"> '1.1 Provenu'!U17</f>
        <v>0</v>
      </c>
      <c r="V45" s="1">
        <f xml:space="preserve"> '1.1 Provenu'!V17</f>
        <v>0</v>
      </c>
      <c r="W45" s="4">
        <f xml:space="preserve"> SUM( O45:V45 )</f>
        <v>0</v>
      </c>
    </row>
    <row r="46" spans="4:23" ht="15" customHeight="1">
      <c r="D46" s="105" t="s">
        <v>16</v>
      </c>
      <c r="E46" s="186"/>
      <c r="F46" s="186"/>
      <c r="G46" s="186"/>
      <c r="H46" s="186"/>
      <c r="I46" s="186"/>
      <c r="J46" s="186"/>
      <c r="K46" s="187" t="str">
        <f xml:space="preserve"> Model.Units</f>
        <v>DKKt</v>
      </c>
      <c r="L46" s="90"/>
      <c r="M46" s="186"/>
      <c r="N46" s="186"/>
      <c r="O46" s="186">
        <f t="shared" ref="O46:Q46" si="7" xml:space="preserve"> SUM( O43:O45 )</f>
        <v>0</v>
      </c>
      <c r="P46" s="186">
        <f t="shared" si="7"/>
        <v>0</v>
      </c>
      <c r="Q46" s="186">
        <f t="shared" si="7"/>
        <v>0</v>
      </c>
      <c r="R46" s="186">
        <f xml:space="preserve"> SUM( R43:R45 )</f>
        <v>0</v>
      </c>
      <c r="S46" s="186">
        <f t="shared" ref="S46:W46" si="8" xml:space="preserve"> SUM( S43:S45 )</f>
        <v>0</v>
      </c>
      <c r="T46" s="186">
        <f t="shared" si="8"/>
        <v>0</v>
      </c>
      <c r="U46" s="186">
        <f t="shared" si="8"/>
        <v>0</v>
      </c>
      <c r="V46" s="186">
        <f t="shared" si="8"/>
        <v>0</v>
      </c>
      <c r="W46" s="186">
        <f t="shared" si="8"/>
        <v>0</v>
      </c>
    </row>
    <row r="47" spans="4:23" ht="15" customHeight="1">
      <c r="D47" s="653" t="s">
        <v>684</v>
      </c>
      <c r="E47" s="4"/>
      <c r="F47" s="4"/>
      <c r="G47" s="4"/>
      <c r="H47" s="4"/>
      <c r="I47" s="4"/>
      <c r="J47" s="4"/>
      <c r="K47" s="78"/>
      <c r="L47" s="4"/>
      <c r="M47" s="4"/>
      <c r="N47" s="4"/>
      <c r="O47" s="4"/>
      <c r="P47" s="4"/>
      <c r="Q47" s="4"/>
      <c r="R47" s="111"/>
      <c r="S47" s="111"/>
      <c r="T47" s="111"/>
      <c r="U47" s="111"/>
      <c r="V47" s="111"/>
      <c r="W47" s="111"/>
    </row>
    <row r="50" spans="2:11" s="475" customFormat="1" ht="15" customHeight="1">
      <c r="B50" s="479" t="s">
        <v>104</v>
      </c>
      <c r="C50" s="477"/>
      <c r="D50" s="478"/>
      <c r="K50" s="472"/>
    </row>
  </sheetData>
  <sheetProtection sheet="1" objects="1" scenarios="1"/>
  <conditionalFormatting sqref="I4:I5 I7">
    <cfRule type="cellIs" dxfId="763" priority="19" operator="between">
      <formula>-ErrorTolerance</formula>
      <formula>ErrorTolerance</formula>
    </cfRule>
  </conditionalFormatting>
  <conditionalFormatting sqref="J2:Q3 B2:E3">
    <cfRule type="expression" dxfId="762" priority="20">
      <formula>$I$4&lt;ErrorTolerance</formula>
    </cfRule>
  </conditionalFormatting>
  <conditionalFormatting sqref="B3">
    <cfRule type="expression" dxfId="761" priority="21">
      <formula>$I$5&gt;=ErrorTolerance</formula>
    </cfRule>
  </conditionalFormatting>
  <conditionalFormatting sqref="I6">
    <cfRule type="cellIs" dxfId="760" priority="18" operator="between">
      <formula>-ErrorTolerance</formula>
      <formula>ErrorTolerance</formula>
    </cfRule>
  </conditionalFormatting>
  <conditionalFormatting sqref="L15">
    <cfRule type="cellIs" dxfId="759" priority="17" operator="greaterThan">
      <formula>0</formula>
    </cfRule>
  </conditionalFormatting>
  <conditionalFormatting sqref="L19">
    <cfRule type="cellIs" dxfId="758" priority="16" operator="greaterThan">
      <formula>0</formula>
    </cfRule>
  </conditionalFormatting>
  <conditionalFormatting sqref="F2:G2">
    <cfRule type="expression" dxfId="757" priority="15">
      <formula>Model.Navigation.View=No</formula>
    </cfRule>
  </conditionalFormatting>
  <conditionalFormatting sqref="F2:G2">
    <cfRule type="expression" dxfId="756" priority="14">
      <formula>Model.Navigation.View=No</formula>
    </cfRule>
  </conditionalFormatting>
  <conditionalFormatting sqref="H2">
    <cfRule type="expression" dxfId="755" priority="13">
      <formula>Model.Navigation.View=No</formula>
    </cfRule>
  </conditionalFormatting>
  <conditionalFormatting sqref="H2">
    <cfRule type="expression" dxfId="754" priority="12">
      <formula>Model.Navigation.View=No</formula>
    </cfRule>
  </conditionalFormatting>
  <conditionalFormatting sqref="I2">
    <cfRule type="expression" dxfId="753" priority="10">
      <formula>Model.Navigation.View=No</formula>
    </cfRule>
  </conditionalFormatting>
  <conditionalFormatting sqref="I2">
    <cfRule type="expression" dxfId="752" priority="9">
      <formula>Model.Navigation.View=No</formula>
    </cfRule>
  </conditionalFormatting>
  <conditionalFormatting sqref="L16:L18">
    <cfRule type="cellIs" dxfId="751" priority="8" operator="greaterThan">
      <formula>0</formula>
    </cfRule>
  </conditionalFormatting>
  <conditionalFormatting sqref="L36">
    <cfRule type="cellIs" dxfId="750" priority="7" operator="greaterThan">
      <formula>0</formula>
    </cfRule>
  </conditionalFormatting>
  <conditionalFormatting sqref="L46">
    <cfRule type="cellIs" dxfId="749" priority="5" operator="greaterThan">
      <formula>0</formula>
    </cfRule>
  </conditionalFormatting>
  <conditionalFormatting sqref="L28:L30">
    <cfRule type="cellIs" dxfId="748" priority="4" operator="greaterThan">
      <formula>0</formula>
    </cfRule>
  </conditionalFormatting>
  <conditionalFormatting sqref="L25">
    <cfRule type="cellIs" dxfId="747" priority="3" operator="greaterThan">
      <formula>0</formula>
    </cfRule>
  </conditionalFormatting>
  <conditionalFormatting sqref="L31">
    <cfRule type="cellIs" dxfId="746" priority="2" operator="greaterThan">
      <formula>0</formula>
    </cfRule>
  </conditionalFormatting>
  <conditionalFormatting sqref="L22">
    <cfRule type="cellIs" dxfId="745" priority="1" operator="greaterThan">
      <formula>0</formula>
    </cfRule>
  </conditionalFormatting>
  <hyperlinks>
    <hyperlink ref="G2" location="'1.4 Hoveddata'!B11" tooltip="Gå til toppen af arket" display="'1.4 Hoveddata'!B11" xr:uid="{37B8878F-4FB4-4DF8-8B03-C57F0EBD03C7}"/>
    <hyperlink ref="H2" location="'2.3 Selskabsspecifikke input'!B2" tooltip="Gå til selskabsspecifikke input" display="'2.3 Selskabsspecifikke input'!B2" xr:uid="{25BD215E-7D15-46D3-9869-BC05E080B014}"/>
    <hyperlink ref="F2" location="Modeloverblik!B2" tooltip="Gå til modelbeskrivelse" display="Modeloverblik!B2" xr:uid="{749AA064-0152-41F4-8586-5A048A22F103}"/>
    <hyperlink ref="I2" location="'4.1 Fejl- og kontroloversigt'!B2" tooltip="Gå til fejl- og kontrolchecks" display="'4.1 Fejl- og kontroloversigt'!B2" xr:uid="{C155B64D-91D9-4B34-B832-305F231375C8}"/>
  </hyperlinks>
  <pageMargins left="0.70866141732283472" right="0.70866141732283472" top="0.74803149606299213" bottom="0.74803149606299213" header="0.31496062992125984" footer="0.31496062992125984"/>
  <pageSetup paperSize="9" scale="49" fitToHeight="0" orientation="landscape" r:id="rId1"/>
  <headerFooter scaleWithDoc="0">
    <oddHeader>&amp;L&amp;"Arial,Bold"&amp;8Green Power Denmark | Regnearksmodel - Tarifmodel 3.0 og producentbetaling</oddHeader>
    <oddFooter>&amp;LArk: &amp;A&amp;RSide &amp;P af &amp;N</oddFooter>
  </headerFooter>
  <colBreaks count="1" manualBreakCount="1">
    <brk id="24" max="4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91E26-6C92-4648-B372-F1A0773029BC}">
  <sheetPr>
    <tabColor rgb="FF307675"/>
    <outlinePr summaryBelow="0"/>
  </sheetPr>
  <dimension ref="A1:AN64"/>
  <sheetViews>
    <sheetView showGridLines="0" zoomScale="85" zoomScaleNormal="85" workbookViewId="0">
      <pane xSplit="14" ySplit="10" topLeftCell="O11" activePane="bottomRight" state="frozen"/>
      <selection pane="topRight" activeCell="O1" sqref="O1"/>
      <selection pane="bottomLeft" activeCell="A11" sqref="A11"/>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16" width="18.6640625" style="1" customWidth="1"/>
    <col min="17" max="17" width="18.6640625" style="1" hidden="1" customWidth="1"/>
    <col min="18" max="29" width="18.6640625" style="1" customWidth="1"/>
    <col min="30" max="31" width="18.6640625" style="1" hidden="1" customWidth="1"/>
    <col min="32" max="32" width="9.5" style="1" hidden="1" customWidth="1"/>
    <col min="33" max="41" width="18.6640625" style="1" hidden="1" customWidth="1"/>
    <col min="42" max="16384" width="18.6640625" style="1" hidden="1"/>
  </cols>
  <sheetData>
    <row r="1" spans="1:29" ht="4.9000000000000004" customHeight="1"/>
    <row r="2" spans="1:29" ht="19.899999999999999" customHeight="1">
      <c r="B2" s="6" t="str">
        <f ca="1" xml:space="preserve"> MID( CELL("filename", B2), FIND("]", CELL("filename",B2) ) + 1, Model.MaxChars)</f>
        <v>1.5 Indfødningstarif</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1:29"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1:29" ht="15" customHeight="1">
      <c r="F4" s="74" t="s">
        <v>274</v>
      </c>
      <c r="I4" s="25">
        <f xml:space="preserve"> SUM(L:L)</f>
        <v>0</v>
      </c>
    </row>
    <row r="5" spans="1:29" ht="15" customHeight="1">
      <c r="F5" s="74" t="s">
        <v>275</v>
      </c>
      <c r="I5" s="84">
        <f xml:space="preserve"> SUM(M:M)</f>
        <v>0</v>
      </c>
    </row>
    <row r="6" spans="1:29" ht="15" customHeight="1">
      <c r="F6" s="74" t="s">
        <v>276</v>
      </c>
      <c r="I6" s="25">
        <f xml:space="preserve"> SUM( L:L ) + SUM( '1.1 Provenu'!L:L ) + SUM( '1.2 Tarifoversigt'!L:L) + SUM( '1.3 Varslingsanalyse'!L:L) + SUM('2.1 Model setup'!L:L ) + SUM('2.2 Generelle input'!L:L ) + SUM( '2.3 Selskabsspecifikke input'!L:L) + SUM( '3.1 Opsplitning af forbrug'!L:L) + SUM( '3.2 Abonnement'!L:L) + SUM( '3.3 Forbrugstariffer og effekt'!L:L) + SUM( '3.4 Tidsdifferentieret tarif'!L:L) + SUM('3.5 Indfødningstarif'!L:L)+ SUM( 'Hjælpeark, forbrugsnøgler'!L:L) + SUM( 'Hjælpeark, fall-back-metoden'!L:L )</f>
        <v>0</v>
      </c>
    </row>
    <row r="7" spans="1:29" ht="15" customHeight="1">
      <c r="F7" s="75" t="s">
        <v>236</v>
      </c>
      <c r="G7" s="27"/>
      <c r="H7" s="27"/>
      <c r="I7" s="329">
        <f xml:space="preserve"> COUNTIF( O41:V41, "&gt;10%" )</f>
        <v>0</v>
      </c>
    </row>
    <row r="8" spans="1:29" ht="15" customHeight="1">
      <c r="L8" s="484" t="str">
        <f xml:space="preserve"> Header.Labels</f>
        <v>Checks</v>
      </c>
      <c r="M8" s="484"/>
    </row>
    <row r="9" spans="1:29" ht="5.0999999999999996" customHeight="1">
      <c r="E9" s="14"/>
      <c r="F9" s="28"/>
      <c r="G9" s="28"/>
      <c r="H9" s="28"/>
      <c r="I9" s="28"/>
      <c r="J9" s="28"/>
      <c r="L9" s="485"/>
      <c r="M9" s="473"/>
      <c r="N9" s="28"/>
      <c r="O9" s="28"/>
      <c r="P9" s="28"/>
      <c r="Q9" s="28"/>
    </row>
    <row r="10" spans="1:29"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1:29" s="15" customFormat="1" ht="15" customHeight="1">
      <c r="A11" s="1"/>
      <c r="C11" s="16"/>
      <c r="D11" s="17"/>
      <c r="F11" s="1"/>
      <c r="K11" s="19"/>
    </row>
    <row r="12" spans="1:29" s="475" customFormat="1" ht="15" customHeight="1">
      <c r="B12" s="479" t="str">
        <f xml:space="preserve"> COUNTA(B$10:B11) &amp; ") Oversigt over hoveddata"</f>
        <v>1) Oversigt over hoveddata</v>
      </c>
      <c r="C12" s="477"/>
      <c r="D12" s="478"/>
      <c r="K12" s="472"/>
    </row>
    <row r="14" spans="1:29" ht="15" customHeight="1">
      <c r="D14" s="4" t="s">
        <v>573</v>
      </c>
      <c r="W14" s="89" t="s">
        <v>16</v>
      </c>
      <c r="AC14" s="4"/>
    </row>
    <row r="15" spans="1:29" s="4" customFormat="1" ht="15" customHeight="1">
      <c r="C15" s="2"/>
      <c r="D15" s="123" t="s">
        <v>654</v>
      </c>
      <c r="E15" s="15"/>
      <c r="F15" s="15"/>
      <c r="G15" s="15"/>
      <c r="H15" s="15"/>
      <c r="I15" s="15"/>
      <c r="J15" s="15"/>
      <c r="K15" s="19" t="str">
        <f xml:space="preserve"> Model.Units2</f>
        <v>kWh</v>
      </c>
      <c r="L15" s="123"/>
      <c r="M15" s="15"/>
      <c r="N15" s="15"/>
      <c r="O15" s="15">
        <f>'2.3 Selskabsspecifikke input'!O305</f>
        <v>0</v>
      </c>
      <c r="P15" s="15">
        <f>'2.3 Selskabsspecifikke input'!P305</f>
        <v>0</v>
      </c>
      <c r="Q15" s="274"/>
      <c r="R15" s="15">
        <f>'2.3 Selskabsspecifikke input'!R305</f>
        <v>0</v>
      </c>
      <c r="S15" s="15">
        <f>'2.3 Selskabsspecifikke input'!S305</f>
        <v>0</v>
      </c>
      <c r="T15" s="15">
        <f>'2.3 Selskabsspecifikke input'!T305</f>
        <v>0</v>
      </c>
      <c r="U15" s="15">
        <f>'2.3 Selskabsspecifikke input'!U305</f>
        <v>0</v>
      </c>
      <c r="V15" s="15">
        <f>'2.3 Selskabsspecifikke input'!V305</f>
        <v>0</v>
      </c>
      <c r="W15" s="18">
        <f xml:space="preserve"> SUM( O15:V15 )</f>
        <v>0</v>
      </c>
    </row>
    <row r="16" spans="1:29" ht="15" customHeight="1">
      <c r="C16" s="20"/>
      <c r="D16" s="85" t="s">
        <v>658</v>
      </c>
      <c r="K16" s="5" t="str">
        <f xml:space="preserve"> Model.Units2</f>
        <v>kWh</v>
      </c>
      <c r="L16" s="85"/>
      <c r="O16" s="1">
        <f>'2.3 Selskabsspecifikke input'!O307</f>
        <v>0</v>
      </c>
      <c r="P16" s="1">
        <f>'2.3 Selskabsspecifikke input'!P307</f>
        <v>0</v>
      </c>
      <c r="Q16" s="1">
        <f>'2.3 Selskabsspecifikke input'!Q307</f>
        <v>0</v>
      </c>
      <c r="R16" s="1">
        <f>'2.3 Selskabsspecifikke input'!R307</f>
        <v>0</v>
      </c>
      <c r="S16" s="1">
        <f>'2.3 Selskabsspecifikke input'!S307</f>
        <v>0</v>
      </c>
      <c r="T16" s="1">
        <f>'2.3 Selskabsspecifikke input'!T307</f>
        <v>0</v>
      </c>
      <c r="U16" s="1">
        <f>'2.3 Selskabsspecifikke input'!U307</f>
        <v>0</v>
      </c>
      <c r="V16" s="1">
        <f>'2.3 Selskabsspecifikke input'!V307</f>
        <v>0</v>
      </c>
      <c r="W16" s="4">
        <f t="shared" ref="W16" si="0" xml:space="preserve"> SUM( O16:V16 )</f>
        <v>0</v>
      </c>
    </row>
    <row r="17" spans="3:23" ht="15" customHeight="1">
      <c r="C17" s="20"/>
      <c r="D17" s="105" t="s">
        <v>655</v>
      </c>
      <c r="E17" s="186"/>
      <c r="F17" s="186"/>
      <c r="G17" s="186"/>
      <c r="H17" s="186"/>
      <c r="I17" s="186"/>
      <c r="J17" s="186"/>
      <c r="K17" s="187" t="str">
        <f xml:space="preserve"> Model.Units2</f>
        <v>kWh</v>
      </c>
      <c r="L17" s="105"/>
      <c r="M17" s="186"/>
      <c r="N17" s="186"/>
      <c r="O17" s="186">
        <f>'2.3 Selskabsspecifikke input'!O306</f>
        <v>0</v>
      </c>
      <c r="P17" s="186">
        <f>'2.3 Selskabsspecifikke input'!P306</f>
        <v>0</v>
      </c>
      <c r="Q17" s="388"/>
      <c r="R17" s="186">
        <f>'2.3 Selskabsspecifikke input'!R306</f>
        <v>0</v>
      </c>
      <c r="S17" s="186">
        <f>'2.3 Selskabsspecifikke input'!S306</f>
        <v>0</v>
      </c>
      <c r="T17" s="186">
        <f>'2.3 Selskabsspecifikke input'!T306</f>
        <v>0</v>
      </c>
      <c r="U17" s="186">
        <f>'2.3 Selskabsspecifikke input'!U306</f>
        <v>0</v>
      </c>
      <c r="V17" s="186">
        <f>'2.3 Selskabsspecifikke input'!V306</f>
        <v>0</v>
      </c>
      <c r="W17" s="186">
        <f xml:space="preserve"> SUM( O17:V17 )</f>
        <v>0</v>
      </c>
    </row>
    <row r="19" spans="3:23" ht="15" customHeight="1">
      <c r="D19" s="4" t="s">
        <v>307</v>
      </c>
      <c r="W19" s="185" t="s">
        <v>16</v>
      </c>
    </row>
    <row r="20" spans="3:23" ht="15" customHeight="1">
      <c r="D20" s="33" t="s">
        <v>307</v>
      </c>
      <c r="E20" s="33"/>
      <c r="F20" s="33"/>
      <c r="G20" s="33"/>
      <c r="H20" s="33"/>
      <c r="I20" s="33"/>
      <c r="J20" s="33"/>
      <c r="K20" s="34" t="str">
        <f xml:space="preserve"> Model.Units</f>
        <v>DKKt</v>
      </c>
      <c r="L20" s="33"/>
      <c r="M20" s="33"/>
      <c r="N20" s="33"/>
      <c r="O20" s="33">
        <f>'3.5 Indfødningstarif'!O799</f>
        <v>0</v>
      </c>
      <c r="P20" s="33">
        <f>'3.5 Indfødningstarif'!P799</f>
        <v>0</v>
      </c>
      <c r="Q20" s="271"/>
      <c r="R20" s="33">
        <f>'3.5 Indfødningstarif'!R799</f>
        <v>0</v>
      </c>
      <c r="S20" s="33">
        <f>'3.5 Indfødningstarif'!S799</f>
        <v>0</v>
      </c>
      <c r="T20" s="33">
        <f>'3.5 Indfødningstarif'!T799</f>
        <v>0</v>
      </c>
      <c r="U20" s="33">
        <f>'3.5 Indfødningstarif'!U799</f>
        <v>0</v>
      </c>
      <c r="V20" s="33">
        <f>'3.5 Indfødningstarif'!V799</f>
        <v>0</v>
      </c>
      <c r="W20" s="186">
        <f>SUM(O20:V20)</f>
        <v>0</v>
      </c>
    </row>
    <row r="21" spans="3:23" ht="15" customHeight="1">
      <c r="D21" s="4"/>
      <c r="E21" s="4"/>
      <c r="F21" s="4"/>
      <c r="G21" s="4"/>
      <c r="H21" s="4"/>
      <c r="I21" s="4"/>
      <c r="J21" s="4"/>
      <c r="K21" s="78"/>
      <c r="L21" s="4"/>
      <c r="M21" s="4"/>
      <c r="N21" s="4"/>
      <c r="O21" s="4"/>
      <c r="P21" s="4"/>
      <c r="Q21" s="4"/>
      <c r="R21" s="111"/>
      <c r="S21" s="111"/>
      <c r="T21" s="111"/>
      <c r="U21" s="111"/>
      <c r="V21" s="111"/>
      <c r="W21" s="111"/>
    </row>
    <row r="22" spans="3:23" ht="15" customHeight="1">
      <c r="D22" s="4" t="s">
        <v>42</v>
      </c>
      <c r="W22" s="185"/>
    </row>
    <row r="23" spans="3:23" ht="15" customHeight="1">
      <c r="D23" s="33" t="s">
        <v>585</v>
      </c>
      <c r="E23" s="33"/>
      <c r="F23" s="33"/>
      <c r="G23" s="33"/>
      <c r="H23" s="33"/>
      <c r="I23" s="33"/>
      <c r="J23" s="33"/>
      <c r="K23" s="34" t="s">
        <v>216</v>
      </c>
      <c r="L23" s="33"/>
      <c r="M23" s="33"/>
      <c r="N23" s="33"/>
      <c r="O23" s="183">
        <f>'3.5 Indfødningstarif'!O796</f>
        <v>0</v>
      </c>
      <c r="P23" s="183">
        <f>'3.5 Indfødningstarif'!P796</f>
        <v>0</v>
      </c>
      <c r="Q23" s="271"/>
      <c r="R23" s="183">
        <f>'3.5 Indfødningstarif'!R796</f>
        <v>0</v>
      </c>
      <c r="S23" s="183">
        <f>'3.5 Indfødningstarif'!S796</f>
        <v>0</v>
      </c>
      <c r="T23" s="183">
        <f>'3.5 Indfødningstarif'!T796</f>
        <v>0</v>
      </c>
      <c r="U23" s="183">
        <f>'3.5 Indfødningstarif'!U796</f>
        <v>0</v>
      </c>
      <c r="V23" s="183">
        <f>'3.5 Indfødningstarif'!V796</f>
        <v>0</v>
      </c>
      <c r="W23" s="186"/>
    </row>
    <row r="24" spans="3:23" ht="15" customHeight="1">
      <c r="D24" s="1"/>
      <c r="O24" s="121"/>
      <c r="P24" s="121"/>
      <c r="Q24" s="121"/>
      <c r="R24" s="121"/>
      <c r="S24" s="121"/>
      <c r="T24" s="121"/>
      <c r="U24" s="121"/>
      <c r="V24" s="121"/>
      <c r="W24" s="4"/>
    </row>
    <row r="25" spans="3:23" ht="15" customHeight="1">
      <c r="D25" s="1"/>
      <c r="O25" s="121"/>
      <c r="P25" s="121"/>
      <c r="Q25" s="121"/>
      <c r="R25" s="121"/>
      <c r="S25" s="121"/>
      <c r="T25" s="121"/>
      <c r="U25" s="121"/>
      <c r="V25" s="121"/>
      <c r="W25" s="4"/>
    </row>
    <row r="26" spans="3:23" ht="15" customHeight="1">
      <c r="D26" s="1"/>
      <c r="O26" s="121"/>
      <c r="P26" s="121"/>
      <c r="Q26" s="121"/>
      <c r="R26" s="121"/>
      <c r="S26" s="121"/>
      <c r="T26" s="121"/>
      <c r="U26" s="121"/>
      <c r="V26" s="121"/>
      <c r="W26" s="4"/>
    </row>
    <row r="27" spans="3:23" ht="15" customHeight="1">
      <c r="D27" s="1"/>
      <c r="O27" s="121"/>
      <c r="P27" s="121"/>
      <c r="Q27" s="121"/>
      <c r="R27" s="121"/>
      <c r="S27" s="121"/>
      <c r="T27" s="121"/>
      <c r="U27" s="121"/>
      <c r="V27" s="121"/>
      <c r="W27" s="4"/>
    </row>
    <row r="28" spans="3:23" ht="15" customHeight="1">
      <c r="D28" s="1"/>
      <c r="O28" s="121"/>
      <c r="P28" s="121"/>
      <c r="Q28" s="121"/>
      <c r="R28" s="121"/>
      <c r="S28" s="121"/>
      <c r="T28" s="121"/>
      <c r="U28" s="121"/>
      <c r="V28" s="121"/>
      <c r="W28" s="4"/>
    </row>
    <row r="29" spans="3:23" ht="15" customHeight="1">
      <c r="D29" s="1"/>
      <c r="O29" s="121"/>
      <c r="P29" s="121"/>
      <c r="Q29" s="121"/>
      <c r="R29" s="121"/>
      <c r="S29" s="121"/>
      <c r="T29" s="121"/>
      <c r="U29" s="121"/>
      <c r="V29" s="121"/>
      <c r="W29" s="4"/>
    </row>
    <row r="30" spans="3:23" ht="15" customHeight="1">
      <c r="D30" s="1"/>
      <c r="O30" s="121"/>
      <c r="P30" s="121"/>
      <c r="Q30" s="121"/>
      <c r="R30" s="121"/>
      <c r="S30" s="121"/>
      <c r="T30" s="121"/>
      <c r="U30" s="121"/>
      <c r="V30" s="121"/>
      <c r="W30" s="4"/>
    </row>
    <row r="31" spans="3:23" ht="15" customHeight="1">
      <c r="D31" s="1"/>
      <c r="O31" s="121"/>
      <c r="P31" s="121"/>
      <c r="Q31" s="121"/>
      <c r="R31" s="121"/>
      <c r="S31" s="121"/>
      <c r="T31" s="121"/>
      <c r="U31" s="121"/>
      <c r="V31" s="121"/>
      <c r="W31" s="4"/>
    </row>
    <row r="32" spans="3:23" ht="15" customHeight="1">
      <c r="D32" s="1"/>
      <c r="O32" s="121"/>
      <c r="P32" s="121"/>
      <c r="Q32" s="121"/>
      <c r="R32" s="121"/>
      <c r="S32" s="121"/>
      <c r="T32" s="121"/>
      <c r="U32" s="121"/>
      <c r="V32" s="121"/>
      <c r="W32" s="4"/>
    </row>
    <row r="33" spans="2:40" ht="15" customHeight="1">
      <c r="D33" s="1"/>
      <c r="O33" s="121"/>
      <c r="P33" s="121"/>
      <c r="Q33" s="121"/>
      <c r="R33" s="121"/>
      <c r="S33" s="121"/>
      <c r="T33" s="121"/>
      <c r="U33" s="121"/>
      <c r="V33" s="121"/>
      <c r="W33" s="4"/>
    </row>
    <row r="34" spans="2:40" ht="15" customHeight="1">
      <c r="D34" s="1"/>
      <c r="O34" s="121"/>
      <c r="P34" s="121"/>
      <c r="Q34" s="121"/>
      <c r="R34" s="121"/>
      <c r="S34" s="121"/>
      <c r="T34" s="121"/>
      <c r="U34" s="121"/>
      <c r="V34" s="121"/>
      <c r="W34" s="4"/>
    </row>
    <row r="35" spans="2:40" ht="15" customHeight="1">
      <c r="D35" s="1"/>
      <c r="O35" s="121"/>
      <c r="P35" s="121"/>
      <c r="Q35" s="121"/>
      <c r="R35" s="121"/>
      <c r="S35" s="121"/>
      <c r="T35" s="121"/>
      <c r="U35" s="121"/>
      <c r="V35" s="121"/>
      <c r="W35" s="4"/>
    </row>
    <row r="36" spans="2:40" ht="15" customHeight="1">
      <c r="D36" s="1"/>
      <c r="O36" s="121"/>
      <c r="P36" s="121"/>
      <c r="Q36" s="121"/>
      <c r="R36" s="121"/>
      <c r="S36" s="121"/>
      <c r="T36" s="121"/>
      <c r="U36" s="121"/>
      <c r="V36" s="121"/>
      <c r="W36" s="4"/>
    </row>
    <row r="37" spans="2:40" s="475" customFormat="1" ht="15" customHeight="1">
      <c r="B37" s="479" t="str">
        <f xml:space="preserve"> COUNTA(B$10:B36) &amp; ") Varslingsanalyse"</f>
        <v>2) Varslingsanalyse</v>
      </c>
      <c r="C37" s="477"/>
      <c r="D37" s="478"/>
      <c r="K37" s="472"/>
    </row>
    <row r="38" spans="2:40" ht="15" customHeight="1">
      <c r="D38" s="1"/>
      <c r="O38" s="121"/>
      <c r="P38" s="121"/>
      <c r="Q38" s="121"/>
      <c r="R38" s="121"/>
      <c r="S38" s="121"/>
      <c r="T38" s="121"/>
      <c r="U38" s="121"/>
      <c r="V38" s="121"/>
      <c r="W38" s="4"/>
    </row>
    <row r="39" spans="2:40" ht="14.25" customHeight="1">
      <c r="D39" s="221"/>
      <c r="E39" s="222"/>
      <c r="F39" s="222"/>
      <c r="G39" s="222"/>
      <c r="H39" s="222"/>
      <c r="I39" s="222"/>
      <c r="J39" s="222"/>
      <c r="K39" s="223"/>
      <c r="L39" s="222"/>
      <c r="M39" s="222"/>
      <c r="N39" s="222"/>
      <c r="O39" s="655" t="s">
        <v>233</v>
      </c>
      <c r="P39" s="655"/>
      <c r="Q39" s="655"/>
      <c r="R39" s="655"/>
      <c r="S39" s="655"/>
      <c r="T39" s="655"/>
      <c r="U39" s="655"/>
      <c r="V39" s="655"/>
    </row>
    <row r="40" spans="2:40" ht="15" customHeight="1">
      <c r="D40" s="4" t="s">
        <v>585</v>
      </c>
      <c r="R40" s="194"/>
      <c r="S40" s="194"/>
      <c r="T40" s="194"/>
      <c r="U40" s="194"/>
      <c r="V40" s="194"/>
    </row>
    <row r="41" spans="2:40" ht="15" customHeight="1">
      <c r="D41" s="33" t="s">
        <v>585</v>
      </c>
      <c r="E41" s="33"/>
      <c r="F41" s="33"/>
      <c r="G41" s="33"/>
      <c r="H41" s="33"/>
      <c r="I41" s="33"/>
      <c r="J41" s="33"/>
      <c r="K41" s="34" t="s">
        <v>216</v>
      </c>
      <c r="L41" s="90"/>
      <c r="M41" s="33"/>
      <c r="N41" s="33"/>
      <c r="O41" s="633">
        <f xml:space="preserve"> IF( AND( O49 = 0, O45 &gt; 0 ), "na.", IF( AND( O49 = 0, O45 = 0 ), 0, ( O45 - O49 ) / O49 ) )</f>
        <v>0</v>
      </c>
      <c r="P41" s="633">
        <f xml:space="preserve"> IF( AND( P49 = 0, P45 &gt; 0 ), "na.", IF( AND( P49 = 0, P45 = 0 ), 0, ( P45 - P49 ) / P49 ) )</f>
        <v>0</v>
      </c>
      <c r="Q41" s="633"/>
      <c r="R41" s="633">
        <f xml:space="preserve"> IF( AND( R49 = 0, R45 &gt; 0 ), "na.", IF( AND( R49 = 0, R45 = 0 ), 0, ( R45 - R49 ) / R49 ) )</f>
        <v>0</v>
      </c>
      <c r="S41" s="633">
        <f xml:space="preserve"> IF( AND( S49 = 0, S45 &gt; 0 ), "na.", IF( AND( S49 = 0, S45 = 0 ), 0, ( S45 - S49 ) / S49 ) )</f>
        <v>0</v>
      </c>
      <c r="T41" s="633">
        <f xml:space="preserve"> IF( AND( T49 = 0, T45 &gt; 0 ), "na.", IF( AND( T49 = 0, T45 = 0 ), 0, ( T45 - T49 ) / T49 ) )</f>
        <v>0</v>
      </c>
      <c r="U41" s="633">
        <f xml:space="preserve"> IF( AND( U49 = 0, U45 &gt; 0 ), "na.", IF( AND( U49 = 0, U45 = 0 ), 0, ( U45 - U49 ) / U49 ) )</f>
        <v>0</v>
      </c>
      <c r="V41" s="633">
        <f xml:space="preserve"> IF( AND( V49 = 0, V45 &gt; 0 ), "na.", IF( AND( V49 = 0, V45 = 0 ), 0, ( V45 - V49 ) / V49 ) )</f>
        <v>0</v>
      </c>
    </row>
    <row r="42" spans="2:40" ht="15" customHeight="1">
      <c r="D42" s="1"/>
      <c r="L42" s="85"/>
      <c r="O42" s="637"/>
      <c r="P42" s="637"/>
      <c r="Q42" s="202"/>
      <c r="R42" s="637"/>
      <c r="S42" s="637"/>
      <c r="T42" s="637"/>
      <c r="U42" s="637"/>
      <c r="V42" s="637"/>
      <c r="X42" s="121"/>
      <c r="AJ42" s="121"/>
      <c r="AK42" s="121"/>
      <c r="AL42" s="121"/>
      <c r="AM42" s="121"/>
      <c r="AN42" s="121"/>
    </row>
    <row r="43" spans="2:40" ht="15" customHeight="1">
      <c r="D43" s="1"/>
      <c r="L43" s="85"/>
      <c r="O43" s="655" t="s">
        <v>231</v>
      </c>
      <c r="P43" s="655"/>
      <c r="Q43" s="655"/>
      <c r="R43" s="655"/>
      <c r="S43" s="655"/>
      <c r="T43" s="655"/>
      <c r="U43" s="655"/>
      <c r="V43" s="655"/>
      <c r="X43" s="121"/>
      <c r="AJ43" s="121"/>
      <c r="AK43" s="121"/>
      <c r="AL43" s="121"/>
      <c r="AM43" s="121"/>
      <c r="AN43" s="121"/>
    </row>
    <row r="44" spans="2:40" ht="15" customHeight="1">
      <c r="D44" s="1"/>
      <c r="L44" s="85"/>
      <c r="X44" s="121"/>
      <c r="AJ44" s="121"/>
      <c r="AK44" s="121"/>
      <c r="AL44" s="121"/>
      <c r="AM44" s="121"/>
      <c r="AN44" s="121"/>
    </row>
    <row r="45" spans="2:40" ht="15" customHeight="1">
      <c r="D45" s="33" t="s">
        <v>585</v>
      </c>
      <c r="E45" s="33"/>
      <c r="F45" s="33"/>
      <c r="G45" s="33"/>
      <c r="H45" s="33"/>
      <c r="I45" s="33"/>
      <c r="J45" s="33"/>
      <c r="K45" s="34" t="s">
        <v>216</v>
      </c>
      <c r="L45" s="90"/>
      <c r="M45" s="33"/>
      <c r="N45" s="33"/>
      <c r="O45" s="183">
        <f>'3.5 Indfødningstarif'!O796</f>
        <v>0</v>
      </c>
      <c r="P45" s="183">
        <f>'3.5 Indfødningstarif'!P796</f>
        <v>0</v>
      </c>
      <c r="Q45" s="271"/>
      <c r="R45" s="183">
        <f>'3.5 Indfødningstarif'!R796</f>
        <v>0</v>
      </c>
      <c r="S45" s="183">
        <f>'3.5 Indfødningstarif'!S796</f>
        <v>0</v>
      </c>
      <c r="T45" s="183">
        <f>'3.5 Indfødningstarif'!T796</f>
        <v>0</v>
      </c>
      <c r="U45" s="183">
        <f>'3.5 Indfødningstarif'!U796</f>
        <v>0</v>
      </c>
      <c r="V45" s="183">
        <f>'3.5 Indfødningstarif'!V796</f>
        <v>0</v>
      </c>
      <c r="X45" s="121"/>
      <c r="AJ45" s="121"/>
      <c r="AK45" s="121"/>
      <c r="AL45" s="121"/>
      <c r="AM45" s="121"/>
      <c r="AN45" s="121"/>
    </row>
    <row r="46" spans="2:40" ht="15" customHeight="1">
      <c r="D46" s="1"/>
      <c r="L46" s="85"/>
      <c r="O46" s="637"/>
      <c r="P46" s="637"/>
      <c r="Q46" s="202"/>
      <c r="R46" s="637"/>
      <c r="S46" s="637"/>
      <c r="T46" s="637"/>
      <c r="U46" s="637"/>
      <c r="V46" s="637"/>
      <c r="X46" s="121"/>
      <c r="AJ46" s="121"/>
      <c r="AK46" s="121"/>
      <c r="AL46" s="121"/>
      <c r="AM46" s="121"/>
      <c r="AN46" s="121"/>
    </row>
    <row r="47" spans="2:40" ht="15" customHeight="1">
      <c r="D47" s="1"/>
      <c r="L47" s="85"/>
      <c r="O47" s="655" t="s">
        <v>232</v>
      </c>
      <c r="P47" s="655"/>
      <c r="Q47" s="655"/>
      <c r="R47" s="655"/>
      <c r="S47" s="655"/>
      <c r="T47" s="655"/>
      <c r="U47" s="655"/>
      <c r="V47" s="655"/>
      <c r="X47" s="121"/>
      <c r="AJ47" s="121"/>
      <c r="AK47" s="121"/>
      <c r="AL47" s="121"/>
      <c r="AM47" s="121"/>
      <c r="AN47" s="121"/>
    </row>
    <row r="48" spans="2:40" ht="15" customHeight="1">
      <c r="D48" s="1"/>
      <c r="L48" s="85"/>
      <c r="X48" s="121"/>
      <c r="AJ48" s="121"/>
      <c r="AK48" s="121"/>
      <c r="AL48" s="121"/>
      <c r="AM48" s="121"/>
      <c r="AN48" s="121"/>
    </row>
    <row r="49" spans="2:40" ht="15" customHeight="1">
      <c r="D49" s="33" t="s">
        <v>585</v>
      </c>
      <c r="E49" s="33"/>
      <c r="F49" s="33"/>
      <c r="G49" s="33"/>
      <c r="H49" s="33"/>
      <c r="I49" s="33"/>
      <c r="J49" s="33"/>
      <c r="K49" s="34" t="s">
        <v>216</v>
      </c>
      <c r="L49" s="90"/>
      <c r="M49" s="33"/>
      <c r="N49" s="33"/>
      <c r="O49" s="183">
        <f>'2.3 Selskabsspecifikke input'!O344</f>
        <v>0</v>
      </c>
      <c r="P49" s="183">
        <f>'2.3 Selskabsspecifikke input'!P344</f>
        <v>0</v>
      </c>
      <c r="Q49" s="271"/>
      <c r="R49" s="183">
        <f>'2.3 Selskabsspecifikke input'!R344</f>
        <v>0</v>
      </c>
      <c r="S49" s="183">
        <f>'2.3 Selskabsspecifikke input'!S344</f>
        <v>0</v>
      </c>
      <c r="T49" s="183">
        <f>'2.3 Selskabsspecifikke input'!T344</f>
        <v>0</v>
      </c>
      <c r="U49" s="183">
        <f>'2.3 Selskabsspecifikke input'!U344</f>
        <v>0</v>
      </c>
      <c r="V49" s="183">
        <f>'2.3 Selskabsspecifikke input'!V344</f>
        <v>0</v>
      </c>
      <c r="X49" s="121"/>
      <c r="AJ49" s="121"/>
      <c r="AK49" s="121"/>
      <c r="AL49" s="121"/>
      <c r="AM49" s="121"/>
      <c r="AN49" s="121"/>
    </row>
    <row r="50" spans="2:40" ht="15" customHeight="1">
      <c r="D50" s="1"/>
      <c r="L50" s="85"/>
      <c r="O50" s="637"/>
      <c r="P50" s="637"/>
      <c r="Q50" s="202"/>
      <c r="R50" s="637"/>
      <c r="S50" s="637"/>
      <c r="T50" s="637"/>
      <c r="U50" s="637"/>
      <c r="V50" s="637"/>
      <c r="X50" s="121"/>
      <c r="AJ50" s="121"/>
      <c r="AK50" s="121"/>
      <c r="AL50" s="121"/>
      <c r="AM50" s="121"/>
      <c r="AN50" s="121"/>
    </row>
    <row r="64" spans="2:40" s="475" customFormat="1" ht="15" customHeight="1">
      <c r="B64" s="479" t="s">
        <v>104</v>
      </c>
      <c r="C64" s="477"/>
      <c r="D64" s="478"/>
      <c r="K64" s="472"/>
    </row>
  </sheetData>
  <sheetProtection sheet="1" objects="1" scenarios="1"/>
  <mergeCells count="3">
    <mergeCell ref="O39:V39"/>
    <mergeCell ref="O43:V43"/>
    <mergeCell ref="O47:V47"/>
  </mergeCells>
  <conditionalFormatting sqref="I4:I5 I7">
    <cfRule type="cellIs" dxfId="744" priority="27" operator="between">
      <formula>-ErrorTolerance</formula>
      <formula>ErrorTolerance</formula>
    </cfRule>
  </conditionalFormatting>
  <conditionalFormatting sqref="J2:Q3 B2:E3">
    <cfRule type="expression" dxfId="743" priority="28">
      <formula>$I$4&lt;ErrorTolerance</formula>
    </cfRule>
  </conditionalFormatting>
  <conditionalFormatting sqref="B3">
    <cfRule type="expression" dxfId="742" priority="29">
      <formula>$I$5&gt;=ErrorTolerance</formula>
    </cfRule>
  </conditionalFormatting>
  <conditionalFormatting sqref="I6">
    <cfRule type="cellIs" dxfId="741" priority="26" operator="between">
      <formula>-ErrorTolerance</formula>
      <formula>ErrorTolerance</formula>
    </cfRule>
  </conditionalFormatting>
  <conditionalFormatting sqref="F2">
    <cfRule type="expression" dxfId="740" priority="23">
      <formula>Model.Navigation.View=No</formula>
    </cfRule>
  </conditionalFormatting>
  <conditionalFormatting sqref="F2">
    <cfRule type="expression" dxfId="739" priority="22">
      <formula>Model.Navigation.View=No</formula>
    </cfRule>
  </conditionalFormatting>
  <conditionalFormatting sqref="H2">
    <cfRule type="expression" dxfId="738" priority="21">
      <formula>Model.Navigation.View=No</formula>
    </cfRule>
  </conditionalFormatting>
  <conditionalFormatting sqref="H2">
    <cfRule type="expression" dxfId="737" priority="20">
      <formula>Model.Navigation.View=No</formula>
    </cfRule>
  </conditionalFormatting>
  <conditionalFormatting sqref="I2">
    <cfRule type="expression" dxfId="736" priority="19">
      <formula>Model.Navigation.View=No</formula>
    </cfRule>
  </conditionalFormatting>
  <conditionalFormatting sqref="I2">
    <cfRule type="expression" dxfId="735" priority="18">
      <formula>Model.Navigation.View=No</formula>
    </cfRule>
  </conditionalFormatting>
  <conditionalFormatting sqref="L15:L17">
    <cfRule type="cellIs" dxfId="734" priority="11" operator="greaterThan">
      <formula>0</formula>
    </cfRule>
  </conditionalFormatting>
  <conditionalFormatting sqref="G2">
    <cfRule type="expression" dxfId="733" priority="5">
      <formula>Model.Navigation.View=No</formula>
    </cfRule>
  </conditionalFormatting>
  <conditionalFormatting sqref="G2">
    <cfRule type="expression" dxfId="732" priority="4">
      <formula>Model.Navigation.View=No</formula>
    </cfRule>
  </conditionalFormatting>
  <conditionalFormatting sqref="O41:V41">
    <cfRule type="cellIs" dxfId="731" priority="2" operator="greaterThanOrEqual">
      <formula>0.1</formula>
    </cfRule>
  </conditionalFormatting>
  <conditionalFormatting sqref="O41:V41">
    <cfRule type="containsText" dxfId="730" priority="1" operator="containsText" text="na.">
      <formula>NOT(ISERROR(SEARCH("na.",O41)))</formula>
    </cfRule>
  </conditionalFormatting>
  <hyperlinks>
    <hyperlink ref="H2" location="'2.3 Selskabsspecifikke input'!B2" tooltip="Gå til selskabsspecifikke input" display="'2.3 Selskabsspecifikke input'!B2" xr:uid="{EBD40F87-59EB-42B8-83C8-76E6DFA3F66B}"/>
    <hyperlink ref="F2" location="Modeloverblik!B2" tooltip="Gå til modelbeskrivelse" display="Modeloverblik!B2" xr:uid="{1C35F21D-25F2-48AC-A71F-829336950C60}"/>
    <hyperlink ref="I2" location="'4.1 Fejl- og kontroloversigt'!B2" tooltip="Gå til fejl- og kontrolchecks" display="'4.1 Fejl- og kontroloversigt'!B2" xr:uid="{3576499F-BDD6-4AFC-89DD-71199E441673}"/>
    <hyperlink ref="G2" location="'1.5 Indfødningstarif'!Print_Titles" tooltip="Gå til toppen af arket" display="'1.5 Indfødningstarif'!Print_Titles" xr:uid="{B6E6030C-CA5B-4EF7-B053-912E2337A71E}"/>
  </hyperlinks>
  <pageMargins left="0.70866141732283472" right="0.70866141732283472" top="0.74803149606299213" bottom="0.74803149606299213" header="0.31496062992125984" footer="0.31496062992125984"/>
  <pageSetup paperSize="9" scale="45" fitToHeight="0" orientation="landscape" r:id="rId1"/>
  <headerFooter scaleWithDoc="0">
    <oddHeader>&amp;L&amp;"Arial,Bold"&amp;8Green Power Denmark | Regnearksmodel - Tarifmodel 3.0 og producentbetaling</oddHeader>
    <oddFooter>&amp;LArk: &amp;A&amp;RSide &amp;P af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056E1-A79A-4BDD-AC7F-91BFF37C61D8}">
  <sheetPr>
    <tabColor rgb="FF222221"/>
  </sheetPr>
  <dimension ref="A1:O11"/>
  <sheetViews>
    <sheetView showGridLines="0" zoomScale="85" zoomScaleNormal="85" workbookViewId="0"/>
  </sheetViews>
  <sheetFormatPr defaultColWidth="0" defaultRowHeight="12" zeroHeight="1"/>
  <cols>
    <col min="1" max="2" width="4.1640625" customWidth="1"/>
    <col min="3" max="13" width="9.1640625" customWidth="1"/>
    <col min="14" max="15" width="4.1640625" customWidth="1"/>
    <col min="16" max="16384" width="9.1640625" hidden="1"/>
  </cols>
  <sheetData>
    <row r="1" spans="2:14"/>
    <row r="2" spans="2:14">
      <c r="B2" s="55"/>
      <c r="C2" s="56"/>
      <c r="D2" s="56"/>
      <c r="E2" s="56"/>
      <c r="F2" s="56"/>
      <c r="G2" s="56"/>
      <c r="H2" s="56"/>
      <c r="I2" s="56"/>
      <c r="J2" s="56"/>
      <c r="K2" s="56"/>
      <c r="L2" s="56"/>
      <c r="M2" s="56"/>
      <c r="N2" s="57"/>
    </row>
    <row r="3" spans="2:14"/>
    <row r="4" spans="2:14"/>
    <row r="5" spans="2:14"/>
    <row r="6" spans="2:14" ht="35.25">
      <c r="C6" s="58" t="s">
        <v>336</v>
      </c>
    </row>
    <row r="7" spans="2:14"/>
    <row r="8" spans="2:14"/>
    <row r="9" spans="2:14"/>
    <row r="10" spans="2:14">
      <c r="B10" s="59"/>
      <c r="C10" s="60"/>
      <c r="D10" s="60"/>
      <c r="E10" s="60"/>
      <c r="F10" s="60"/>
      <c r="G10" s="60"/>
      <c r="H10" s="60"/>
      <c r="I10" s="60"/>
      <c r="J10" s="60"/>
      <c r="K10" s="60"/>
      <c r="L10" s="60"/>
      <c r="M10" s="60"/>
      <c r="N10" s="61"/>
    </row>
    <row r="11" spans="2:14"/>
  </sheetData>
  <sheetProtection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1D4F3-FB1F-47B5-AC0E-B4D9CD72753A}">
  <sheetPr codeName="Sheet18">
    <tabColor rgb="FFCFCFCF"/>
    <outlinePr summaryBelow="0"/>
    <pageSetUpPr fitToPage="1"/>
  </sheetPr>
  <dimension ref="A1:Z149"/>
  <sheetViews>
    <sheetView showGridLines="0" zoomScale="85" zoomScaleNormal="85" workbookViewId="0">
      <pane xSplit="14" ySplit="10" topLeftCell="O11" activePane="bottomRight" state="frozen"/>
      <selection pane="topRight" activeCell="O1" sqref="O1"/>
      <selection pane="bottomLeft" activeCell="A11" sqref="A11"/>
      <selection pane="bottomRight" activeCell="N21" sqref="N21"/>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23" width="18.6640625" style="1" customWidth="1"/>
    <col min="24" max="26" width="0" style="1" hidden="1" customWidth="1"/>
    <col min="27" max="16384" width="16.6640625" style="1" hidden="1"/>
  </cols>
  <sheetData>
    <row r="1" spans="2:23" ht="4.9000000000000004" customHeight="1"/>
    <row r="2" spans="2:23" ht="19.899999999999999" customHeight="1">
      <c r="B2" s="6" t="str">
        <f ca="1" xml:space="preserve"> MID( CELL("filename", B2), FIND("]", CELL("filename",B2) ) + 1, Model.MaxChars)</f>
        <v>2.1 Model setup</v>
      </c>
      <c r="C2" s="7"/>
      <c r="D2" s="8"/>
      <c r="E2" s="9"/>
      <c r="F2" s="224" t="s">
        <v>0</v>
      </c>
      <c r="G2" s="224" t="s">
        <v>1</v>
      </c>
      <c r="H2" s="224" t="s">
        <v>309</v>
      </c>
      <c r="I2" s="224" t="s">
        <v>360</v>
      </c>
      <c r="J2" s="22"/>
      <c r="K2" s="23"/>
      <c r="L2" s="22"/>
      <c r="M2" s="22"/>
      <c r="N2" s="22"/>
      <c r="O2" s="22"/>
      <c r="P2" s="22"/>
      <c r="Q2" s="22"/>
    </row>
    <row r="3" spans="2:23" ht="15" customHeight="1">
      <c r="B3" s="10" t="str">
        <f xml:space="preserve"> N22</f>
        <v xml:space="preserve">Tarifmodel 3.0 og producentbetaling (V2) </v>
      </c>
      <c r="C3" s="7"/>
      <c r="D3" s="8"/>
      <c r="E3" s="9"/>
      <c r="F3" s="225" t="s">
        <v>2</v>
      </c>
      <c r="G3" s="226"/>
      <c r="H3" s="227"/>
      <c r="I3" s="228"/>
      <c r="J3" s="22"/>
      <c r="K3" s="23"/>
      <c r="L3" s="23"/>
      <c r="M3" s="23"/>
      <c r="N3" s="23"/>
      <c r="O3" s="23"/>
      <c r="P3" s="23"/>
      <c r="Q3" s="23"/>
      <c r="R3" s="11"/>
    </row>
    <row r="4" spans="2:23" ht="15" customHeight="1">
      <c r="F4" s="229" t="s">
        <v>274</v>
      </c>
      <c r="G4" s="230"/>
      <c r="H4" s="231"/>
      <c r="I4" s="76"/>
      <c r="L4" s="5"/>
    </row>
    <row r="5" spans="2:23" ht="15" customHeight="1">
      <c r="F5" s="229" t="s">
        <v>275</v>
      </c>
      <c r="G5" s="230"/>
      <c r="H5" s="231"/>
      <c r="I5" s="76"/>
    </row>
    <row r="6" spans="2:23" ht="15" customHeight="1">
      <c r="F6" s="74" t="s">
        <v>276</v>
      </c>
      <c r="G6" s="2"/>
      <c r="I6" s="25">
        <f xml:space="preserve"> SUM( L:L ) + SUM( '1.1 Provenu'!L:L ) + SUM( '1.2 Tarifoversigt'!L:L) + SUM( '1.3 Varslingsanalyse'!L:L) + SUM( '1.4 Hoveddata'!L:L) + SUM('2.2 Generelle input'!L:L ) + SUM( '2.3 Selskabsspecifikke input'!L:L) + SUM( '3.1 Opsplitning af forbrug'!L:L) + SUM( '3.2 Abonnement'!L:L) + SUM( '3.3 Forbrugstariffer og effekt'!L:L) + SUM( '3.4 Tidsdifferentieret tarif'!L:L) + SUM('3.5 Indfødningstarif'!L:L)+ SUM( 'Hjælpeark, forbrugsnøgler'!L:L) + SUM( 'Hjælpeark, fall-back-metoden'!L:L )</f>
        <v>0</v>
      </c>
    </row>
    <row r="7" spans="2:23" ht="15" customHeight="1">
      <c r="F7" s="75" t="s">
        <v>236</v>
      </c>
      <c r="G7" s="26"/>
      <c r="H7" s="27"/>
      <c r="I7" s="329">
        <f xml:space="preserve"> '1.3 Varslingsanalyse'!I7</f>
        <v>0</v>
      </c>
    </row>
    <row r="8" spans="2:23" ht="15" customHeight="1">
      <c r="L8" s="484" t="s">
        <v>2</v>
      </c>
      <c r="M8" s="484"/>
    </row>
    <row r="9" spans="2:23" ht="5.0999999999999996" customHeight="1">
      <c r="E9" s="14"/>
      <c r="F9" s="28"/>
      <c r="G9" s="28"/>
      <c r="H9" s="28"/>
      <c r="I9" s="28"/>
      <c r="J9" s="28"/>
      <c r="L9" s="485"/>
      <c r="M9" s="473"/>
      <c r="N9" s="28"/>
      <c r="O9" s="28"/>
      <c r="P9" s="28"/>
      <c r="Q9" s="28"/>
    </row>
    <row r="10" spans="2:23" s="475" customFormat="1" ht="15" customHeight="1">
      <c r="B10" s="479" t="s">
        <v>101</v>
      </c>
      <c r="C10" s="477"/>
      <c r="D10" s="478"/>
      <c r="E10" s="476"/>
      <c r="F10" s="472"/>
      <c r="G10" s="472"/>
      <c r="H10" s="472"/>
      <c r="I10" s="472"/>
      <c r="J10" s="472"/>
      <c r="K10" s="474" t="s">
        <v>102</v>
      </c>
      <c r="L10" s="474" t="s">
        <v>99</v>
      </c>
      <c r="M10" s="474" t="s">
        <v>100</v>
      </c>
      <c r="N10" s="489" t="s">
        <v>103</v>
      </c>
      <c r="O10" s="490" t="str">
        <f xml:space="preserve"> O25</f>
        <v>A-høj+</v>
      </c>
      <c r="P10" s="490" t="str">
        <f xml:space="preserve"> P25</f>
        <v>A-høj+,maske</v>
      </c>
      <c r="Q10" s="490" t="str">
        <f t="shared" ref="Q10:V10" si="0" xml:space="preserve"> Q25</f>
        <v>A0</v>
      </c>
      <c r="R10" s="490" t="str">
        <f t="shared" si="0"/>
        <v>A-høj</v>
      </c>
      <c r="S10" s="490" t="str">
        <f t="shared" si="0"/>
        <v>A-lav</v>
      </c>
      <c r="T10" s="490" t="str">
        <f t="shared" si="0"/>
        <v>B-høj</v>
      </c>
      <c r="U10" s="490" t="str">
        <f t="shared" si="0"/>
        <v>B-lav</v>
      </c>
      <c r="V10" s="490" t="str">
        <f t="shared" si="0"/>
        <v>C</v>
      </c>
      <c r="W10" s="490"/>
    </row>
    <row r="11" spans="2:23" s="15" customFormat="1" ht="15" customHeight="1">
      <c r="C11" s="16"/>
      <c r="D11" s="17"/>
      <c r="F11" s="1"/>
      <c r="K11" s="19"/>
    </row>
    <row r="12" spans="2:23" s="475" customFormat="1" ht="15" customHeight="1">
      <c r="B12" s="479" t="str">
        <f xml:space="preserve"> COUNTA(B$10:B11) &amp; ") Generelle modelindstillinger"</f>
        <v>1) Generelle modelindstillinger</v>
      </c>
      <c r="C12" s="477"/>
      <c r="D12" s="478"/>
      <c r="K12" s="472"/>
    </row>
    <row r="14" spans="2:23" ht="15" customHeight="1">
      <c r="D14" s="4" t="s">
        <v>345</v>
      </c>
    </row>
    <row r="15" spans="2:23" ht="15" customHeight="1">
      <c r="D15" s="33" t="s">
        <v>346</v>
      </c>
      <c r="E15" s="33"/>
      <c r="F15" s="33"/>
      <c r="G15" s="33"/>
      <c r="H15" s="33"/>
      <c r="I15" s="33"/>
      <c r="J15" s="33"/>
      <c r="K15" s="34" t="s">
        <v>8</v>
      </c>
      <c r="L15" s="33"/>
      <c r="M15" s="33"/>
      <c r="N15" s="332" t="s">
        <v>565</v>
      </c>
      <c r="O15" s="384"/>
      <c r="P15" s="384"/>
      <c r="Q15" s="384"/>
      <c r="R15" s="33"/>
      <c r="S15" s="33"/>
      <c r="T15" s="33"/>
      <c r="U15" s="33"/>
      <c r="V15" s="33"/>
      <c r="W15" s="33"/>
    </row>
    <row r="16" spans="2:23" ht="15" customHeight="1">
      <c r="C16" s="1"/>
    </row>
    <row r="17" spans="2:23" ht="15" customHeight="1">
      <c r="D17" s="4" t="s">
        <v>347</v>
      </c>
    </row>
    <row r="18" spans="2:23" ht="15" customHeight="1">
      <c r="D18" s="15" t="s">
        <v>348</v>
      </c>
      <c r="E18" s="15"/>
      <c r="F18" s="49"/>
      <c r="G18" s="49"/>
      <c r="H18" s="49"/>
      <c r="I18" s="49"/>
      <c r="J18" s="49"/>
      <c r="K18" s="19" t="s">
        <v>8</v>
      </c>
      <c r="L18" s="19"/>
      <c r="M18" s="15"/>
      <c r="N18" s="333" t="s">
        <v>558</v>
      </c>
      <c r="O18" s="385"/>
      <c r="P18" s="385"/>
      <c r="Q18" s="385"/>
      <c r="R18" s="15"/>
      <c r="S18" s="15"/>
      <c r="T18" s="15"/>
      <c r="U18" s="15"/>
      <c r="V18" s="15"/>
      <c r="W18" s="15"/>
    </row>
    <row r="19" spans="2:23" ht="15" customHeight="1">
      <c r="D19" s="1" t="s">
        <v>456</v>
      </c>
      <c r="F19" s="50"/>
      <c r="G19" s="50"/>
      <c r="H19" s="50"/>
      <c r="I19" s="50"/>
      <c r="J19" s="50"/>
      <c r="K19" s="5" t="s">
        <v>8</v>
      </c>
      <c r="L19" s="5"/>
      <c r="N19" s="331" t="s">
        <v>7</v>
      </c>
      <c r="O19" s="386"/>
      <c r="P19" s="386"/>
      <c r="Q19" s="386"/>
    </row>
    <row r="20" spans="2:23" ht="15" customHeight="1">
      <c r="D20" s="1" t="s">
        <v>349</v>
      </c>
      <c r="F20" s="50"/>
      <c r="G20" s="50"/>
      <c r="H20" s="50"/>
      <c r="I20" s="50"/>
      <c r="J20" s="50"/>
      <c r="K20" s="5" t="s">
        <v>8</v>
      </c>
      <c r="L20" s="5"/>
      <c r="N20" s="353" t="s">
        <v>24</v>
      </c>
      <c r="O20" s="386"/>
      <c r="P20" s="386"/>
      <c r="Q20" s="386"/>
    </row>
    <row r="21" spans="2:23" ht="15" customHeight="1">
      <c r="D21" s="1" t="s">
        <v>350</v>
      </c>
      <c r="F21" s="50"/>
      <c r="G21" s="50"/>
      <c r="H21" s="50"/>
      <c r="I21" s="50"/>
      <c r="J21" s="50"/>
      <c r="K21" s="5" t="s">
        <v>8</v>
      </c>
      <c r="L21" s="5"/>
      <c r="N21" s="331" t="s">
        <v>687</v>
      </c>
      <c r="O21" s="386"/>
      <c r="P21" s="386"/>
      <c r="Q21" s="386"/>
    </row>
    <row r="22" spans="2:23" ht="15" customHeight="1">
      <c r="D22" s="27" t="s">
        <v>351</v>
      </c>
      <c r="E22" s="27"/>
      <c r="F22" s="27"/>
      <c r="G22" s="27"/>
      <c r="H22" s="27"/>
      <c r="I22" s="27"/>
      <c r="J22" s="27"/>
      <c r="K22" s="32" t="s">
        <v>8</v>
      </c>
      <c r="L22" s="27"/>
      <c r="M22" s="27"/>
      <c r="N22" s="195" t="str">
        <f xml:space="preserve"> N15 &amp; " (" &amp; N21 &amp; ") "</f>
        <v xml:space="preserve">Tarifmodel 3.0 og producentbetaling (V2) </v>
      </c>
      <c r="O22" s="195"/>
      <c r="P22" s="195"/>
      <c r="Q22" s="195"/>
      <c r="R22" s="27"/>
      <c r="S22" s="27"/>
      <c r="T22" s="27"/>
      <c r="U22" s="27"/>
      <c r="V22" s="27"/>
      <c r="W22" s="27"/>
    </row>
    <row r="24" spans="2:23" ht="15" customHeight="1">
      <c r="D24" s="4" t="s">
        <v>93</v>
      </c>
    </row>
    <row r="25" spans="2:23" s="13" customFormat="1" ht="15" customHeight="1">
      <c r="C25" s="31"/>
      <c r="D25" s="41" t="s">
        <v>352</v>
      </c>
      <c r="E25" s="41"/>
      <c r="F25" s="43"/>
      <c r="G25" s="43"/>
      <c r="H25" s="43"/>
      <c r="I25" s="43"/>
      <c r="J25" s="43"/>
      <c r="K25" s="42" t="s">
        <v>8</v>
      </c>
      <c r="L25" s="41"/>
      <c r="M25" s="41"/>
      <c r="N25" s="43"/>
      <c r="O25" s="215" t="s">
        <v>560</v>
      </c>
      <c r="P25" s="215" t="s">
        <v>561</v>
      </c>
      <c r="Q25" s="215" t="s">
        <v>546</v>
      </c>
      <c r="R25" s="215" t="s">
        <v>11</v>
      </c>
      <c r="S25" s="215" t="s">
        <v>12</v>
      </c>
      <c r="T25" s="215" t="s">
        <v>13</v>
      </c>
      <c r="U25" s="215" t="s">
        <v>14</v>
      </c>
      <c r="V25" s="215" t="s">
        <v>15</v>
      </c>
      <c r="W25" s="41"/>
    </row>
    <row r="29" spans="2:23" s="475" customFormat="1" ht="15" customHeight="1">
      <c r="B29" s="476" t="str">
        <f xml:space="preserve"> COUNTA(B$10:B26) &amp; ") Skalering af valuta (name manager)"</f>
        <v>2) Skalering af valuta (name manager)</v>
      </c>
      <c r="C29" s="477"/>
      <c r="D29" s="478"/>
      <c r="K29" s="472"/>
    </row>
    <row r="31" spans="2:23" ht="15" customHeight="1">
      <c r="D31" s="4" t="s">
        <v>135</v>
      </c>
      <c r="K31" s="54" t="s">
        <v>142</v>
      </c>
    </row>
    <row r="32" spans="2:23" ht="15" customHeight="1">
      <c r="D32" s="15" t="s">
        <v>136</v>
      </c>
      <c r="E32" s="15"/>
      <c r="F32" s="15"/>
      <c r="G32" s="15"/>
      <c r="H32" s="15"/>
      <c r="I32" s="15"/>
      <c r="J32" s="15"/>
      <c r="K32" s="47" t="s">
        <v>139</v>
      </c>
      <c r="L32" s="15"/>
      <c r="M32" s="15"/>
      <c r="N32" s="240">
        <v>1000</v>
      </c>
      <c r="O32" s="193"/>
      <c r="P32" s="193"/>
      <c r="Q32" s="193"/>
      <c r="R32" s="15"/>
      <c r="S32" s="15"/>
      <c r="T32" s="15"/>
      <c r="U32" s="15"/>
      <c r="V32" s="15"/>
      <c r="W32" s="15"/>
    </row>
    <row r="33" spans="2:23" ht="15" customHeight="1">
      <c r="D33" s="1" t="s">
        <v>137</v>
      </c>
      <c r="K33" s="48" t="s">
        <v>140</v>
      </c>
      <c r="N33" s="241">
        <v>100000</v>
      </c>
      <c r="O33" s="194"/>
      <c r="P33" s="194"/>
      <c r="Q33" s="194"/>
    </row>
    <row r="34" spans="2:23" ht="15" customHeight="1">
      <c r="D34" s="27" t="s">
        <v>138</v>
      </c>
      <c r="E34" s="27"/>
      <c r="F34" s="27"/>
      <c r="G34" s="27"/>
      <c r="H34" s="27"/>
      <c r="I34" s="27"/>
      <c r="J34" s="27"/>
      <c r="K34" s="46" t="s">
        <v>141</v>
      </c>
      <c r="L34" s="27"/>
      <c r="M34" s="27"/>
      <c r="N34" s="239">
        <v>100</v>
      </c>
      <c r="O34" s="195"/>
      <c r="P34" s="195"/>
      <c r="Q34" s="195"/>
      <c r="R34" s="27"/>
      <c r="S34" s="27"/>
      <c r="T34" s="27"/>
      <c r="U34" s="27"/>
      <c r="V34" s="27"/>
      <c r="W34" s="27"/>
    </row>
    <row r="35" spans="2:23" ht="15" customHeight="1">
      <c r="D35" s="1"/>
    </row>
    <row r="36" spans="2:23" ht="15" customHeight="1">
      <c r="D36" s="1"/>
    </row>
    <row r="37" spans="2:23" ht="15" customHeight="1">
      <c r="D37" s="1"/>
    </row>
    <row r="38" spans="2:23" s="475" customFormat="1" ht="15" customHeight="1">
      <c r="B38" s="479" t="str">
        <f xml:space="preserve"> COUNTA(B$10:B35) &amp; ") Lister"</f>
        <v>3) Lister</v>
      </c>
      <c r="C38" s="477"/>
      <c r="D38" s="478"/>
      <c r="K38" s="472"/>
    </row>
    <row r="40" spans="2:23" ht="15" customHeight="1">
      <c r="D40" s="4" t="s">
        <v>95</v>
      </c>
      <c r="K40" s="250" t="s">
        <v>94</v>
      </c>
    </row>
    <row r="41" spans="2:23" ht="15" customHeight="1">
      <c r="D41" s="15" t="s">
        <v>56</v>
      </c>
      <c r="E41" s="15"/>
      <c r="F41" s="15"/>
      <c r="G41" s="15"/>
      <c r="H41" s="15"/>
      <c r="I41" s="15"/>
      <c r="J41" s="15"/>
      <c r="K41" s="249" t="s">
        <v>5</v>
      </c>
      <c r="L41" s="45"/>
      <c r="M41" s="15"/>
      <c r="N41" s="15"/>
      <c r="O41" s="15"/>
      <c r="P41" s="15"/>
      <c r="Q41" s="15"/>
      <c r="R41" s="15"/>
      <c r="S41" s="15"/>
      <c r="T41" s="15"/>
      <c r="U41" s="15"/>
      <c r="V41" s="15"/>
      <c r="W41" s="15"/>
    </row>
    <row r="42" spans="2:23" ht="15" customHeight="1">
      <c r="D42" s="27" t="s">
        <v>57</v>
      </c>
      <c r="E42" s="27"/>
      <c r="F42" s="27"/>
      <c r="G42" s="27"/>
      <c r="H42" s="27"/>
      <c r="I42" s="27"/>
      <c r="J42" s="27"/>
      <c r="K42" s="248" t="s">
        <v>6</v>
      </c>
      <c r="L42" s="44"/>
      <c r="M42" s="27"/>
      <c r="N42" s="27"/>
      <c r="O42" s="27"/>
      <c r="P42" s="27"/>
      <c r="Q42" s="27"/>
      <c r="R42" s="27"/>
      <c r="S42" s="27"/>
      <c r="T42" s="27"/>
      <c r="U42" s="27"/>
      <c r="V42" s="27"/>
      <c r="W42" s="27"/>
    </row>
    <row r="43" spans="2:23" ht="15" customHeight="1">
      <c r="K43" s="251"/>
      <c r="L43" s="20"/>
    </row>
    <row r="44" spans="2:23" ht="15" customHeight="1">
      <c r="D44" s="4" t="s">
        <v>96</v>
      </c>
      <c r="K44" s="250" t="s">
        <v>37</v>
      </c>
    </row>
    <row r="45" spans="2:23" ht="15" customHeight="1">
      <c r="D45" s="15" t="s">
        <v>56</v>
      </c>
      <c r="E45" s="15"/>
      <c r="F45" s="15"/>
      <c r="G45" s="15"/>
      <c r="H45" s="15"/>
      <c r="I45" s="15"/>
      <c r="J45" s="15"/>
      <c r="K45" s="249" t="s">
        <v>38</v>
      </c>
      <c r="L45" s="45"/>
      <c r="M45" s="15"/>
      <c r="N45" s="15"/>
      <c r="O45" s="15"/>
      <c r="P45" s="15"/>
      <c r="Q45" s="15"/>
      <c r="R45" s="15"/>
      <c r="S45" s="15"/>
      <c r="T45" s="15"/>
      <c r="U45" s="15"/>
      <c r="V45" s="15"/>
      <c r="W45" s="15"/>
    </row>
    <row r="46" spans="2:23" ht="15" customHeight="1">
      <c r="D46" s="1" t="s">
        <v>57</v>
      </c>
      <c r="K46" s="247" t="s">
        <v>39</v>
      </c>
      <c r="L46" s="20"/>
    </row>
    <row r="47" spans="2:23" ht="15" customHeight="1">
      <c r="D47" s="27" t="s">
        <v>58</v>
      </c>
      <c r="E47" s="27"/>
      <c r="F47" s="27"/>
      <c r="G47" s="27"/>
      <c r="H47" s="27"/>
      <c r="I47" s="27"/>
      <c r="J47" s="27"/>
      <c r="K47" s="248" t="s">
        <v>42</v>
      </c>
      <c r="L47" s="44"/>
      <c r="M47" s="27"/>
      <c r="N47" s="27"/>
      <c r="O47" s="27"/>
      <c r="P47" s="27"/>
      <c r="Q47" s="27"/>
      <c r="R47" s="27"/>
      <c r="S47" s="27"/>
      <c r="T47" s="27"/>
      <c r="U47" s="27"/>
      <c r="V47" s="27"/>
      <c r="W47" s="27"/>
    </row>
    <row r="48" spans="2:23" ht="15" customHeight="1">
      <c r="K48" s="251"/>
      <c r="L48" s="20"/>
    </row>
    <row r="49" spans="4:23" ht="15" customHeight="1">
      <c r="D49" s="4" t="s">
        <v>97</v>
      </c>
      <c r="K49" s="250" t="s">
        <v>44</v>
      </c>
    </row>
    <row r="50" spans="4:23" ht="15" customHeight="1">
      <c r="D50" s="15" t="s">
        <v>56</v>
      </c>
      <c r="E50" s="15"/>
      <c r="F50" s="15"/>
      <c r="G50" s="15"/>
      <c r="H50" s="15"/>
      <c r="I50" s="15"/>
      <c r="J50" s="15"/>
      <c r="K50" s="534" t="s">
        <v>45</v>
      </c>
      <c r="L50" s="45"/>
      <c r="M50" s="15"/>
      <c r="N50" s="15"/>
      <c r="O50" s="15"/>
      <c r="P50" s="15"/>
      <c r="Q50" s="15"/>
      <c r="R50" s="15"/>
      <c r="S50" s="15"/>
      <c r="T50" s="15"/>
      <c r="U50" s="15"/>
      <c r="V50" s="15"/>
      <c r="W50" s="15"/>
    </row>
    <row r="51" spans="4:23" ht="15" customHeight="1">
      <c r="D51" s="1" t="s">
        <v>57</v>
      </c>
      <c r="K51" s="533" t="s">
        <v>46</v>
      </c>
      <c r="L51" s="20"/>
    </row>
    <row r="52" spans="4:23" ht="15" customHeight="1">
      <c r="D52" s="27" t="s">
        <v>58</v>
      </c>
      <c r="E52" s="27"/>
      <c r="F52" s="27"/>
      <c r="G52" s="27"/>
      <c r="H52" s="27"/>
      <c r="I52" s="27"/>
      <c r="J52" s="27"/>
      <c r="K52" s="535" t="s">
        <v>235</v>
      </c>
      <c r="L52" s="44"/>
      <c r="M52" s="27"/>
      <c r="N52" s="27"/>
      <c r="O52" s="27"/>
      <c r="P52" s="27"/>
      <c r="Q52" s="27"/>
      <c r="R52" s="27"/>
      <c r="S52" s="27"/>
      <c r="T52" s="27"/>
      <c r="U52" s="27"/>
      <c r="V52" s="27"/>
      <c r="W52" s="27"/>
    </row>
    <row r="53" spans="4:23" ht="15" customHeight="1">
      <c r="K53" s="251"/>
      <c r="L53" s="20"/>
    </row>
    <row r="54" spans="4:23" ht="15" customHeight="1">
      <c r="D54" s="4" t="s">
        <v>98</v>
      </c>
      <c r="K54" s="250" t="s">
        <v>51</v>
      </c>
    </row>
    <row r="55" spans="4:23" ht="15" customHeight="1">
      <c r="D55" s="15" t="s">
        <v>56</v>
      </c>
      <c r="E55" s="15"/>
      <c r="F55" s="15"/>
      <c r="G55" s="15"/>
      <c r="H55" s="15"/>
      <c r="I55" s="15"/>
      <c r="J55" s="15"/>
      <c r="K55" s="249" t="s">
        <v>52</v>
      </c>
      <c r="L55" s="45"/>
      <c r="M55" s="15"/>
      <c r="N55" s="15"/>
      <c r="O55" s="15"/>
      <c r="P55" s="15"/>
      <c r="Q55" s="15"/>
      <c r="R55" s="15"/>
      <c r="S55" s="15"/>
      <c r="T55" s="15"/>
      <c r="U55" s="15"/>
      <c r="V55" s="15"/>
      <c r="W55" s="15"/>
    </row>
    <row r="56" spans="4:23" ht="15" customHeight="1">
      <c r="D56" s="1" t="s">
        <v>57</v>
      </c>
      <c r="K56" s="247" t="s">
        <v>53</v>
      </c>
      <c r="L56" s="20"/>
    </row>
    <row r="57" spans="4:23" ht="15" customHeight="1">
      <c r="D57" s="1" t="s">
        <v>58</v>
      </c>
      <c r="K57" s="247" t="s">
        <v>64</v>
      </c>
      <c r="L57" s="20"/>
    </row>
    <row r="58" spans="4:23" ht="15" customHeight="1">
      <c r="D58" s="1" t="s">
        <v>59</v>
      </c>
      <c r="K58" s="246" t="s">
        <v>54</v>
      </c>
      <c r="L58" s="20"/>
    </row>
    <row r="59" spans="4:23" ht="15" customHeight="1">
      <c r="D59" s="1" t="s">
        <v>60</v>
      </c>
      <c r="K59" s="247" t="s">
        <v>55</v>
      </c>
      <c r="L59" s="20"/>
    </row>
    <row r="60" spans="4:23" ht="15" customHeight="1">
      <c r="D60" s="1" t="s">
        <v>61</v>
      </c>
      <c r="K60" s="245" t="s">
        <v>22</v>
      </c>
      <c r="L60" s="20"/>
    </row>
    <row r="61" spans="4:23" ht="15" customHeight="1">
      <c r="D61" s="1" t="s">
        <v>62</v>
      </c>
      <c r="K61" s="247" t="s">
        <v>23</v>
      </c>
      <c r="L61" s="20"/>
    </row>
    <row r="62" spans="4:23" ht="15" customHeight="1">
      <c r="D62" s="27" t="s">
        <v>63</v>
      </c>
      <c r="E62" s="27"/>
      <c r="F62" s="27"/>
      <c r="G62" s="27"/>
      <c r="H62" s="27"/>
      <c r="I62" s="27"/>
      <c r="J62" s="27"/>
      <c r="K62" s="248" t="s">
        <v>21</v>
      </c>
      <c r="L62" s="44"/>
      <c r="M62" s="27"/>
      <c r="N62" s="27"/>
      <c r="O62" s="27"/>
      <c r="P62" s="27"/>
      <c r="Q62" s="27"/>
      <c r="R62" s="27"/>
      <c r="S62" s="27"/>
      <c r="T62" s="27"/>
      <c r="U62" s="27"/>
      <c r="V62" s="27"/>
      <c r="W62" s="27"/>
    </row>
    <row r="63" spans="4:23" ht="15" customHeight="1">
      <c r="E63" s="29"/>
      <c r="K63" s="252"/>
      <c r="L63" s="30"/>
    </row>
    <row r="64" spans="4:23" ht="15" customHeight="1">
      <c r="D64" s="4" t="s">
        <v>457</v>
      </c>
      <c r="E64" s="29"/>
      <c r="K64" s="250" t="s">
        <v>177</v>
      </c>
      <c r="L64" s="30"/>
    </row>
    <row r="65" spans="4:23" ht="15" customHeight="1">
      <c r="D65" s="15" t="s">
        <v>56</v>
      </c>
      <c r="E65" s="69"/>
      <c r="F65" s="15"/>
      <c r="G65" s="15"/>
      <c r="H65" s="15"/>
      <c r="I65" s="15"/>
      <c r="J65" s="15"/>
      <c r="K65" s="249" t="s">
        <v>182</v>
      </c>
      <c r="L65" s="70"/>
      <c r="M65" s="15"/>
      <c r="N65" s="15"/>
      <c r="O65" s="15"/>
      <c r="P65" s="15"/>
      <c r="Q65" s="15"/>
      <c r="R65" s="15"/>
      <c r="S65" s="15"/>
      <c r="T65" s="15"/>
      <c r="U65" s="15"/>
      <c r="V65" s="15"/>
      <c r="W65" s="15"/>
    </row>
    <row r="66" spans="4:23" ht="15" customHeight="1">
      <c r="D66" s="1" t="s">
        <v>176</v>
      </c>
      <c r="E66" s="29"/>
      <c r="K66" s="247" t="s">
        <v>184</v>
      </c>
      <c r="L66" s="30"/>
    </row>
    <row r="67" spans="4:23" ht="15" customHeight="1">
      <c r="D67" s="27" t="s">
        <v>58</v>
      </c>
      <c r="E67" s="71"/>
      <c r="F67" s="27"/>
      <c r="G67" s="27"/>
      <c r="H67" s="27"/>
      <c r="I67" s="27"/>
      <c r="J67" s="27"/>
      <c r="K67" s="248" t="s">
        <v>185</v>
      </c>
      <c r="L67" s="72"/>
      <c r="M67" s="27"/>
      <c r="N67" s="27"/>
      <c r="O67" s="27"/>
      <c r="P67" s="27"/>
      <c r="Q67" s="27"/>
      <c r="R67" s="27"/>
      <c r="S67" s="27"/>
      <c r="T67" s="27"/>
      <c r="U67" s="27"/>
      <c r="V67" s="27"/>
      <c r="W67" s="27"/>
    </row>
    <row r="68" spans="4:23" ht="15" customHeight="1">
      <c r="D68" s="1"/>
      <c r="E68" s="29"/>
      <c r="K68" s="251"/>
      <c r="L68" s="30"/>
    </row>
    <row r="69" spans="4:23" ht="15" customHeight="1">
      <c r="D69" s="4" t="s">
        <v>615</v>
      </c>
      <c r="E69" s="29"/>
      <c r="K69" s="250" t="s">
        <v>341</v>
      </c>
      <c r="L69" s="30"/>
    </row>
    <row r="70" spans="4:23" ht="15" customHeight="1">
      <c r="D70" s="15" t="s">
        <v>56</v>
      </c>
      <c r="E70" s="69"/>
      <c r="F70" s="15"/>
      <c r="G70" s="15"/>
      <c r="H70" s="15"/>
      <c r="I70" s="15"/>
      <c r="J70" s="15"/>
      <c r="K70" s="249" t="s">
        <v>248</v>
      </c>
      <c r="L70" s="70"/>
      <c r="M70" s="15"/>
      <c r="N70" s="15"/>
      <c r="O70" s="15"/>
      <c r="P70" s="15"/>
      <c r="Q70" s="15"/>
      <c r="R70" s="15"/>
      <c r="S70" s="15"/>
      <c r="T70" s="15"/>
      <c r="U70" s="15"/>
      <c r="V70" s="15"/>
      <c r="W70" s="15"/>
    </row>
    <row r="71" spans="4:23" ht="15" customHeight="1">
      <c r="D71" s="1" t="s">
        <v>57</v>
      </c>
      <c r="E71" s="29"/>
      <c r="K71" s="247" t="s">
        <v>249</v>
      </c>
      <c r="L71" s="30"/>
    </row>
    <row r="72" spans="4:23" ht="15" customHeight="1">
      <c r="D72" s="1" t="s">
        <v>58</v>
      </c>
      <c r="E72" s="29"/>
      <c r="K72" s="247" t="s">
        <v>515</v>
      </c>
      <c r="L72" s="30"/>
    </row>
    <row r="73" spans="4:23" ht="15" customHeight="1">
      <c r="D73" s="1" t="s">
        <v>59</v>
      </c>
      <c r="E73" s="29"/>
      <c r="K73" s="247" t="s">
        <v>564</v>
      </c>
      <c r="L73" s="30"/>
    </row>
    <row r="74" spans="4:23" ht="15" customHeight="1">
      <c r="D74" s="1" t="s">
        <v>60</v>
      </c>
      <c r="E74" s="29"/>
      <c r="K74" s="247" t="s">
        <v>250</v>
      </c>
      <c r="L74" s="30"/>
    </row>
    <row r="75" spans="4:23" ht="15" customHeight="1">
      <c r="D75" s="1" t="s">
        <v>61</v>
      </c>
      <c r="E75" s="29"/>
      <c r="K75" s="247" t="s">
        <v>251</v>
      </c>
      <c r="L75" s="30"/>
    </row>
    <row r="76" spans="4:23" ht="15" customHeight="1">
      <c r="D76" s="1" t="s">
        <v>62</v>
      </c>
      <c r="E76" s="29"/>
      <c r="K76" s="247" t="s">
        <v>514</v>
      </c>
      <c r="L76" s="30"/>
    </row>
    <row r="77" spans="4:23" ht="15" customHeight="1">
      <c r="D77" s="1" t="s">
        <v>63</v>
      </c>
      <c r="E77" s="29"/>
      <c r="K77" s="247" t="s">
        <v>252</v>
      </c>
      <c r="L77" s="30"/>
    </row>
    <row r="78" spans="4:23" ht="15" customHeight="1">
      <c r="D78" s="1" t="s">
        <v>312</v>
      </c>
      <c r="E78" s="29"/>
      <c r="K78" s="247" t="s">
        <v>253</v>
      </c>
      <c r="L78" s="30"/>
    </row>
    <row r="79" spans="4:23" ht="15" customHeight="1">
      <c r="D79" s="1" t="s">
        <v>313</v>
      </c>
      <c r="E79" s="29"/>
      <c r="K79" s="247" t="s">
        <v>254</v>
      </c>
      <c r="L79" s="30"/>
    </row>
    <row r="80" spans="4:23" ht="15" customHeight="1">
      <c r="D80" s="1" t="s">
        <v>314</v>
      </c>
      <c r="E80" s="29"/>
      <c r="K80" s="247" t="s">
        <v>671</v>
      </c>
      <c r="L80" s="30"/>
    </row>
    <row r="81" spans="4:23" ht="15" customHeight="1">
      <c r="D81" s="1" t="s">
        <v>315</v>
      </c>
      <c r="E81" s="29"/>
      <c r="K81" s="247" t="s">
        <v>510</v>
      </c>
      <c r="L81" s="30"/>
    </row>
    <row r="82" spans="4:23" ht="15" customHeight="1">
      <c r="D82" s="1" t="s">
        <v>316</v>
      </c>
      <c r="E82" s="29"/>
      <c r="K82" s="247" t="s">
        <v>255</v>
      </c>
      <c r="L82" s="30"/>
    </row>
    <row r="83" spans="4:23" ht="15" customHeight="1">
      <c r="D83" s="1" t="s">
        <v>317</v>
      </c>
      <c r="E83" s="29"/>
      <c r="K83" s="247" t="s">
        <v>519</v>
      </c>
      <c r="L83" s="30"/>
    </row>
    <row r="84" spans="4:23" ht="15" customHeight="1">
      <c r="D84" s="1" t="s">
        <v>342</v>
      </c>
      <c r="E84" s="29"/>
      <c r="K84" s="247" t="s">
        <v>256</v>
      </c>
      <c r="L84" s="30"/>
    </row>
    <row r="85" spans="4:23" ht="15" customHeight="1">
      <c r="D85" s="1" t="s">
        <v>343</v>
      </c>
      <c r="E85" s="29"/>
      <c r="K85" s="247" t="s">
        <v>257</v>
      </c>
      <c r="L85" s="30"/>
    </row>
    <row r="86" spans="4:23" ht="15" customHeight="1">
      <c r="D86" s="1" t="s">
        <v>511</v>
      </c>
      <c r="E86" s="29"/>
      <c r="K86" s="246" t="s">
        <v>529</v>
      </c>
      <c r="L86" s="30"/>
    </row>
    <row r="87" spans="4:23" ht="15" customHeight="1">
      <c r="D87" s="1" t="s">
        <v>563</v>
      </c>
      <c r="E87" s="29"/>
      <c r="K87" s="533" t="s">
        <v>258</v>
      </c>
      <c r="L87" s="30"/>
    </row>
    <row r="88" spans="4:23" ht="15" customHeight="1">
      <c r="D88" s="27" t="s">
        <v>670</v>
      </c>
      <c r="E88" s="71"/>
      <c r="F88" s="27"/>
      <c r="G88" s="27"/>
      <c r="H88" s="27"/>
      <c r="I88" s="27"/>
      <c r="J88" s="27"/>
      <c r="K88" s="628" t="s">
        <v>678</v>
      </c>
      <c r="L88" s="72"/>
      <c r="M88" s="27"/>
      <c r="N88" s="27"/>
      <c r="O88" s="27"/>
      <c r="P88" s="27"/>
      <c r="Q88" s="27"/>
      <c r="R88" s="27"/>
      <c r="S88" s="27"/>
      <c r="T88" s="27"/>
      <c r="U88" s="27"/>
      <c r="V88" s="27"/>
      <c r="W88" s="27"/>
    </row>
    <row r="89" spans="4:23" ht="15" customHeight="1">
      <c r="D89" s="1"/>
      <c r="E89" s="29"/>
      <c r="K89" s="251"/>
      <c r="L89" s="30"/>
    </row>
    <row r="90" spans="4:23" ht="15" customHeight="1">
      <c r="D90" s="4" t="s">
        <v>637</v>
      </c>
      <c r="E90" s="29"/>
      <c r="K90" s="250" t="s">
        <v>622</v>
      </c>
      <c r="L90" s="30"/>
    </row>
    <row r="91" spans="4:23" ht="15" customHeight="1">
      <c r="D91" s="15" t="s">
        <v>56</v>
      </c>
      <c r="E91" s="69"/>
      <c r="F91" s="15"/>
      <c r="G91" s="15"/>
      <c r="H91" s="15"/>
      <c r="I91" s="15"/>
      <c r="J91" s="15"/>
      <c r="K91" s="249" t="s">
        <v>248</v>
      </c>
      <c r="L91" s="70"/>
      <c r="M91" s="15"/>
      <c r="N91" s="15"/>
      <c r="O91" s="15"/>
      <c r="P91" s="15"/>
      <c r="Q91" s="15"/>
      <c r="R91" s="15"/>
      <c r="S91" s="15"/>
      <c r="T91" s="15"/>
      <c r="U91" s="15"/>
      <c r="V91" s="15"/>
      <c r="W91" s="15"/>
    </row>
    <row r="92" spans="4:23" ht="15" customHeight="1">
      <c r="D92" s="1" t="s">
        <v>57</v>
      </c>
      <c r="E92" s="29"/>
      <c r="K92" s="247" t="s">
        <v>249</v>
      </c>
      <c r="L92" s="30"/>
    </row>
    <row r="93" spans="4:23" ht="15" customHeight="1">
      <c r="D93" s="1" t="s">
        <v>58</v>
      </c>
      <c r="E93" s="29"/>
      <c r="K93" s="247" t="s">
        <v>253</v>
      </c>
      <c r="L93" s="30"/>
    </row>
    <row r="94" spans="4:23" ht="15" customHeight="1">
      <c r="D94" s="1" t="s">
        <v>59</v>
      </c>
      <c r="E94" s="29"/>
      <c r="K94" s="247" t="s">
        <v>254</v>
      </c>
      <c r="L94" s="30"/>
    </row>
    <row r="95" spans="4:23" ht="15" customHeight="1">
      <c r="D95" s="27" t="s">
        <v>60</v>
      </c>
      <c r="E95" s="71"/>
      <c r="F95" s="27"/>
      <c r="G95" s="27"/>
      <c r="H95" s="27"/>
      <c r="I95" s="27"/>
      <c r="J95" s="27"/>
      <c r="K95" s="248" t="s">
        <v>512</v>
      </c>
      <c r="L95" s="72"/>
      <c r="M95" s="27"/>
      <c r="N95" s="27"/>
      <c r="O95" s="27"/>
      <c r="P95" s="27"/>
      <c r="Q95" s="27"/>
      <c r="R95" s="27"/>
      <c r="S95" s="27"/>
      <c r="T95" s="27"/>
      <c r="U95" s="27"/>
      <c r="V95" s="27"/>
      <c r="W95" s="27"/>
    </row>
    <row r="96" spans="4:23" ht="15" customHeight="1">
      <c r="D96" s="1"/>
      <c r="E96" s="29"/>
      <c r="K96" s="251"/>
      <c r="L96" s="30"/>
    </row>
    <row r="97" spans="4:23" ht="15" customHeight="1">
      <c r="D97" s="4" t="s">
        <v>581</v>
      </c>
      <c r="E97" s="29"/>
      <c r="K97" s="250" t="s">
        <v>475</v>
      </c>
      <c r="L97" s="30"/>
    </row>
    <row r="98" spans="4:23" ht="15" customHeight="1">
      <c r="D98" s="15" t="s">
        <v>56</v>
      </c>
      <c r="E98" s="69"/>
      <c r="F98" s="15"/>
      <c r="G98" s="15"/>
      <c r="H98" s="15"/>
      <c r="I98" s="15"/>
      <c r="J98" s="15"/>
      <c r="K98" s="249" t="s">
        <v>16</v>
      </c>
      <c r="L98" s="70"/>
      <c r="M98" s="15"/>
      <c r="N98" s="15"/>
      <c r="O98" s="15"/>
      <c r="P98" s="15"/>
      <c r="Q98" s="15"/>
      <c r="R98" s="15"/>
      <c r="S98" s="15"/>
      <c r="T98" s="15"/>
      <c r="U98" s="15"/>
      <c r="V98" s="15"/>
      <c r="W98" s="15"/>
    </row>
    <row r="99" spans="4:23" ht="15" customHeight="1">
      <c r="D99" s="27" t="s">
        <v>57</v>
      </c>
      <c r="E99" s="71"/>
      <c r="F99" s="27"/>
      <c r="G99" s="27"/>
      <c r="H99" s="27"/>
      <c r="I99" s="27"/>
      <c r="J99" s="27"/>
      <c r="K99" s="248" t="s">
        <v>473</v>
      </c>
      <c r="L99" s="72"/>
      <c r="M99" s="27"/>
      <c r="N99" s="27"/>
      <c r="O99" s="27"/>
      <c r="P99" s="27"/>
      <c r="Q99" s="27"/>
      <c r="R99" s="27"/>
      <c r="S99" s="27"/>
      <c r="T99" s="27"/>
      <c r="U99" s="27"/>
      <c r="V99" s="27"/>
      <c r="W99" s="27"/>
    </row>
    <row r="100" spans="4:23" ht="15" customHeight="1">
      <c r="D100" s="1"/>
      <c r="E100" s="29"/>
      <c r="K100" s="251"/>
      <c r="L100" s="30"/>
    </row>
    <row r="101" spans="4:23" ht="15" customHeight="1">
      <c r="D101" s="4" t="s">
        <v>582</v>
      </c>
      <c r="E101" s="29"/>
      <c r="K101" s="250" t="s">
        <v>318</v>
      </c>
      <c r="L101" s="30"/>
    </row>
    <row r="102" spans="4:23" ht="15" customHeight="1">
      <c r="D102" s="15" t="s">
        <v>56</v>
      </c>
      <c r="E102" s="69"/>
      <c r="F102" s="15"/>
      <c r="G102" s="15"/>
      <c r="H102" s="15"/>
      <c r="I102" s="15"/>
      <c r="J102" s="15"/>
      <c r="K102" s="249" t="s">
        <v>125</v>
      </c>
      <c r="L102" s="70"/>
      <c r="M102" s="15"/>
      <c r="N102" s="15"/>
      <c r="O102" s="15"/>
      <c r="P102" s="15"/>
      <c r="Q102" s="15"/>
      <c r="R102" s="15"/>
      <c r="S102" s="15"/>
      <c r="T102" s="15"/>
      <c r="U102" s="15"/>
      <c r="V102" s="15"/>
      <c r="W102" s="15"/>
    </row>
    <row r="103" spans="4:23" ht="15" customHeight="1">
      <c r="D103" s="1" t="s">
        <v>57</v>
      </c>
      <c r="E103" s="29"/>
      <c r="K103" s="247" t="s">
        <v>192</v>
      </c>
      <c r="L103" s="30"/>
    </row>
    <row r="104" spans="4:23" ht="15" customHeight="1">
      <c r="D104" s="1" t="s">
        <v>58</v>
      </c>
      <c r="E104" s="29"/>
      <c r="K104" s="247" t="s">
        <v>39</v>
      </c>
      <c r="L104" s="30"/>
    </row>
    <row r="105" spans="4:23" ht="15" customHeight="1">
      <c r="D105" s="1" t="s">
        <v>59</v>
      </c>
      <c r="E105" s="29"/>
      <c r="K105" s="247" t="s">
        <v>353</v>
      </c>
      <c r="L105" s="30"/>
    </row>
    <row r="106" spans="4:23" ht="15" customHeight="1">
      <c r="D106" s="1" t="s">
        <v>60</v>
      </c>
      <c r="E106" s="29"/>
      <c r="K106" s="247" t="s">
        <v>354</v>
      </c>
      <c r="L106" s="30"/>
    </row>
    <row r="107" spans="4:23" ht="15" customHeight="1">
      <c r="D107" s="1" t="s">
        <v>61</v>
      </c>
      <c r="E107" s="29"/>
      <c r="K107" s="247" t="s">
        <v>355</v>
      </c>
      <c r="L107" s="30"/>
    </row>
    <row r="108" spans="4:23" ht="15" customHeight="1">
      <c r="D108" s="1" t="s">
        <v>62</v>
      </c>
      <c r="E108" s="29"/>
      <c r="K108" s="247" t="s">
        <v>120</v>
      </c>
      <c r="L108" s="30"/>
    </row>
    <row r="109" spans="4:23" ht="15" customHeight="1">
      <c r="D109" s="1" t="s">
        <v>63</v>
      </c>
      <c r="E109" s="29"/>
      <c r="K109" s="247" t="s">
        <v>194</v>
      </c>
      <c r="L109" s="30"/>
    </row>
    <row r="110" spans="4:23" ht="15" customHeight="1">
      <c r="D110" s="1" t="s">
        <v>312</v>
      </c>
      <c r="E110" s="29"/>
      <c r="K110" s="247" t="s">
        <v>585</v>
      </c>
      <c r="L110" s="30"/>
    </row>
    <row r="111" spans="4:23" ht="15" customHeight="1">
      <c r="D111" s="1" t="s">
        <v>313</v>
      </c>
      <c r="E111" s="29"/>
      <c r="K111" s="247" t="s">
        <v>192</v>
      </c>
      <c r="L111" s="30"/>
    </row>
    <row r="112" spans="4:23" ht="15" customHeight="1">
      <c r="D112" s="1" t="s">
        <v>314</v>
      </c>
      <c r="E112" s="29"/>
      <c r="K112" s="247" t="s">
        <v>303</v>
      </c>
      <c r="L112" s="30"/>
    </row>
    <row r="113" spans="4:23" ht="15" customHeight="1">
      <c r="D113" s="1" t="s">
        <v>315</v>
      </c>
      <c r="E113" s="29"/>
      <c r="K113" s="247" t="s">
        <v>304</v>
      </c>
      <c r="L113" s="30"/>
    </row>
    <row r="114" spans="4:23" ht="15" customHeight="1">
      <c r="D114" s="1" t="s">
        <v>316</v>
      </c>
      <c r="E114" s="29"/>
      <c r="K114" s="247" t="s">
        <v>305</v>
      </c>
      <c r="L114" s="30"/>
    </row>
    <row r="115" spans="4:23" ht="15" customHeight="1">
      <c r="D115" s="27" t="s">
        <v>317</v>
      </c>
      <c r="E115" s="71"/>
      <c r="F115" s="27"/>
      <c r="G115" s="27"/>
      <c r="H115" s="27"/>
      <c r="I115" s="27"/>
      <c r="J115" s="27"/>
      <c r="K115" s="248" t="s">
        <v>306</v>
      </c>
      <c r="L115" s="72"/>
      <c r="M115" s="27"/>
      <c r="N115" s="27"/>
      <c r="O115" s="27"/>
      <c r="P115" s="27"/>
      <c r="Q115" s="27"/>
      <c r="R115" s="27"/>
      <c r="S115" s="27"/>
      <c r="T115" s="27"/>
      <c r="U115" s="27"/>
      <c r="V115" s="27"/>
      <c r="W115" s="27"/>
    </row>
    <row r="116" spans="4:23" ht="15" customHeight="1">
      <c r="D116" s="1"/>
      <c r="E116" s="29"/>
      <c r="K116" s="251"/>
      <c r="L116" s="30"/>
    </row>
    <row r="117" spans="4:23" ht="15" customHeight="1">
      <c r="D117" s="4" t="s">
        <v>583</v>
      </c>
      <c r="E117" s="71"/>
      <c r="F117" s="27"/>
      <c r="G117" s="27"/>
      <c r="H117" s="27"/>
      <c r="I117" s="27"/>
      <c r="J117" s="27"/>
      <c r="K117" s="253" t="s">
        <v>319</v>
      </c>
      <c r="L117" s="72"/>
      <c r="M117" s="27"/>
      <c r="N117" s="27"/>
      <c r="O117" s="27"/>
      <c r="P117" s="27"/>
      <c r="Q117" s="27"/>
      <c r="R117" s="27"/>
      <c r="S117" s="27"/>
      <c r="T117" s="27"/>
      <c r="U117" s="27"/>
      <c r="V117" s="27"/>
      <c r="W117" s="27"/>
    </row>
    <row r="118" spans="4:23" ht="15" customHeight="1">
      <c r="D118" s="15" t="s">
        <v>56</v>
      </c>
      <c r="E118" s="29"/>
      <c r="K118" s="245" t="s">
        <v>353</v>
      </c>
      <c r="L118" s="30"/>
    </row>
    <row r="119" spans="4:23" ht="15" customHeight="1">
      <c r="D119" s="1" t="s">
        <v>57</v>
      </c>
      <c r="E119" s="29"/>
      <c r="K119" s="246" t="s">
        <v>354</v>
      </c>
      <c r="L119" s="30"/>
    </row>
    <row r="120" spans="4:23" ht="15" customHeight="1">
      <c r="D120" s="1" t="s">
        <v>58</v>
      </c>
      <c r="E120" s="29"/>
      <c r="K120" s="247" t="s">
        <v>355</v>
      </c>
      <c r="L120" s="30"/>
    </row>
    <row r="121" spans="4:23" ht="15" customHeight="1">
      <c r="D121" s="1" t="s">
        <v>59</v>
      </c>
      <c r="E121" s="29"/>
      <c r="K121" s="245" t="s">
        <v>356</v>
      </c>
      <c r="L121" s="30"/>
    </row>
    <row r="122" spans="4:23" ht="15" customHeight="1">
      <c r="D122" s="1" t="s">
        <v>60</v>
      </c>
      <c r="E122" s="29"/>
      <c r="K122" s="246" t="s">
        <v>357</v>
      </c>
      <c r="L122" s="30"/>
    </row>
    <row r="123" spans="4:23" ht="15" customHeight="1">
      <c r="D123" s="1" t="s">
        <v>61</v>
      </c>
      <c r="E123" s="29"/>
      <c r="K123" s="247" t="s">
        <v>358</v>
      </c>
      <c r="L123" s="30"/>
    </row>
    <row r="124" spans="4:23" ht="15" customHeight="1">
      <c r="D124" s="1" t="s">
        <v>62</v>
      </c>
      <c r="E124" s="29"/>
      <c r="K124" s="247" t="s">
        <v>359</v>
      </c>
      <c r="L124" s="30"/>
    </row>
    <row r="125" spans="4:23" ht="15" customHeight="1">
      <c r="D125" s="1" t="s">
        <v>63</v>
      </c>
      <c r="E125" s="29"/>
      <c r="K125" s="247" t="s">
        <v>120</v>
      </c>
      <c r="L125" s="30"/>
    </row>
    <row r="126" spans="4:23" ht="15" customHeight="1">
      <c r="D126" s="1" t="s">
        <v>312</v>
      </c>
      <c r="E126" s="29"/>
      <c r="K126" s="247" t="s">
        <v>194</v>
      </c>
      <c r="L126" s="30"/>
    </row>
    <row r="127" spans="4:23" ht="15" customHeight="1">
      <c r="D127" s="1" t="s">
        <v>313</v>
      </c>
      <c r="E127" s="29"/>
      <c r="K127" s="247" t="s">
        <v>585</v>
      </c>
      <c r="L127" s="30"/>
    </row>
    <row r="128" spans="4:23" ht="15" customHeight="1">
      <c r="D128" s="1" t="s">
        <v>314</v>
      </c>
      <c r="E128" s="29"/>
      <c r="K128" s="247" t="s">
        <v>320</v>
      </c>
      <c r="L128" s="30"/>
    </row>
    <row r="129" spans="1:23" ht="15" customHeight="1">
      <c r="D129" s="1" t="s">
        <v>315</v>
      </c>
      <c r="E129" s="29"/>
      <c r="K129" s="246" t="s">
        <v>303</v>
      </c>
      <c r="L129" s="30"/>
    </row>
    <row r="130" spans="1:23" ht="15" customHeight="1">
      <c r="D130" s="1" t="s">
        <v>316</v>
      </c>
      <c r="E130" s="29"/>
      <c r="K130" s="247" t="s">
        <v>304</v>
      </c>
      <c r="L130" s="30"/>
    </row>
    <row r="131" spans="1:23" ht="15" customHeight="1">
      <c r="D131" s="1" t="s">
        <v>317</v>
      </c>
      <c r="E131" s="29"/>
      <c r="K131" s="245" t="s">
        <v>305</v>
      </c>
      <c r="L131" s="30"/>
    </row>
    <row r="132" spans="1:23" ht="15" customHeight="1">
      <c r="D132" s="27" t="s">
        <v>342</v>
      </c>
      <c r="E132" s="71"/>
      <c r="F132" s="27"/>
      <c r="G132" s="27"/>
      <c r="H132" s="27"/>
      <c r="I132" s="27"/>
      <c r="J132" s="27"/>
      <c r="K132" s="248" t="s">
        <v>306</v>
      </c>
      <c r="L132" s="72"/>
      <c r="M132" s="27"/>
      <c r="N132" s="27"/>
      <c r="O132" s="27"/>
      <c r="P132" s="27"/>
      <c r="Q132" s="27"/>
      <c r="R132" s="27"/>
      <c r="S132" s="27"/>
      <c r="T132" s="27"/>
      <c r="U132" s="27"/>
      <c r="V132" s="27"/>
      <c r="W132" s="27"/>
    </row>
    <row r="133" spans="1:23" ht="15" customHeight="1">
      <c r="D133" s="1"/>
      <c r="E133" s="29"/>
      <c r="L133" s="30"/>
    </row>
    <row r="134" spans="1:23" ht="15" customHeight="1">
      <c r="D134" s="35" t="s">
        <v>584</v>
      </c>
      <c r="E134" s="71"/>
      <c r="F134" s="27"/>
      <c r="G134" s="27"/>
      <c r="H134" s="27"/>
      <c r="I134" s="27"/>
      <c r="J134" s="27"/>
      <c r="K134" s="253" t="s">
        <v>562</v>
      </c>
      <c r="L134" s="72"/>
      <c r="M134" s="27"/>
      <c r="N134" s="27"/>
      <c r="O134" s="27"/>
      <c r="P134" s="27"/>
      <c r="Q134" s="27"/>
      <c r="R134" s="27"/>
      <c r="S134" s="27"/>
      <c r="T134" s="27"/>
      <c r="U134" s="27"/>
      <c r="V134" s="27"/>
      <c r="W134" s="27"/>
    </row>
    <row r="135" spans="1:23" ht="15" customHeight="1">
      <c r="D135" s="1" t="s">
        <v>56</v>
      </c>
      <c r="E135" s="29"/>
      <c r="K135" s="245" t="s">
        <v>662</v>
      </c>
      <c r="L135" s="30"/>
    </row>
    <row r="136" spans="1:23" ht="15" customHeight="1">
      <c r="D136" s="1" t="s">
        <v>57</v>
      </c>
      <c r="E136" s="29"/>
      <c r="K136" s="246" t="s">
        <v>663</v>
      </c>
      <c r="L136" s="30"/>
    </row>
    <row r="137" spans="1:23" ht="15" customHeight="1">
      <c r="D137" s="27" t="s">
        <v>58</v>
      </c>
      <c r="E137" s="71"/>
      <c r="F137" s="27"/>
      <c r="G137" s="27"/>
      <c r="H137" s="27"/>
      <c r="I137" s="27"/>
      <c r="J137" s="27"/>
      <c r="K137" s="248" t="s">
        <v>664</v>
      </c>
      <c r="L137" s="72"/>
      <c r="M137" s="27"/>
      <c r="N137" s="27"/>
      <c r="O137" s="27"/>
      <c r="P137" s="27"/>
      <c r="Q137" s="27"/>
      <c r="R137" s="27"/>
      <c r="S137" s="27"/>
      <c r="T137" s="27"/>
      <c r="U137" s="27"/>
      <c r="V137" s="27"/>
      <c r="W137" s="27"/>
    </row>
    <row r="138" spans="1:23" ht="15" customHeight="1">
      <c r="D138" s="1"/>
      <c r="E138" s="29"/>
      <c r="L138" s="30"/>
    </row>
    <row r="139" spans="1:23" ht="15" customHeight="1">
      <c r="D139" s="35" t="s">
        <v>601</v>
      </c>
      <c r="E139" s="71"/>
      <c r="F139" s="27"/>
      <c r="G139" s="27"/>
      <c r="H139" s="27"/>
      <c r="I139" s="27"/>
      <c r="J139" s="27"/>
      <c r="K139" s="253" t="s">
        <v>623</v>
      </c>
      <c r="L139" s="72"/>
      <c r="M139" s="27"/>
      <c r="N139" s="27"/>
      <c r="O139" s="27"/>
      <c r="P139" s="27"/>
      <c r="Q139" s="27"/>
      <c r="R139" s="27"/>
      <c r="S139" s="27"/>
      <c r="T139" s="27"/>
      <c r="U139" s="27"/>
      <c r="V139" s="27"/>
      <c r="W139" s="27"/>
    </row>
    <row r="140" spans="1:23" ht="15" customHeight="1">
      <c r="D140" s="1" t="s">
        <v>56</v>
      </c>
      <c r="E140" s="29"/>
      <c r="K140" s="543">
        <v>1</v>
      </c>
      <c r="L140" s="30"/>
    </row>
    <row r="141" spans="1:23" s="27" customFormat="1" ht="15" customHeight="1">
      <c r="A141" s="1"/>
      <c r="B141" s="1"/>
      <c r="C141" s="2"/>
      <c r="D141" s="27" t="s">
        <v>57</v>
      </c>
      <c r="E141" s="71"/>
      <c r="K141" s="605">
        <v>0</v>
      </c>
      <c r="L141" s="72"/>
    </row>
    <row r="142" spans="1:23" ht="15" customHeight="1">
      <c r="D142" s="1"/>
      <c r="E142" s="29"/>
      <c r="L142" s="30"/>
    </row>
    <row r="143" spans="1:23" ht="15" customHeight="1">
      <c r="D143" s="35" t="s">
        <v>665</v>
      </c>
      <c r="E143" s="71"/>
      <c r="F143" s="27"/>
      <c r="G143" s="27"/>
      <c r="H143" s="27"/>
      <c r="I143" s="27"/>
      <c r="J143" s="27"/>
      <c r="K143" s="253" t="s">
        <v>667</v>
      </c>
      <c r="L143" s="72"/>
      <c r="M143" s="27"/>
      <c r="N143" s="27"/>
      <c r="O143" s="27"/>
      <c r="P143" s="27"/>
      <c r="Q143" s="27"/>
      <c r="R143" s="27"/>
      <c r="S143" s="27"/>
      <c r="T143" s="27"/>
      <c r="U143" s="27"/>
      <c r="V143" s="27"/>
      <c r="W143" s="27"/>
    </row>
    <row r="144" spans="1:23" ht="15" customHeight="1">
      <c r="D144" s="1" t="s">
        <v>56</v>
      </c>
      <c r="E144" s="29"/>
      <c r="K144" s="543" t="s">
        <v>520</v>
      </c>
      <c r="L144" s="30"/>
    </row>
    <row r="145" spans="2:23" ht="15" customHeight="1">
      <c r="D145" s="27" t="s">
        <v>57</v>
      </c>
      <c r="E145" s="71"/>
      <c r="F145" s="27"/>
      <c r="G145" s="27"/>
      <c r="H145" s="27"/>
      <c r="I145" s="27"/>
      <c r="J145" s="27"/>
      <c r="K145" s="605" t="s">
        <v>666</v>
      </c>
      <c r="L145" s="72"/>
      <c r="M145" s="27"/>
      <c r="N145" s="27"/>
      <c r="O145" s="27"/>
      <c r="P145" s="27"/>
      <c r="Q145" s="27"/>
      <c r="R145" s="27"/>
      <c r="S145" s="27"/>
      <c r="T145" s="27"/>
      <c r="U145" s="27"/>
      <c r="V145" s="27"/>
      <c r="W145" s="27"/>
    </row>
    <row r="146" spans="2:23" ht="15" customHeight="1">
      <c r="D146" s="1"/>
      <c r="E146" s="29"/>
      <c r="K146" s="1"/>
    </row>
    <row r="147" spans="2:23" ht="15" customHeight="1">
      <c r="D147" s="1"/>
      <c r="E147" s="29"/>
      <c r="K147" s="1"/>
    </row>
    <row r="148" spans="2:23" ht="15" customHeight="1">
      <c r="D148" s="1"/>
      <c r="E148" s="29"/>
      <c r="L148" s="30"/>
    </row>
    <row r="149" spans="2:23" s="475" customFormat="1" ht="15" customHeight="1">
      <c r="B149" s="479" t="s">
        <v>104</v>
      </c>
      <c r="C149" s="477"/>
      <c r="D149" s="478"/>
      <c r="K149" s="472"/>
    </row>
  </sheetData>
  <sheetProtection sheet="1" objects="1" scenarios="1"/>
  <conditionalFormatting sqref="I6">
    <cfRule type="cellIs" dxfId="729" priority="29" operator="between">
      <formula>0-ErrorTolerance</formula>
      <formula>ErrorTolerance</formula>
    </cfRule>
  </conditionalFormatting>
  <conditionalFormatting sqref="B2:E3 J2:N2 J3 R3 Q2">
    <cfRule type="expression" dxfId="728" priority="186">
      <formula>$I$6&lt;ErrorTolerance</formula>
    </cfRule>
  </conditionalFormatting>
  <conditionalFormatting sqref="B3">
    <cfRule type="expression" dxfId="727" priority="195">
      <formula>#REF!&gt;=ErrorTolerance</formula>
    </cfRule>
  </conditionalFormatting>
  <conditionalFormatting sqref="K3:N3 Q3">
    <cfRule type="expression" dxfId="726" priority="20">
      <formula>$I$6&lt;ErrorTolerance</formula>
    </cfRule>
  </conditionalFormatting>
  <conditionalFormatting sqref="I7">
    <cfRule type="cellIs" dxfId="725" priority="19" operator="between">
      <formula>-ErrorTolerance</formula>
      <formula>ErrorTolerance</formula>
    </cfRule>
  </conditionalFormatting>
  <conditionalFormatting sqref="H2">
    <cfRule type="expression" dxfId="724" priority="14">
      <formula>Model.Navigation.View=No</formula>
    </cfRule>
  </conditionalFormatting>
  <conditionalFormatting sqref="H2">
    <cfRule type="expression" dxfId="723" priority="13">
      <formula>Model.Navigation.View=No</formula>
    </cfRule>
  </conditionalFormatting>
  <conditionalFormatting sqref="I2">
    <cfRule type="expression" dxfId="722" priority="10">
      <formula>Model.Navigation.View=No</formula>
    </cfRule>
  </conditionalFormatting>
  <conditionalFormatting sqref="I2">
    <cfRule type="expression" dxfId="721" priority="9">
      <formula>Model.Navigation.View=No</formula>
    </cfRule>
  </conditionalFormatting>
  <conditionalFormatting sqref="F2">
    <cfRule type="expression" dxfId="720" priority="8">
      <formula>Model.Navigation.View=No</formula>
    </cfRule>
  </conditionalFormatting>
  <conditionalFormatting sqref="F2">
    <cfRule type="expression" dxfId="719" priority="7">
      <formula>Model.Navigation.View=No</formula>
    </cfRule>
  </conditionalFormatting>
  <conditionalFormatting sqref="G2">
    <cfRule type="expression" dxfId="718" priority="6">
      <formula>Model.Navigation.View=No</formula>
    </cfRule>
  </conditionalFormatting>
  <conditionalFormatting sqref="G2">
    <cfRule type="expression" dxfId="717" priority="5">
      <formula>Model.Navigation.View=No</formula>
    </cfRule>
  </conditionalFormatting>
  <conditionalFormatting sqref="P2">
    <cfRule type="expression" dxfId="716" priority="4">
      <formula>$I$6&lt;ErrorTolerance</formula>
    </cfRule>
  </conditionalFormatting>
  <conditionalFormatting sqref="P3">
    <cfRule type="expression" dxfId="715" priority="3">
      <formula>$I$6&lt;ErrorTolerance</formula>
    </cfRule>
  </conditionalFormatting>
  <conditionalFormatting sqref="O2">
    <cfRule type="expression" dxfId="714" priority="2">
      <formula>$I$6&lt;ErrorTolerance</formula>
    </cfRule>
  </conditionalFormatting>
  <conditionalFormatting sqref="O3">
    <cfRule type="expression" dxfId="713" priority="1">
      <formula>$I$6&lt;ErrorTolerance</formula>
    </cfRule>
  </conditionalFormatting>
  <hyperlinks>
    <hyperlink ref="H2" location="'2.3 Selskabsspecifikke input'!B2" tooltip="Gå til selskabsspecifikke input" display="¤" xr:uid="{CF340B76-EE29-4F7F-A693-E2B6C4D705A7}"/>
    <hyperlink ref="G2" location="'2.1 Model setup'!B11" tooltip="Gå til toppen af arket" display="é" xr:uid="{0603687F-B30D-4750-B65A-D993A4427EA5}"/>
    <hyperlink ref="F2" location="Modeloverblik!B2" tooltip="Gå til modelbeskrivelse" display="&amp;" xr:uid="{6A131999-B897-4C1A-A86E-BE4C6A9FC23E}"/>
    <hyperlink ref="I2" location="'4.1 Fejl- og kontroloversigt'!B2" tooltip="Gå til oversigt over fejl- og kontrolchecks" display="" xr:uid="{DC0249B0-EA27-4B52-8B26-7B9A73C3E43D}"/>
  </hyperlinks>
  <pageMargins left="0.70866141732283472" right="0.70866141732283472" top="0.74803149606299213" bottom="0.74803149606299213" header="0.31496062992125984" footer="0.31496062992125984"/>
  <pageSetup paperSize="9" scale="73"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rowBreaks count="2" manualBreakCount="2">
    <brk id="23" max="27" man="1"/>
    <brk id="37" max="2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FCC55-ACAB-4DB9-8313-E1FF6D4472FB}">
  <sheetPr codeName="Sheet26">
    <tabColor rgb="FFCFCFCF"/>
    <outlinePr summaryBelow="0"/>
    <pageSetUpPr fitToPage="1"/>
  </sheetPr>
  <dimension ref="A1:AJ465"/>
  <sheetViews>
    <sheetView showGridLines="0" zoomScale="85" zoomScaleNormal="85" workbookViewId="0">
      <pane xSplit="14" ySplit="10" topLeftCell="O11" activePane="bottomRight" state="frozen"/>
      <selection pane="topRight" activeCell="Q1" sqref="Q1"/>
      <selection pane="bottomLeft" activeCell="A9" sqref="A9"/>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16" width="18.6640625" style="1" customWidth="1"/>
    <col min="17" max="17" width="18.6640625" style="1" hidden="1" customWidth="1"/>
    <col min="18" max="23" width="18.6640625" style="1" customWidth="1"/>
    <col min="24" max="36" width="16.6640625" style="1" customWidth="1"/>
    <col min="37" max="16384" width="16.6640625" style="1" hidden="1"/>
  </cols>
  <sheetData>
    <row r="1" spans="1:23" ht="4.9000000000000004" customHeight="1">
      <c r="A1" s="486"/>
    </row>
    <row r="2" spans="1:23" ht="19.899999999999999" customHeight="1">
      <c r="B2" s="6" t="str">
        <f ca="1" xml:space="preserve"> MID( CELL("filename", B2), FIND("]", CELL("filename",B2) ) + 1, Model.MaxChars)</f>
        <v>2.2 Generelle input</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1:23"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1:23" ht="15" customHeight="1">
      <c r="F4" s="74" t="s">
        <v>274</v>
      </c>
      <c r="G4" s="2"/>
      <c r="I4" s="25">
        <f xml:space="preserve"> SUM(L:L)</f>
        <v>0</v>
      </c>
    </row>
    <row r="5" spans="1:23" ht="15" customHeight="1">
      <c r="F5" s="74" t="s">
        <v>275</v>
      </c>
      <c r="G5" s="2"/>
      <c r="I5" s="84">
        <f xml:space="preserve"> SUM(M:M)</f>
        <v>0</v>
      </c>
    </row>
    <row r="6" spans="1:23" ht="15" customHeight="1">
      <c r="F6" s="74" t="s">
        <v>276</v>
      </c>
      <c r="G6" s="2"/>
      <c r="I6" s="25">
        <f xml:space="preserve"> SUM( L:L ) + SUM( '1.1 Provenu'!L:L ) + SUM( '1.2 Tarifoversigt'!L:L) + SUM( '1.3 Varslingsanalyse'!L:L) + SUM( '1.4 Hoveddata'!L:L) + SUM('2.1 Model setup'!L:L ) + SUM( '2.3 Selskabsspecifikke input'!L:L) + SUM( '3.1 Opsplitning af forbrug'!L:L) + SUM( '3.2 Abonnement'!L:L) + SUM( '3.3 Forbrugstariffer og effekt'!L:L) + SUM( '3.4 Tidsdifferentieret tarif'!L:L) + SUM('3.5 Indfødningstarif'!L:L)+ SUM( 'Hjælpeark, forbrugsnøgler'!L:L) + SUM( 'Hjælpeark, fall-back-metoden'!L:L )</f>
        <v>0</v>
      </c>
    </row>
    <row r="7" spans="1:23" ht="15" customHeight="1">
      <c r="F7" s="75" t="s">
        <v>236</v>
      </c>
      <c r="G7" s="26"/>
      <c r="H7" s="27"/>
      <c r="I7" s="329">
        <f xml:space="preserve"> '1.3 Varslingsanalyse'!I7</f>
        <v>0</v>
      </c>
    </row>
    <row r="8" spans="1:23" ht="15" customHeight="1">
      <c r="L8" s="484" t="str">
        <f xml:space="preserve"> Header.Labels</f>
        <v>Checks</v>
      </c>
      <c r="M8" s="484"/>
    </row>
    <row r="9" spans="1:23" ht="5.0999999999999996" customHeight="1">
      <c r="E9" s="14"/>
      <c r="F9" s="28"/>
      <c r="G9" s="28"/>
      <c r="H9" s="28"/>
      <c r="I9" s="28"/>
      <c r="J9" s="28"/>
      <c r="L9" s="485"/>
      <c r="M9" s="473"/>
      <c r="N9" s="28"/>
      <c r="O9" s="28"/>
      <c r="P9" s="28"/>
      <c r="Q9" s="28"/>
    </row>
    <row r="10" spans="1:23"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1:23" s="15" customFormat="1" ht="15" customHeight="1">
      <c r="C11" s="16"/>
      <c r="D11" s="17"/>
      <c r="F11" s="1"/>
      <c r="K11" s="19"/>
    </row>
    <row r="12" spans="1:23" s="475" customFormat="1" ht="15" customHeight="1">
      <c r="B12" s="479" t="str">
        <f xml:space="preserve"> COUNTA(B$10:B11) &amp; ") Input vedrørende egenproducenter"</f>
        <v>1) Input vedrørende egenproducenter</v>
      </c>
      <c r="C12" s="477"/>
      <c r="D12" s="478"/>
      <c r="K12" s="472"/>
    </row>
    <row r="13" spans="1:23" s="143" customFormat="1" ht="15" customHeight="1">
      <c r="C13" s="144"/>
      <c r="D13" s="145" t="s">
        <v>9</v>
      </c>
      <c r="K13" s="146"/>
      <c r="L13" s="147"/>
      <c r="M13" s="147"/>
    </row>
    <row r="14" spans="1:23" customFormat="1" ht="15" customHeight="1">
      <c r="A14" s="1"/>
      <c r="B14" s="1"/>
      <c r="C14" s="2"/>
      <c r="D14" s="88" t="s">
        <v>194</v>
      </c>
      <c r="E14" s="1"/>
      <c r="F14" s="86"/>
      <c r="G14" s="86"/>
      <c r="H14" s="86"/>
      <c r="I14" s="86"/>
      <c r="J14" s="86"/>
      <c r="K14" s="87"/>
      <c r="L14" s="85"/>
      <c r="M14" s="85"/>
      <c r="N14" s="86"/>
      <c r="O14" s="86"/>
      <c r="P14" s="86"/>
      <c r="Q14" s="86"/>
      <c r="R14" s="1"/>
      <c r="S14" s="1"/>
      <c r="T14" s="1"/>
      <c r="U14" s="1"/>
      <c r="V14" s="1"/>
      <c r="W14" s="1"/>
    </row>
    <row r="15" spans="1:23" customFormat="1" ht="15" customHeight="1">
      <c r="A15" s="1"/>
      <c r="B15" s="1"/>
      <c r="C15" s="2"/>
      <c r="D15" s="90" t="s">
        <v>121</v>
      </c>
      <c r="E15" s="33"/>
      <c r="F15" s="91"/>
      <c r="G15" s="91"/>
      <c r="H15" s="91"/>
      <c r="I15" s="91"/>
      <c r="J15" s="91"/>
      <c r="K15" s="148" t="s">
        <v>122</v>
      </c>
      <c r="L15" s="90">
        <f xml:space="preserve"> -- ( COUNTIF( R15:V15, "&lt;0" ) &gt; 0 ) + -- ( COUNTIF( R15:V15, "*" ) &gt; 0 )</f>
        <v>0</v>
      </c>
      <c r="M15" s="139">
        <f xml:space="preserve"> -- ( OR( COUNTIF( R15:V15,  "=0" ) &gt; 0, COUNTIF( R15:V15,  "" ) &gt; 0 ) )</f>
        <v>0</v>
      </c>
      <c r="N15" s="91"/>
      <c r="O15" s="380"/>
      <c r="P15" s="380"/>
      <c r="Q15" s="380"/>
      <c r="R15" s="149">
        <v>65</v>
      </c>
      <c r="S15" s="149">
        <v>65</v>
      </c>
      <c r="T15" s="149">
        <v>65</v>
      </c>
      <c r="U15" s="149">
        <v>65</v>
      </c>
      <c r="V15" s="149">
        <v>65</v>
      </c>
      <c r="W15" s="33"/>
    </row>
    <row r="16" spans="1:23" customFormat="1" ht="15" customHeight="1">
      <c r="A16" s="1"/>
      <c r="B16" s="1"/>
      <c r="C16" s="2"/>
      <c r="D16" s="85"/>
      <c r="E16" s="1"/>
      <c r="F16" s="86"/>
      <c r="G16" s="86"/>
      <c r="H16" s="86"/>
      <c r="I16" s="86"/>
      <c r="J16" s="86"/>
      <c r="K16" s="87"/>
      <c r="L16" s="85"/>
      <c r="M16" s="85"/>
      <c r="N16" s="86"/>
      <c r="O16" s="86"/>
      <c r="P16" s="86"/>
      <c r="Q16" s="86"/>
      <c r="R16" s="1"/>
      <c r="S16" s="1"/>
      <c r="T16" s="1"/>
      <c r="U16" s="1"/>
      <c r="V16" s="1"/>
      <c r="W16" s="1"/>
    </row>
    <row r="17" spans="1:23" customFormat="1" ht="15" customHeight="1">
      <c r="A17" s="1"/>
      <c r="B17" s="1"/>
      <c r="C17" s="2"/>
      <c r="D17" s="85"/>
      <c r="E17" s="1"/>
      <c r="F17" s="86"/>
      <c r="G17" s="86"/>
      <c r="H17" s="86"/>
      <c r="I17" s="86"/>
      <c r="J17" s="86"/>
      <c r="K17" s="87"/>
      <c r="L17" s="85"/>
      <c r="M17" s="85"/>
      <c r="N17" s="86"/>
      <c r="O17" s="86"/>
      <c r="P17" s="86"/>
      <c r="Q17" s="86"/>
      <c r="R17" s="1"/>
      <c r="S17" s="1"/>
      <c r="T17" s="1"/>
      <c r="U17" s="1"/>
      <c r="V17" s="1"/>
      <c r="W17" s="1"/>
    </row>
    <row r="18" spans="1:23" customFormat="1" ht="15" customHeight="1">
      <c r="A18" s="1"/>
      <c r="B18" s="1"/>
      <c r="C18" s="2"/>
      <c r="D18" s="85"/>
      <c r="E18" s="1"/>
      <c r="F18" s="86"/>
      <c r="G18" s="86"/>
      <c r="H18" s="86"/>
      <c r="I18" s="86"/>
      <c r="J18" s="86"/>
      <c r="K18" s="87"/>
      <c r="L18" s="85"/>
      <c r="M18" s="85"/>
      <c r="N18" s="86"/>
      <c r="O18" s="86"/>
      <c r="P18" s="86"/>
      <c r="Q18" s="86"/>
      <c r="R18" s="1"/>
      <c r="S18" s="1"/>
      <c r="T18" s="1"/>
      <c r="U18" s="1"/>
      <c r="V18" s="1"/>
      <c r="W18" s="1"/>
    </row>
    <row r="19" spans="1:23" s="475" customFormat="1" ht="15" customHeight="1">
      <c r="B19" s="479" t="str">
        <f xml:space="preserve"> COUNTA(B$10:B16) &amp; ") Input til fordelingsnøgler"</f>
        <v>2) Input til fordelingsnøgler</v>
      </c>
      <c r="C19" s="477"/>
      <c r="D19" s="478"/>
      <c r="K19" s="472"/>
    </row>
    <row r="20" spans="1:23" customFormat="1" ht="15" customHeight="1">
      <c r="A20" s="1"/>
      <c r="B20" s="1"/>
      <c r="C20" s="2"/>
      <c r="D20" s="85"/>
      <c r="E20" s="1"/>
      <c r="F20" s="86"/>
      <c r="G20" s="86"/>
      <c r="H20" s="86"/>
      <c r="I20" s="86"/>
      <c r="J20" s="86"/>
      <c r="K20" s="87"/>
      <c r="L20" s="85"/>
      <c r="M20" s="85"/>
      <c r="N20" s="86"/>
      <c r="O20" s="86"/>
      <c r="P20" s="86"/>
      <c r="Q20" s="86"/>
      <c r="R20" s="1"/>
      <c r="S20" s="1"/>
      <c r="T20" s="1"/>
      <c r="U20" s="1"/>
      <c r="V20" s="1"/>
      <c r="W20" s="1"/>
    </row>
    <row r="21" spans="1:23" customFormat="1" ht="15" customHeight="1">
      <c r="A21" s="1"/>
      <c r="B21" s="1"/>
      <c r="C21" s="2"/>
      <c r="D21" s="97" t="s">
        <v>50</v>
      </c>
      <c r="E21" s="27"/>
      <c r="F21" s="107"/>
      <c r="G21" s="107"/>
      <c r="H21" s="107"/>
      <c r="I21" s="107"/>
      <c r="J21" s="107"/>
      <c r="K21" s="98"/>
      <c r="L21" s="99"/>
      <c r="M21" s="99"/>
      <c r="N21" s="107"/>
      <c r="O21" s="107"/>
      <c r="P21" s="107"/>
      <c r="Q21" s="107"/>
      <c r="R21" s="1"/>
      <c r="S21" s="27"/>
      <c r="T21" s="27"/>
      <c r="U21" s="27"/>
      <c r="V21" s="27"/>
      <c r="W21" s="27"/>
    </row>
    <row r="22" spans="1:23" customFormat="1" ht="15" customHeight="1">
      <c r="A22" s="1"/>
      <c r="B22" s="1"/>
      <c r="C22" s="2"/>
      <c r="D22" s="85" t="str">
        <f xml:space="preserve"> '2.1 Model setup'!K70</f>
        <v>1.1 Drift og vedligeholdelse af transformerstationer</v>
      </c>
      <c r="E22" s="1"/>
      <c r="F22" s="15"/>
      <c r="G22" s="15"/>
      <c r="H22" s="15"/>
      <c r="I22" s="15"/>
      <c r="J22" s="15"/>
      <c r="K22" s="87" t="s">
        <v>8</v>
      </c>
      <c r="L22" s="85"/>
      <c r="M22" s="85"/>
      <c r="N22" s="133" t="s">
        <v>54</v>
      </c>
      <c r="O22" s="411"/>
      <c r="P22" s="411"/>
      <c r="Q22" s="411"/>
      <c r="R22" s="275"/>
      <c r="S22" s="1"/>
      <c r="T22" s="1"/>
      <c r="U22" s="1"/>
      <c r="V22" s="1"/>
      <c r="W22" s="1"/>
    </row>
    <row r="23" spans="1:23" customFormat="1" ht="15" customHeight="1">
      <c r="A23" s="1"/>
      <c r="B23" s="1"/>
      <c r="C23" s="2"/>
      <c r="D23" s="85" t="str">
        <f xml:space="preserve"> '2.1 Model setup'!K71</f>
        <v>1.2 Drift og vedligeholdelse af ledningsnet</v>
      </c>
      <c r="E23" s="1"/>
      <c r="F23" s="1"/>
      <c r="G23" s="1"/>
      <c r="H23" s="1"/>
      <c r="I23" s="1"/>
      <c r="J23" s="1"/>
      <c r="K23" s="87" t="s">
        <v>8</v>
      </c>
      <c r="L23" s="85"/>
      <c r="M23" s="85"/>
      <c r="N23" s="134" t="s">
        <v>54</v>
      </c>
      <c r="O23" s="412"/>
      <c r="P23" s="412"/>
      <c r="Q23" s="412"/>
      <c r="R23" s="276"/>
      <c r="S23" s="1"/>
      <c r="T23" s="1"/>
      <c r="U23" s="1"/>
      <c r="V23" s="1"/>
      <c r="W23" s="1"/>
    </row>
    <row r="24" spans="1:23" customFormat="1" ht="15" customHeight="1">
      <c r="A24" s="1"/>
      <c r="B24" s="1"/>
      <c r="C24" s="2"/>
      <c r="D24" s="85" t="str">
        <f xml:space="preserve"> '2.1 Model setup'!K72</f>
        <v>1.3 Øvrige omkostninger til drift, styring og kontrol af elnettet</v>
      </c>
      <c r="E24" s="1"/>
      <c r="F24" s="1"/>
      <c r="G24" s="1"/>
      <c r="H24" s="1"/>
      <c r="I24" s="1"/>
      <c r="J24" s="1"/>
      <c r="K24" s="87" t="s">
        <v>8</v>
      </c>
      <c r="L24" s="85"/>
      <c r="M24" s="85"/>
      <c r="N24" s="134" t="s">
        <v>54</v>
      </c>
      <c r="O24" s="412"/>
      <c r="P24" s="412"/>
      <c r="Q24" s="412"/>
      <c r="R24" s="276"/>
      <c r="S24" s="1"/>
      <c r="T24" s="1"/>
      <c r="U24" s="1"/>
      <c r="V24" s="1"/>
      <c r="W24" s="1"/>
    </row>
    <row r="25" spans="1:23" customFormat="1" ht="15" customHeight="1">
      <c r="A25" s="1"/>
      <c r="B25" s="1"/>
      <c r="C25" s="2"/>
      <c r="D25" s="85" t="str">
        <f xml:space="preserve"> '2.1 Model setup'!K73</f>
        <v>1.4 Omkostninger vedrørende 132-150/30-60 kV-stationer</v>
      </c>
      <c r="E25" s="1"/>
      <c r="F25" s="1"/>
      <c r="G25" s="1"/>
      <c r="H25" s="1"/>
      <c r="I25" s="1"/>
      <c r="J25" s="1"/>
      <c r="K25" s="87" t="s">
        <v>8</v>
      </c>
      <c r="L25" s="85"/>
      <c r="M25" s="85"/>
      <c r="N25" s="134" t="s">
        <v>54</v>
      </c>
      <c r="O25" s="412"/>
      <c r="P25" s="412"/>
      <c r="Q25" s="412"/>
      <c r="R25" s="276"/>
      <c r="S25" s="1"/>
      <c r="T25" s="1"/>
      <c r="U25" s="1"/>
      <c r="V25" s="1"/>
      <c r="W25" s="1"/>
    </row>
    <row r="26" spans="1:23" customFormat="1" ht="15" customHeight="1">
      <c r="A26" s="1"/>
      <c r="B26" s="1"/>
      <c r="C26" s="2"/>
      <c r="D26" s="85" t="str">
        <f xml:space="preserve"> '2.1 Model setup'!K74</f>
        <v>2.1 Drift og vedligeholdelse af målere</v>
      </c>
      <c r="E26" s="1"/>
      <c r="F26" s="1"/>
      <c r="G26" s="1"/>
      <c r="H26" s="1"/>
      <c r="I26" s="1"/>
      <c r="J26" s="1"/>
      <c r="K26" s="87" t="s">
        <v>8</v>
      </c>
      <c r="L26" s="85"/>
      <c r="M26" s="85"/>
      <c r="N26" s="134" t="s">
        <v>52</v>
      </c>
      <c r="O26" s="412"/>
      <c r="P26" s="412"/>
      <c r="Q26" s="412"/>
      <c r="R26" s="276"/>
      <c r="S26" s="1"/>
      <c r="T26" s="1"/>
      <c r="U26" s="1"/>
      <c r="V26" s="1"/>
      <c r="W26" s="1"/>
    </row>
    <row r="27" spans="1:23" customFormat="1" ht="15" customHeight="1">
      <c r="A27" s="1"/>
      <c r="B27" s="1"/>
      <c r="C27" s="2"/>
      <c r="D27" s="85" t="str">
        <f xml:space="preserve"> '2.1 Model setup'!K75</f>
        <v>2.2 Indhentning og validering af målerdata</v>
      </c>
      <c r="E27" s="1"/>
      <c r="F27" s="1"/>
      <c r="G27" s="1"/>
      <c r="H27" s="1"/>
      <c r="I27" s="1"/>
      <c r="J27" s="1"/>
      <c r="K27" s="87" t="s">
        <v>8</v>
      </c>
      <c r="L27" s="85"/>
      <c r="M27" s="85"/>
      <c r="N27" s="134" t="s">
        <v>53</v>
      </c>
      <c r="O27" s="412"/>
      <c r="P27" s="412"/>
      <c r="Q27" s="412"/>
      <c r="R27" s="276"/>
      <c r="S27" s="1"/>
      <c r="T27" s="1"/>
      <c r="U27" s="1"/>
      <c r="V27" s="1"/>
      <c r="W27" s="1"/>
    </row>
    <row r="28" spans="1:23" customFormat="1" ht="15" customHeight="1">
      <c r="A28" s="1"/>
      <c r="B28" s="1"/>
      <c r="C28" s="2"/>
      <c r="D28" s="85" t="str">
        <f xml:space="preserve"> '2.1 Model setup'!K76</f>
        <v>2.3 Måleradministration og kundehåndtering</v>
      </c>
      <c r="E28" s="1"/>
      <c r="F28" s="1"/>
      <c r="G28" s="1"/>
      <c r="H28" s="1"/>
      <c r="I28" s="1"/>
      <c r="J28" s="1"/>
      <c r="K28" s="87" t="s">
        <v>8</v>
      </c>
      <c r="L28" s="85"/>
      <c r="M28" s="85"/>
      <c r="N28" s="134" t="s">
        <v>64</v>
      </c>
      <c r="O28" s="412"/>
      <c r="P28" s="412"/>
      <c r="Q28" s="412"/>
      <c r="R28" s="276"/>
      <c r="S28" s="1"/>
      <c r="T28" s="1"/>
      <c r="U28" s="1"/>
      <c r="V28" s="1"/>
      <c r="W28" s="1"/>
    </row>
    <row r="29" spans="1:23" customFormat="1" ht="15" customHeight="1">
      <c r="A29" s="1"/>
      <c r="B29" s="1"/>
      <c r="C29" s="2"/>
      <c r="D29" s="85" t="str">
        <f xml:space="preserve"> '2.1 Model setup'!K77</f>
        <v>3.1 Generel administration</v>
      </c>
      <c r="E29" s="1"/>
      <c r="F29" s="1"/>
      <c r="G29" s="1"/>
      <c r="H29" s="1"/>
      <c r="I29" s="1"/>
      <c r="J29" s="1"/>
      <c r="K29" s="87" t="s">
        <v>8</v>
      </c>
      <c r="L29" s="85"/>
      <c r="M29" s="85"/>
      <c r="N29" s="134" t="s">
        <v>64</v>
      </c>
      <c r="O29" s="412"/>
      <c r="P29" s="412"/>
      <c r="Q29" s="412"/>
      <c r="R29" s="276"/>
      <c r="S29" s="1"/>
      <c r="T29" s="1"/>
      <c r="U29" s="1"/>
      <c r="V29" s="1"/>
      <c r="W29" s="1"/>
    </row>
    <row r="30" spans="1:23" customFormat="1" ht="15" customHeight="1">
      <c r="A30" s="1"/>
      <c r="B30" s="1"/>
      <c r="C30" s="2"/>
      <c r="D30" s="85" t="str">
        <f xml:space="preserve"> '2.1 Model setup'!K78</f>
        <v>4.1 Omkostninger vedrørende nettab i transformerstationer</v>
      </c>
      <c r="E30" s="1"/>
      <c r="F30" s="1"/>
      <c r="G30" s="1"/>
      <c r="H30" s="1"/>
      <c r="I30" s="1"/>
      <c r="J30" s="1"/>
      <c r="K30" s="87" t="s">
        <v>8</v>
      </c>
      <c r="L30" s="85"/>
      <c r="M30" s="85"/>
      <c r="N30" s="134" t="s">
        <v>54</v>
      </c>
      <c r="O30" s="412"/>
      <c r="P30" s="412"/>
      <c r="Q30" s="412"/>
      <c r="R30" s="276"/>
      <c r="S30" s="1"/>
      <c r="T30" s="1"/>
      <c r="U30" s="1"/>
      <c r="V30" s="1"/>
      <c r="W30" s="1"/>
    </row>
    <row r="31" spans="1:23" customFormat="1" ht="15" customHeight="1">
      <c r="A31" s="1"/>
      <c r="B31" s="1"/>
      <c r="C31" s="2"/>
      <c r="D31" s="85" t="str">
        <f xml:space="preserve"> '2.1 Model setup'!K79</f>
        <v>4.2 Omkostninger vedrørende nettab i ledningsnettet</v>
      </c>
      <c r="E31" s="1"/>
      <c r="F31" s="1"/>
      <c r="G31" s="1"/>
      <c r="H31" s="1"/>
      <c r="I31" s="1"/>
      <c r="J31" s="1"/>
      <c r="K31" s="87" t="s">
        <v>8</v>
      </c>
      <c r="L31" s="85"/>
      <c r="M31" s="85"/>
      <c r="N31" s="134" t="s">
        <v>54</v>
      </c>
      <c r="O31" s="412"/>
      <c r="P31" s="412"/>
      <c r="Q31" s="412"/>
      <c r="R31" s="276"/>
      <c r="S31" s="1"/>
      <c r="T31" s="1"/>
      <c r="U31" s="1"/>
      <c r="V31" s="1"/>
      <c r="W31" s="1"/>
    </row>
    <row r="32" spans="1:23" customFormat="1" ht="15" customHeight="1">
      <c r="A32" s="1"/>
      <c r="B32" s="1"/>
      <c r="C32" s="2"/>
      <c r="D32" s="85" t="str">
        <f xml:space="preserve"> '2.1 Model setup'!K80</f>
        <v>5.1 Omkostninger til overliggende net ifm. forbrug</v>
      </c>
      <c r="E32" s="1"/>
      <c r="F32" s="1"/>
      <c r="G32" s="1"/>
      <c r="H32" s="1"/>
      <c r="I32" s="1"/>
      <c r="J32" s="1"/>
      <c r="K32" s="87" t="s">
        <v>8</v>
      </c>
      <c r="L32" s="85"/>
      <c r="M32" s="85"/>
      <c r="N32" s="134" t="s">
        <v>54</v>
      </c>
      <c r="O32" s="412"/>
      <c r="P32" s="412"/>
      <c r="Q32" s="412"/>
      <c r="R32" s="276"/>
      <c r="S32" s="1"/>
      <c r="T32" s="1"/>
      <c r="U32" s="1"/>
      <c r="V32" s="1"/>
      <c r="W32" s="1"/>
    </row>
    <row r="33" spans="1:23" customFormat="1" ht="15" customHeight="1">
      <c r="A33" s="1"/>
      <c r="B33" s="1"/>
      <c r="C33" s="2"/>
      <c r="D33" s="85" t="str">
        <f xml:space="preserve"> '2.1 Model setup'!K81</f>
        <v>5.2 Øvrige omkostninger</v>
      </c>
      <c r="E33" s="1"/>
      <c r="F33" s="1"/>
      <c r="G33" s="1"/>
      <c r="H33" s="1"/>
      <c r="I33" s="1"/>
      <c r="J33" s="1"/>
      <c r="K33" s="87"/>
      <c r="L33" s="85"/>
      <c r="M33" s="85"/>
      <c r="N33" s="136"/>
      <c r="O33" s="1"/>
      <c r="P33" s="1"/>
      <c r="Q33" s="1"/>
      <c r="R33" s="20"/>
      <c r="S33" s="1"/>
      <c r="T33" s="1"/>
      <c r="U33" s="1"/>
      <c r="V33" s="1"/>
      <c r="W33" s="1"/>
    </row>
    <row r="34" spans="1:23" customFormat="1" ht="15" customHeight="1">
      <c r="A34" s="1"/>
      <c r="B34" s="1"/>
      <c r="C34" s="2"/>
      <c r="D34" s="85" t="str">
        <f xml:space="preserve"> '2.1 Model setup'!K82</f>
        <v>6.1 Afskrivninger på transformerstationer</v>
      </c>
      <c r="E34" s="1"/>
      <c r="F34" s="1"/>
      <c r="G34" s="1"/>
      <c r="H34" s="1"/>
      <c r="I34" s="1"/>
      <c r="J34" s="1"/>
      <c r="K34" s="87"/>
      <c r="L34" s="85"/>
      <c r="M34" s="85"/>
      <c r="N34" s="136"/>
      <c r="O34" s="1"/>
      <c r="P34" s="1"/>
      <c r="Q34" s="1"/>
      <c r="R34" s="20"/>
      <c r="S34" s="1"/>
      <c r="T34" s="1"/>
      <c r="U34" s="1"/>
      <c r="V34" s="1"/>
      <c r="W34" s="1"/>
    </row>
    <row r="35" spans="1:23" customFormat="1" ht="15" customHeight="1">
      <c r="A35" s="1"/>
      <c r="B35" s="1"/>
      <c r="C35" s="2"/>
      <c r="D35" s="85" t="str">
        <f xml:space="preserve"> '2.1 Model setup'!K83</f>
        <v>6.2 Afskrivninger på netaktiver ekskl. målere og transformerstationer</v>
      </c>
      <c r="E35" s="1"/>
      <c r="F35" s="1"/>
      <c r="G35" s="1"/>
      <c r="H35" s="1"/>
      <c r="I35" s="1"/>
      <c r="J35" s="1"/>
      <c r="K35" s="87"/>
      <c r="L35" s="85"/>
      <c r="M35" s="85"/>
      <c r="N35" s="137"/>
      <c r="O35" s="1"/>
      <c r="P35" s="1"/>
      <c r="Q35" s="1"/>
      <c r="R35" s="20"/>
      <c r="S35" s="1"/>
      <c r="T35" s="1"/>
      <c r="U35" s="1"/>
      <c r="V35" s="1"/>
      <c r="W35" s="1"/>
    </row>
    <row r="36" spans="1:23" customFormat="1" ht="15" customHeight="1">
      <c r="A36" s="1"/>
      <c r="B36" s="1"/>
      <c r="C36" s="2"/>
      <c r="D36" s="85" t="str">
        <f xml:space="preserve"> '2.1 Model setup'!K84</f>
        <v>6.3 Afskrivninger på målere</v>
      </c>
      <c r="E36" s="1"/>
      <c r="F36" s="1"/>
      <c r="G36" s="1"/>
      <c r="H36" s="1"/>
      <c r="I36" s="1"/>
      <c r="J36" s="1"/>
      <c r="K36" s="87" t="s">
        <v>8</v>
      </c>
      <c r="L36" s="85"/>
      <c r="M36" s="85"/>
      <c r="N36" s="134" t="s">
        <v>55</v>
      </c>
      <c r="O36" s="412"/>
      <c r="P36" s="412"/>
      <c r="Q36" s="412"/>
      <c r="R36" s="276"/>
      <c r="S36" s="1"/>
      <c r="T36" s="1"/>
      <c r="U36" s="1"/>
      <c r="V36" s="1"/>
      <c r="W36" s="1"/>
    </row>
    <row r="37" spans="1:23" customFormat="1" ht="15" customHeight="1">
      <c r="A37" s="1"/>
      <c r="B37" s="1"/>
      <c r="C37" s="2"/>
      <c r="D37" s="85" t="str">
        <f xml:space="preserve"> '2.1 Model setup'!K85</f>
        <v>7.1 Transformerstationer (forrentning)</v>
      </c>
      <c r="E37" s="1"/>
      <c r="F37" s="1"/>
      <c r="G37" s="1"/>
      <c r="H37" s="1"/>
      <c r="I37" s="1"/>
      <c r="J37" s="1"/>
      <c r="K37" s="87" t="s">
        <v>8</v>
      </c>
      <c r="L37" s="85"/>
      <c r="M37" s="85"/>
      <c r="N37" s="134" t="s">
        <v>23</v>
      </c>
      <c r="O37" s="412"/>
      <c r="P37" s="412"/>
      <c r="Q37" s="412"/>
      <c r="R37" s="276"/>
      <c r="S37" s="1"/>
      <c r="T37" s="1"/>
      <c r="U37" s="1"/>
      <c r="V37" s="1"/>
      <c r="W37" s="1"/>
    </row>
    <row r="38" spans="1:23" customFormat="1" ht="15" customHeight="1">
      <c r="A38" s="1"/>
      <c r="B38" s="1"/>
      <c r="C38" s="2"/>
      <c r="D38" s="85" t="str">
        <f xml:space="preserve"> '2.1 Model setup'!K86</f>
        <v>7.2 Netaktiver ekskl. målere og transformerstationer (forrentning)</v>
      </c>
      <c r="E38" s="1"/>
      <c r="F38" s="1"/>
      <c r="G38" s="1"/>
      <c r="H38" s="1"/>
      <c r="I38" s="1"/>
      <c r="J38" s="1"/>
      <c r="K38" s="87" t="s">
        <v>8</v>
      </c>
      <c r="L38" s="85"/>
      <c r="M38" s="85"/>
      <c r="N38" s="134" t="s">
        <v>22</v>
      </c>
      <c r="O38" s="412"/>
      <c r="P38" s="412"/>
      <c r="Q38" s="412"/>
      <c r="R38" s="276"/>
      <c r="S38" s="1"/>
      <c r="T38" s="1"/>
      <c r="U38" s="1"/>
      <c r="V38" s="1"/>
      <c r="W38" s="1"/>
    </row>
    <row r="39" spans="1:23" customFormat="1" ht="15" customHeight="1">
      <c r="A39" s="1"/>
      <c r="B39" s="1"/>
      <c r="C39" s="2"/>
      <c r="D39" s="99" t="str">
        <f xml:space="preserve"> '2.1 Model setup'!K87</f>
        <v>7.3 Målere (forrentning)</v>
      </c>
      <c r="E39" s="27"/>
      <c r="F39" s="27"/>
      <c r="G39" s="27"/>
      <c r="H39" s="27"/>
      <c r="I39" s="27"/>
      <c r="J39" s="27"/>
      <c r="K39" s="98" t="s">
        <v>8</v>
      </c>
      <c r="L39" s="99"/>
      <c r="M39" s="99"/>
      <c r="N39" s="138" t="s">
        <v>21</v>
      </c>
      <c r="O39" s="413"/>
      <c r="P39" s="413"/>
      <c r="Q39" s="413"/>
      <c r="R39" s="277"/>
      <c r="S39" s="27"/>
      <c r="T39" s="27"/>
      <c r="U39" s="27"/>
      <c r="V39" s="27"/>
      <c r="W39" s="27"/>
    </row>
    <row r="40" spans="1:23" customFormat="1" ht="15" customHeight="1">
      <c r="A40" s="1"/>
      <c r="B40" s="1"/>
      <c r="C40" s="2"/>
      <c r="D40" s="85"/>
      <c r="E40" s="1"/>
      <c r="F40" s="86"/>
      <c r="G40" s="86"/>
      <c r="H40" s="86"/>
      <c r="I40" s="86"/>
      <c r="J40" s="86"/>
      <c r="K40" s="87"/>
      <c r="L40" s="85"/>
      <c r="M40" s="85"/>
      <c r="N40" s="86"/>
      <c r="O40" s="86"/>
      <c r="P40" s="86"/>
      <c r="Q40" s="86"/>
      <c r="R40" s="1"/>
      <c r="S40" s="1"/>
      <c r="T40" s="1"/>
      <c r="U40" s="1"/>
      <c r="V40" s="1"/>
      <c r="W40" s="1"/>
    </row>
    <row r="41" spans="1:23" customFormat="1" ht="15" customHeight="1">
      <c r="A41" s="1"/>
      <c r="B41" s="1"/>
      <c r="C41" s="2"/>
      <c r="D41" s="97" t="s">
        <v>650</v>
      </c>
      <c r="E41" s="27"/>
      <c r="F41" s="107"/>
      <c r="G41" s="107"/>
      <c r="H41" s="107"/>
      <c r="I41" s="107"/>
      <c r="J41" s="107"/>
      <c r="K41" s="98"/>
      <c r="L41" s="99"/>
      <c r="M41" s="99"/>
      <c r="N41" s="107"/>
      <c r="O41" s="107"/>
      <c r="P41" s="107"/>
      <c r="Q41" s="107"/>
      <c r="R41" s="1"/>
      <c r="S41" s="27"/>
      <c r="T41" s="27"/>
      <c r="U41" s="27"/>
      <c r="V41" s="27"/>
      <c r="W41" s="27"/>
    </row>
    <row r="42" spans="1:23" customFormat="1" ht="15" customHeight="1">
      <c r="A42" s="1"/>
      <c r="B42" s="1"/>
      <c r="C42" s="2"/>
      <c r="D42" s="90" t="s">
        <v>651</v>
      </c>
      <c r="E42" s="33"/>
      <c r="F42" s="33"/>
      <c r="G42" s="33"/>
      <c r="H42" s="33"/>
      <c r="I42" s="33"/>
      <c r="J42" s="33"/>
      <c r="K42" s="92" t="s">
        <v>4</v>
      </c>
      <c r="L42" s="90"/>
      <c r="M42" s="90"/>
      <c r="N42" s="596">
        <v>0.45</v>
      </c>
      <c r="O42" s="411"/>
      <c r="P42" s="411"/>
      <c r="Q42" s="411"/>
      <c r="R42" s="275"/>
      <c r="S42" s="1"/>
      <c r="T42" s="1"/>
      <c r="U42" s="1"/>
      <c r="V42" s="1"/>
      <c r="W42" s="1"/>
    </row>
    <row r="43" spans="1:23" customFormat="1" ht="15" customHeight="1">
      <c r="A43" s="1"/>
      <c r="B43" s="1"/>
      <c r="C43" s="2"/>
      <c r="D43" s="85"/>
      <c r="E43" s="1"/>
      <c r="F43" s="86"/>
      <c r="G43" s="86"/>
      <c r="H43" s="86"/>
      <c r="I43" s="86"/>
      <c r="J43" s="86"/>
      <c r="K43" s="87"/>
      <c r="L43" s="85"/>
      <c r="M43" s="85"/>
      <c r="N43" s="86"/>
      <c r="O43" s="86"/>
      <c r="P43" s="86"/>
      <c r="Q43" s="86"/>
      <c r="R43" s="1"/>
      <c r="S43" s="1"/>
      <c r="T43" s="1"/>
      <c r="U43" s="1"/>
      <c r="V43" s="1"/>
      <c r="W43" s="1"/>
    </row>
    <row r="44" spans="1:23" customFormat="1" ht="15" customHeight="1">
      <c r="A44" s="1"/>
      <c r="B44" s="1"/>
      <c r="C44" s="2"/>
      <c r="D44" s="88" t="s">
        <v>338</v>
      </c>
      <c r="E44" s="1"/>
      <c r="F44" s="85"/>
      <c r="G44" s="85"/>
      <c r="H44" s="85"/>
      <c r="I44" s="85"/>
      <c r="J44" s="85"/>
      <c r="K44" s="87"/>
      <c r="L44" s="85"/>
      <c r="M44" s="85"/>
      <c r="N44" s="85"/>
      <c r="O44" s="85"/>
      <c r="P44" s="85"/>
      <c r="Q44" s="85"/>
      <c r="R44" s="1"/>
      <c r="S44" s="1"/>
      <c r="T44" s="1"/>
      <c r="U44" s="1"/>
      <c r="V44" s="1"/>
      <c r="W44" s="4"/>
    </row>
    <row r="45" spans="1:23" customFormat="1" ht="15" customHeight="1">
      <c r="A45" s="1"/>
      <c r="B45" s="1"/>
      <c r="C45" s="2"/>
      <c r="D45" s="123" t="s">
        <v>17</v>
      </c>
      <c r="E45" s="15"/>
      <c r="F45" s="100"/>
      <c r="G45" s="100"/>
      <c r="H45" s="100"/>
      <c r="I45" s="100"/>
      <c r="J45" s="100"/>
      <c r="K45" s="117" t="s">
        <v>18</v>
      </c>
      <c r="L45" s="123">
        <f xml:space="preserve"> -- ( COUNTIF( R45:V45, "&lt;0" ) &gt; 0 ) + -- ( COUNTIF( R45:V45, "*" ) &gt; 0 )</f>
        <v>0</v>
      </c>
      <c r="M45" s="142">
        <f xml:space="preserve"> -- ( OR( COUNTIF( R45:V45,  "=0" ) &gt; 0, COUNTIF( R45:V45,  "" ) &gt; 0 ) )</f>
        <v>0</v>
      </c>
      <c r="N45" s="100"/>
      <c r="O45" s="414"/>
      <c r="P45" s="414"/>
      <c r="Q45" s="414"/>
      <c r="R45" s="297">
        <v>15</v>
      </c>
      <c r="S45" s="297">
        <v>15</v>
      </c>
      <c r="T45" s="297">
        <v>15</v>
      </c>
      <c r="U45" s="297">
        <v>15</v>
      </c>
      <c r="V45" s="157">
        <v>15</v>
      </c>
      <c r="W45" s="150"/>
    </row>
    <row r="46" spans="1:23" customFormat="1" ht="15" customHeight="1">
      <c r="A46" s="1"/>
      <c r="B46" s="1"/>
      <c r="C46" s="2"/>
      <c r="D46" s="85" t="s">
        <v>10</v>
      </c>
      <c r="E46" s="1"/>
      <c r="F46" s="102"/>
      <c r="G46" s="102"/>
      <c r="H46" s="102"/>
      <c r="I46" s="102"/>
      <c r="J46" s="102"/>
      <c r="K46" s="87" t="s">
        <v>134</v>
      </c>
      <c r="L46" s="85">
        <f xml:space="preserve"> -- ( COUNTIF( R46:V46, "&lt;0" ) &gt; 0 ) + -- ( COUNTIF( R46:V46, "*" ) &gt; 0 )</f>
        <v>0</v>
      </c>
      <c r="M46" s="119">
        <f xml:space="preserve"> -- ( OR( COUNTIF( R46:V46,  "=0" ) &gt; 0, COUNTIF( R46:V46,  "" ) &gt; 0 ) )</f>
        <v>0</v>
      </c>
      <c r="N46" s="102"/>
      <c r="O46" s="415"/>
      <c r="P46" s="415"/>
      <c r="Q46" s="415"/>
      <c r="R46" s="298">
        <v>14896</v>
      </c>
      <c r="S46" s="298">
        <v>13435</v>
      </c>
      <c r="T46" s="298">
        <v>13435</v>
      </c>
      <c r="U46" s="298">
        <v>1500</v>
      </c>
      <c r="V46" s="299">
        <v>1500</v>
      </c>
      <c r="W46" s="121"/>
    </row>
    <row r="47" spans="1:23" customFormat="1" ht="15" customHeight="1">
      <c r="A47" s="1"/>
      <c r="B47" s="1"/>
      <c r="C47" s="2"/>
      <c r="D47" s="85" t="s">
        <v>20</v>
      </c>
      <c r="E47" s="1"/>
      <c r="F47" s="102"/>
      <c r="G47" s="102"/>
      <c r="H47" s="102"/>
      <c r="I47" s="102"/>
      <c r="J47" s="102"/>
      <c r="K47" s="87" t="s">
        <v>134</v>
      </c>
      <c r="L47" s="85">
        <f xml:space="preserve"> -- ( COUNTIF( R47:V47, "&lt;0" ) &gt; 0 ) + -- ( COUNTIF( R47:V47, "*" ) &gt; 0 )</f>
        <v>0</v>
      </c>
      <c r="M47" s="119">
        <f xml:space="preserve"> -- ( OR( COUNTIF( R47:V47,  "=0" ) &gt; 0, COUNTIF( R47:V47,  "" ) &gt; 0 ) )</f>
        <v>0</v>
      </c>
      <c r="N47" s="102"/>
      <c r="O47" s="415"/>
      <c r="P47" s="415"/>
      <c r="Q47" s="415"/>
      <c r="R47" s="300">
        <v>1168</v>
      </c>
      <c r="S47" s="300">
        <v>1168</v>
      </c>
      <c r="T47" s="300">
        <v>1168</v>
      </c>
      <c r="U47" s="300">
        <v>74</v>
      </c>
      <c r="V47" s="158">
        <v>74</v>
      </c>
      <c r="W47" s="121"/>
    </row>
    <row r="48" spans="1:23" customFormat="1" ht="15" customHeight="1">
      <c r="A48" s="1"/>
      <c r="B48" s="1"/>
      <c r="C48" s="2"/>
      <c r="D48" s="99" t="s">
        <v>19</v>
      </c>
      <c r="E48" s="27"/>
      <c r="F48" s="104"/>
      <c r="G48" s="104"/>
      <c r="H48" s="104"/>
      <c r="I48" s="104"/>
      <c r="J48" s="104"/>
      <c r="K48" s="98" t="s">
        <v>134</v>
      </c>
      <c r="L48" s="99">
        <f xml:space="preserve"> -- ( COUNTIF( R48:V48, "&lt;0" ) &gt; 0 ) + -- ( COUNTIF( R48:V48, "*" ) &gt; 0 )</f>
        <v>0</v>
      </c>
      <c r="M48" s="151">
        <f xml:space="preserve"> -- ( OR( COUNTIF( R48:V48,  "=0" ) &gt; 0, COUNTIF( R48:V48,  "" ) &gt; 0 ) )</f>
        <v>0</v>
      </c>
      <c r="N48" s="104"/>
      <c r="O48" s="416"/>
      <c r="P48" s="416"/>
      <c r="Q48" s="416"/>
      <c r="R48" s="301">
        <v>570</v>
      </c>
      <c r="S48" s="301">
        <v>570</v>
      </c>
      <c r="T48" s="301">
        <v>570</v>
      </c>
      <c r="U48" s="301">
        <v>26</v>
      </c>
      <c r="V48" s="159">
        <v>26</v>
      </c>
      <c r="W48" s="131"/>
    </row>
    <row r="49" spans="1:23" customFormat="1" ht="15" customHeight="1">
      <c r="A49" s="1"/>
      <c r="B49" s="1"/>
      <c r="C49" s="2"/>
      <c r="D49" s="85"/>
      <c r="E49" s="1"/>
      <c r="F49" s="86"/>
      <c r="G49" s="86"/>
      <c r="H49" s="86"/>
      <c r="I49" s="86"/>
      <c r="J49" s="86"/>
      <c r="K49" s="87"/>
      <c r="L49" s="85"/>
      <c r="M49" s="85"/>
      <c r="N49" s="86"/>
      <c r="O49" s="86"/>
      <c r="P49" s="86"/>
      <c r="Q49" s="86"/>
      <c r="R49" s="1"/>
      <c r="S49" s="1"/>
      <c r="T49" s="1"/>
      <c r="U49" s="1"/>
      <c r="V49" s="1"/>
      <c r="W49" s="1"/>
    </row>
    <row r="50" spans="1:23" customFormat="1" ht="15" customHeight="1">
      <c r="A50" s="1"/>
      <c r="B50" s="1"/>
      <c r="C50" s="2"/>
      <c r="D50" s="85"/>
      <c r="E50" s="1"/>
      <c r="F50" s="86"/>
      <c r="G50" s="86"/>
      <c r="H50" s="86"/>
      <c r="I50" s="86"/>
      <c r="J50" s="86"/>
      <c r="K50" s="87"/>
      <c r="L50" s="85"/>
      <c r="M50" s="85"/>
      <c r="N50" s="86"/>
      <c r="O50" s="86"/>
      <c r="P50" s="86"/>
      <c r="Q50" s="86"/>
      <c r="R50" s="1"/>
      <c r="S50" s="1"/>
      <c r="T50" s="1"/>
      <c r="U50" s="1"/>
      <c r="V50" s="1"/>
      <c r="W50" s="1"/>
    </row>
    <row r="51" spans="1:23" customFormat="1" ht="15" customHeight="1">
      <c r="A51" s="1"/>
      <c r="B51" s="1"/>
      <c r="C51" s="2"/>
      <c r="D51" s="85"/>
      <c r="E51" s="1"/>
      <c r="F51" s="86"/>
      <c r="G51" s="86"/>
      <c r="H51" s="86"/>
      <c r="I51" s="86"/>
      <c r="J51" s="86"/>
      <c r="K51" s="87"/>
      <c r="L51" s="85"/>
      <c r="M51" s="85"/>
      <c r="N51" s="86"/>
      <c r="O51" s="86"/>
      <c r="P51" s="86"/>
      <c r="Q51" s="86"/>
      <c r="R51" s="1"/>
      <c r="S51" s="1"/>
      <c r="T51" s="1"/>
      <c r="U51" s="1"/>
      <c r="V51" s="1"/>
      <c r="W51" s="1"/>
    </row>
    <row r="52" spans="1:23" s="475" customFormat="1" ht="15" customHeight="1">
      <c r="B52" s="479" t="str">
        <f xml:space="preserve"> COUNTA(B$10:B49) &amp; ") Opsplitning på tarif (forbrug og rådighed), effekt og abonnement"</f>
        <v>3) Opsplitning på tarif (forbrug og rådighed), effekt og abonnement</v>
      </c>
      <c r="C52" s="477"/>
      <c r="D52" s="478"/>
      <c r="K52" s="472"/>
    </row>
    <row r="53" spans="1:23" customFormat="1" ht="15" customHeight="1">
      <c r="A53" s="1"/>
      <c r="B53" s="1"/>
      <c r="C53" s="2"/>
      <c r="D53" s="85"/>
      <c r="E53" s="1"/>
      <c r="F53" s="86"/>
      <c r="G53" s="86"/>
      <c r="H53" s="86"/>
      <c r="I53" s="86"/>
      <c r="J53" s="86"/>
      <c r="K53" s="87"/>
      <c r="L53" s="85"/>
      <c r="M53" s="85"/>
      <c r="N53" s="86"/>
      <c r="O53" s="86"/>
      <c r="P53" s="86"/>
      <c r="Q53" s="86"/>
      <c r="R53" s="1"/>
      <c r="S53" s="1"/>
      <c r="T53" s="1"/>
      <c r="U53" s="1"/>
      <c r="V53" s="1"/>
      <c r="W53" s="1"/>
    </row>
    <row r="54" spans="1:23" customFormat="1" ht="15" customHeight="1">
      <c r="A54" s="1"/>
      <c r="B54" s="1"/>
      <c r="C54" s="2"/>
      <c r="D54" s="97" t="s">
        <v>36</v>
      </c>
      <c r="E54" s="27"/>
      <c r="F54" s="86"/>
      <c r="G54" s="86"/>
      <c r="H54" s="86"/>
      <c r="I54" s="86"/>
      <c r="J54" s="86"/>
      <c r="K54" s="98"/>
      <c r="L54" s="99"/>
      <c r="M54" s="99"/>
      <c r="N54" s="86"/>
      <c r="O54" s="86"/>
      <c r="P54" s="86"/>
      <c r="Q54" s="86"/>
      <c r="R54" s="1"/>
      <c r="S54" s="1"/>
      <c r="T54" s="1"/>
      <c r="U54" s="1"/>
      <c r="V54" s="1"/>
      <c r="W54" s="1"/>
    </row>
    <row r="55" spans="1:23" customFormat="1" ht="15" customHeight="1">
      <c r="A55" s="1"/>
      <c r="B55" s="1"/>
      <c r="C55" s="2"/>
      <c r="D55" s="85" t="str">
        <f xml:space="preserve"> '2.1 Model setup'!K70</f>
        <v>1.1 Drift og vedligeholdelse af transformerstationer</v>
      </c>
      <c r="E55" s="1"/>
      <c r="F55" s="56"/>
      <c r="G55" s="56"/>
      <c r="H55" s="56"/>
      <c r="I55" s="56"/>
      <c r="J55" s="56"/>
      <c r="K55" s="87" t="s">
        <v>41</v>
      </c>
      <c r="L55" s="85"/>
      <c r="M55" s="85"/>
      <c r="N55" s="152" t="s">
        <v>38</v>
      </c>
      <c r="O55" s="56"/>
      <c r="P55" s="56"/>
      <c r="Q55" s="56"/>
      <c r="R55" s="56"/>
      <c r="S55" s="56"/>
      <c r="T55" s="56"/>
      <c r="U55" s="56"/>
      <c r="V55" s="56"/>
      <c r="W55" s="15"/>
    </row>
    <row r="56" spans="1:23" customFormat="1" ht="15" customHeight="1">
      <c r="A56" s="1"/>
      <c r="B56" s="1"/>
      <c r="C56" s="2"/>
      <c r="D56" s="85" t="str">
        <f xml:space="preserve"> '2.1 Model setup'!K71</f>
        <v>1.2 Drift og vedligeholdelse af ledningsnet</v>
      </c>
      <c r="E56" s="1"/>
      <c r="K56" s="87" t="s">
        <v>41</v>
      </c>
      <c r="L56" s="85"/>
      <c r="M56" s="85"/>
      <c r="N56" s="153" t="s">
        <v>38</v>
      </c>
      <c r="W56" s="1"/>
    </row>
    <row r="57" spans="1:23" customFormat="1" ht="15" customHeight="1">
      <c r="A57" s="1"/>
      <c r="B57" s="1"/>
      <c r="C57" s="2"/>
      <c r="D57" s="85" t="str">
        <f xml:space="preserve"> '2.1 Model setup'!K72</f>
        <v>1.3 Øvrige omkostninger til drift, styring og kontrol af elnettet</v>
      </c>
      <c r="E57" s="1"/>
      <c r="K57" s="87" t="s">
        <v>41</v>
      </c>
      <c r="L57" s="85"/>
      <c r="M57" s="85"/>
      <c r="N57" s="153" t="s">
        <v>38</v>
      </c>
      <c r="W57" s="1"/>
    </row>
    <row r="58" spans="1:23" customFormat="1" ht="15" customHeight="1">
      <c r="A58" s="1"/>
      <c r="B58" s="1"/>
      <c r="C58" s="2"/>
      <c r="D58" s="85" t="str">
        <f xml:space="preserve"> '2.1 Model setup'!K73</f>
        <v>1.4 Omkostninger vedrørende 132-150/30-60 kV-stationer</v>
      </c>
      <c r="E58" s="1"/>
      <c r="K58" s="87" t="s">
        <v>41</v>
      </c>
      <c r="L58" s="85"/>
      <c r="M58" s="85"/>
      <c r="N58" s="257"/>
      <c r="W58" s="1"/>
    </row>
    <row r="59" spans="1:23" customFormat="1" ht="15" customHeight="1">
      <c r="A59" s="1"/>
      <c r="B59" s="1"/>
      <c r="C59" s="2"/>
      <c r="D59" s="85" t="str">
        <f xml:space="preserve"> '2.1 Model setup'!K74</f>
        <v>2.1 Drift og vedligeholdelse af målere</v>
      </c>
      <c r="E59" s="1"/>
      <c r="K59" s="87" t="s">
        <v>41</v>
      </c>
      <c r="L59" s="85"/>
      <c r="M59" s="85"/>
      <c r="N59" s="153" t="s">
        <v>39</v>
      </c>
      <c r="W59" s="1"/>
    </row>
    <row r="60" spans="1:23" customFormat="1" ht="15" customHeight="1">
      <c r="A60" s="1"/>
      <c r="B60" s="1"/>
      <c r="C60" s="2"/>
      <c r="D60" s="85" t="str">
        <f xml:space="preserve"> '2.1 Model setup'!K75</f>
        <v>2.2 Indhentning og validering af målerdata</v>
      </c>
      <c r="E60" s="1"/>
      <c r="K60" s="87" t="s">
        <v>41</v>
      </c>
      <c r="L60" s="85"/>
      <c r="M60" s="85"/>
      <c r="N60" s="153" t="s">
        <v>39</v>
      </c>
      <c r="W60" s="1"/>
    </row>
    <row r="61" spans="1:23" customFormat="1" ht="15" customHeight="1">
      <c r="A61" s="1"/>
      <c r="B61" s="1"/>
      <c r="C61" s="2"/>
      <c r="D61" s="85" t="str">
        <f xml:space="preserve"> '2.1 Model setup'!K76</f>
        <v>2.3 Måleradministration og kundehåndtering</v>
      </c>
      <c r="E61" s="1"/>
      <c r="K61" s="87" t="s">
        <v>41</v>
      </c>
      <c r="L61" s="85"/>
      <c r="M61" s="85"/>
      <c r="N61" s="153" t="s">
        <v>39</v>
      </c>
      <c r="W61" s="1"/>
    </row>
    <row r="62" spans="1:23" customFormat="1" ht="15" customHeight="1">
      <c r="A62" s="1"/>
      <c r="B62" s="1"/>
      <c r="C62" s="2"/>
      <c r="D62" s="85" t="str">
        <f xml:space="preserve"> '2.1 Model setup'!K77</f>
        <v>3.1 Generel administration</v>
      </c>
      <c r="E62" s="1"/>
      <c r="K62" s="87" t="s">
        <v>41</v>
      </c>
      <c r="L62" s="85"/>
      <c r="M62" s="85"/>
      <c r="N62" s="153" t="s">
        <v>39</v>
      </c>
      <c r="W62" s="1"/>
    </row>
    <row r="63" spans="1:23" customFormat="1" ht="15" customHeight="1">
      <c r="A63" s="1"/>
      <c r="B63" s="1"/>
      <c r="C63" s="2"/>
      <c r="D63" s="85" t="str">
        <f xml:space="preserve"> '2.1 Model setup'!K78</f>
        <v>4.1 Omkostninger vedrørende nettab i transformerstationer</v>
      </c>
      <c r="E63" s="1"/>
      <c r="K63" s="87" t="s">
        <v>41</v>
      </c>
      <c r="L63" s="85"/>
      <c r="M63" s="85"/>
      <c r="N63" s="153" t="s">
        <v>42</v>
      </c>
      <c r="W63" s="1"/>
    </row>
    <row r="64" spans="1:23" customFormat="1" ht="15" customHeight="1">
      <c r="A64" s="1"/>
      <c r="B64" s="1"/>
      <c r="C64" s="2"/>
      <c r="D64" s="85" t="str">
        <f xml:space="preserve"> '2.1 Model setup'!K79</f>
        <v>4.2 Omkostninger vedrørende nettab i ledningsnettet</v>
      </c>
      <c r="E64" s="1"/>
      <c r="K64" s="87" t="s">
        <v>41</v>
      </c>
      <c r="L64" s="85"/>
      <c r="M64" s="85"/>
      <c r="N64" s="153" t="s">
        <v>42</v>
      </c>
      <c r="W64" s="1"/>
    </row>
    <row r="65" spans="1:23" customFormat="1" ht="15" customHeight="1">
      <c r="A65" s="1"/>
      <c r="B65" s="1"/>
      <c r="C65" s="2"/>
      <c r="D65" s="85" t="str">
        <f xml:space="preserve"> '2.1 Model setup'!K80</f>
        <v>5.1 Omkostninger til overliggende net ifm. forbrug</v>
      </c>
      <c r="E65" s="1"/>
      <c r="K65" s="87" t="s">
        <v>41</v>
      </c>
      <c r="L65" s="85"/>
      <c r="M65" s="85"/>
      <c r="N65" s="153" t="s">
        <v>38</v>
      </c>
      <c r="W65" s="1"/>
    </row>
    <row r="66" spans="1:23" customFormat="1" ht="15" customHeight="1">
      <c r="A66" s="1"/>
      <c r="B66" s="1"/>
      <c r="C66" s="2"/>
      <c r="D66" s="85" t="str">
        <f xml:space="preserve"> '2.1 Model setup'!K81</f>
        <v>5.2 Øvrige omkostninger</v>
      </c>
      <c r="E66" s="1"/>
      <c r="K66" s="87" t="s">
        <v>41</v>
      </c>
      <c r="L66" s="85"/>
      <c r="M66" s="85"/>
      <c r="N66" s="257"/>
      <c r="W66" s="1"/>
    </row>
    <row r="67" spans="1:23" customFormat="1" ht="15" customHeight="1">
      <c r="A67" s="1"/>
      <c r="B67" s="1"/>
      <c r="C67" s="2"/>
      <c r="D67" s="85" t="str">
        <f xml:space="preserve"> '2.1 Model setup'!K82</f>
        <v>6.1 Afskrivninger på transformerstationer</v>
      </c>
      <c r="E67" s="1"/>
      <c r="K67" s="87" t="s">
        <v>41</v>
      </c>
      <c r="L67" s="85"/>
      <c r="M67" s="85"/>
      <c r="N67" s="153" t="s">
        <v>38</v>
      </c>
      <c r="W67" s="1"/>
    </row>
    <row r="68" spans="1:23" customFormat="1" ht="15" customHeight="1">
      <c r="A68" s="1"/>
      <c r="B68" s="1"/>
      <c r="C68" s="2"/>
      <c r="D68" s="85" t="str">
        <f xml:space="preserve"> '2.1 Model setup'!K83</f>
        <v>6.2 Afskrivninger på netaktiver ekskl. målere og transformerstationer</v>
      </c>
      <c r="E68" s="1"/>
      <c r="K68" s="87" t="s">
        <v>41</v>
      </c>
      <c r="L68" s="85"/>
      <c r="M68" s="85"/>
      <c r="N68" s="153" t="s">
        <v>38</v>
      </c>
      <c r="W68" s="1"/>
    </row>
    <row r="69" spans="1:23" customFormat="1" ht="15" customHeight="1">
      <c r="A69" s="1"/>
      <c r="B69" s="1"/>
      <c r="C69" s="2"/>
      <c r="D69" s="85" t="str">
        <f xml:space="preserve"> '2.1 Model setup'!K84</f>
        <v>6.3 Afskrivninger på målere</v>
      </c>
      <c r="E69" s="1"/>
      <c r="K69" s="87" t="s">
        <v>41</v>
      </c>
      <c r="L69" s="85"/>
      <c r="M69" s="85"/>
      <c r="N69" s="153" t="s">
        <v>39</v>
      </c>
      <c r="W69" s="1"/>
    </row>
    <row r="70" spans="1:23" customFormat="1" ht="15" customHeight="1">
      <c r="A70" s="1"/>
      <c r="B70" s="1"/>
      <c r="C70" s="2"/>
      <c r="D70" s="85" t="str">
        <f xml:space="preserve"> '2.1 Model setup'!K85</f>
        <v>7.1 Transformerstationer (forrentning)</v>
      </c>
      <c r="E70" s="1"/>
      <c r="K70" s="87" t="s">
        <v>41</v>
      </c>
      <c r="L70" s="85"/>
      <c r="M70" s="85"/>
      <c r="N70" s="153" t="s">
        <v>38</v>
      </c>
      <c r="W70" s="1"/>
    </row>
    <row r="71" spans="1:23" customFormat="1" ht="15" customHeight="1">
      <c r="A71" s="1"/>
      <c r="B71" s="1"/>
      <c r="C71" s="2"/>
      <c r="D71" s="85" t="str">
        <f xml:space="preserve"> '2.1 Model setup'!K86</f>
        <v>7.2 Netaktiver ekskl. målere og transformerstationer (forrentning)</v>
      </c>
      <c r="E71" s="1"/>
      <c r="K71" s="87" t="s">
        <v>41</v>
      </c>
      <c r="L71" s="85"/>
      <c r="M71" s="85"/>
      <c r="N71" s="153" t="s">
        <v>38</v>
      </c>
      <c r="W71" s="1"/>
    </row>
    <row r="72" spans="1:23" customFormat="1" ht="15" customHeight="1">
      <c r="A72" s="1"/>
      <c r="B72" s="1"/>
      <c r="C72" s="2"/>
      <c r="D72" s="99" t="str">
        <f xml:space="preserve"> '2.1 Model setup'!K87</f>
        <v>7.3 Målere (forrentning)</v>
      </c>
      <c r="E72" s="27"/>
      <c r="F72" s="60"/>
      <c r="G72" s="60"/>
      <c r="H72" s="60"/>
      <c r="I72" s="60"/>
      <c r="J72" s="60"/>
      <c r="K72" s="98" t="s">
        <v>41</v>
      </c>
      <c r="L72" s="99"/>
      <c r="M72" s="99"/>
      <c r="N72" s="154" t="s">
        <v>39</v>
      </c>
      <c r="O72" s="60"/>
      <c r="P72" s="60"/>
      <c r="Q72" s="60"/>
      <c r="R72" s="60"/>
      <c r="S72" s="60"/>
      <c r="T72" s="60"/>
      <c r="U72" s="60"/>
      <c r="V72" s="60"/>
      <c r="W72" s="27"/>
    </row>
    <row r="73" spans="1:23" customFormat="1" ht="15" customHeight="1">
      <c r="A73" s="1"/>
      <c r="B73" s="1"/>
      <c r="C73" s="2"/>
      <c r="D73" s="85"/>
      <c r="E73" s="1"/>
      <c r="F73" s="86"/>
      <c r="G73" s="86"/>
      <c r="H73" s="86"/>
      <c r="I73" s="86"/>
      <c r="J73" s="86"/>
      <c r="K73" s="87"/>
      <c r="L73" s="85"/>
      <c r="M73" s="85"/>
      <c r="N73" s="86"/>
      <c r="O73" s="86"/>
      <c r="P73" s="86"/>
      <c r="Q73" s="86"/>
      <c r="R73" s="1"/>
      <c r="S73" s="1"/>
      <c r="T73" s="1"/>
      <c r="U73" s="1"/>
      <c r="V73" s="1"/>
      <c r="W73" s="1"/>
    </row>
    <row r="74" spans="1:23" customFormat="1" ht="15" customHeight="1">
      <c r="A74" s="1"/>
      <c r="B74" s="1"/>
      <c r="C74" s="2"/>
      <c r="D74" s="97" t="s">
        <v>35</v>
      </c>
      <c r="E74" s="1"/>
      <c r="F74" s="85"/>
      <c r="G74" s="85"/>
      <c r="H74" s="85"/>
      <c r="I74" s="85"/>
      <c r="J74" s="85"/>
      <c r="K74" s="87"/>
      <c r="L74" s="85"/>
      <c r="M74" s="85"/>
      <c r="N74" s="85"/>
      <c r="O74" s="85"/>
      <c r="P74" s="85"/>
      <c r="Q74" s="85"/>
      <c r="R74" s="1"/>
      <c r="S74" s="1"/>
      <c r="T74" s="1"/>
      <c r="U74" s="1"/>
      <c r="V74" s="1"/>
      <c r="W74" s="1"/>
    </row>
    <row r="75" spans="1:23" customFormat="1" ht="15" customHeight="1">
      <c r="A75" s="1"/>
      <c r="B75" s="1"/>
      <c r="C75" s="2"/>
      <c r="D75" s="85" t="str">
        <f xml:space="preserve"> '2.1 Model setup'!K70</f>
        <v>1.1 Drift og vedligeholdelse af transformerstationer</v>
      </c>
      <c r="E75" s="15"/>
      <c r="F75" s="155"/>
      <c r="G75" s="155"/>
      <c r="H75" s="155"/>
      <c r="I75" s="155"/>
      <c r="J75" s="155"/>
      <c r="K75" s="117" t="s">
        <v>4</v>
      </c>
      <c r="L75" s="123">
        <f xml:space="preserve"> -- ( COUNTIF( R75:V75, "&lt;0" ) &gt; 0 ) + -- ( COUNTIF( R75:V75, "*" ) &gt; 0 )</f>
        <v>0</v>
      </c>
      <c r="M75" s="142">
        <f xml:space="preserve"> IF( AND( N55 &lt;&gt; '2.1 Model setup'!$K$45, COUNTIF( R75:V75, "&gt;0") &gt; 0 ), 1, 0 )</f>
        <v>0</v>
      </c>
      <c r="N75" s="155"/>
      <c r="O75" s="404"/>
      <c r="P75" s="404"/>
      <c r="Q75" s="404"/>
      <c r="R75" s="152">
        <v>0.25</v>
      </c>
      <c r="S75" s="152">
        <v>0.25</v>
      </c>
      <c r="T75" s="152">
        <v>0.25</v>
      </c>
      <c r="U75" s="242">
        <v>0</v>
      </c>
      <c r="V75" s="242">
        <v>0</v>
      </c>
      <c r="W75" s="15"/>
    </row>
    <row r="76" spans="1:23" customFormat="1" ht="15" customHeight="1">
      <c r="A76" s="1"/>
      <c r="B76" s="1"/>
      <c r="C76" s="2"/>
      <c r="D76" s="85" t="str">
        <f xml:space="preserve"> '2.1 Model setup'!K71</f>
        <v>1.2 Drift og vedligeholdelse af ledningsnet</v>
      </c>
      <c r="E76" s="1"/>
      <c r="F76" s="86"/>
      <c r="G76" s="86"/>
      <c r="H76" s="86"/>
      <c r="I76" s="86"/>
      <c r="J76" s="86"/>
      <c r="K76" s="87" t="s">
        <v>4</v>
      </c>
      <c r="L76" s="85">
        <f t="shared" ref="L76:L92" si="0" xml:space="preserve"> -- ( COUNTIF( R76:V76, "&lt;0" ) &gt; 0 ) + -- ( COUNTIF( R76:V76, "*" ) &gt; 0 )</f>
        <v>0</v>
      </c>
      <c r="M76" s="119">
        <f xml:space="preserve"> IF( AND( N56 &lt;&gt; '2.1 Model setup'!$K$45, COUNTIF( R76:V76, "&gt;0") &gt; 0 ), 1, 0 )</f>
        <v>0</v>
      </c>
      <c r="N76" s="86"/>
      <c r="O76" s="405"/>
      <c r="P76" s="405"/>
      <c r="Q76" s="405"/>
      <c r="R76" s="153">
        <v>0.25</v>
      </c>
      <c r="S76" s="153">
        <v>0.25</v>
      </c>
      <c r="T76" s="153">
        <v>0.25</v>
      </c>
      <c r="U76" s="243">
        <v>0</v>
      </c>
      <c r="V76" s="243">
        <v>0</v>
      </c>
      <c r="W76" s="1"/>
    </row>
    <row r="77" spans="1:23" customFormat="1" ht="14.25" customHeight="1">
      <c r="A77" s="1"/>
      <c r="B77" s="1"/>
      <c r="C77" s="2"/>
      <c r="D77" s="85" t="str">
        <f xml:space="preserve"> '2.1 Model setup'!K72</f>
        <v>1.3 Øvrige omkostninger til drift, styring og kontrol af elnettet</v>
      </c>
      <c r="E77" s="1"/>
      <c r="F77" s="86"/>
      <c r="G77" s="86"/>
      <c r="H77" s="86"/>
      <c r="I77" s="86"/>
      <c r="J77" s="86"/>
      <c r="K77" s="87" t="s">
        <v>4</v>
      </c>
      <c r="L77" s="85">
        <f t="shared" si="0"/>
        <v>0</v>
      </c>
      <c r="M77" s="119">
        <f xml:space="preserve"> IF( AND( N57 &lt;&gt; '2.1 Model setup'!$K$45, COUNTIF( R77:V77, "&gt;0") &gt; 0 ), 1, 0 )</f>
        <v>0</v>
      </c>
      <c r="N77" s="86"/>
      <c r="O77" s="405"/>
      <c r="P77" s="405"/>
      <c r="Q77" s="405"/>
      <c r="R77" s="153">
        <v>0.25</v>
      </c>
      <c r="S77" s="153">
        <v>0.25</v>
      </c>
      <c r="T77" s="153">
        <v>0.25</v>
      </c>
      <c r="U77" s="243">
        <v>0</v>
      </c>
      <c r="V77" s="243">
        <v>0</v>
      </c>
      <c r="W77" s="1"/>
    </row>
    <row r="78" spans="1:23" customFormat="1" ht="14.25" customHeight="1">
      <c r="A78" s="1"/>
      <c r="B78" s="1"/>
      <c r="C78" s="2"/>
      <c r="D78" s="85" t="str">
        <f xml:space="preserve"> '2.1 Model setup'!K73</f>
        <v>1.4 Omkostninger vedrørende 132-150/30-60 kV-stationer</v>
      </c>
      <c r="E78" s="1"/>
      <c r="F78" s="86"/>
      <c r="G78" s="86"/>
      <c r="H78" s="86"/>
      <c r="I78" s="86"/>
      <c r="J78" s="86"/>
      <c r="K78" s="87" t="s">
        <v>4</v>
      </c>
      <c r="L78" s="85">
        <f xml:space="preserve"> -- ( COUNTIF( R78:V78, "&lt;0" ) &gt; 0 ) + -- ( COUNTIF( R78:V78, "*" ) &gt; 0 )</f>
        <v>0</v>
      </c>
      <c r="M78" s="119">
        <f xml:space="preserve"> IF( AND( N58 &lt;&gt; '2.1 Model setup'!$K$45, COUNTIF( R78:V78, "&gt;0") &gt; 0 ), 1, 0 )</f>
        <v>0</v>
      </c>
      <c r="N78" s="86"/>
      <c r="O78" s="405"/>
      <c r="P78" s="405"/>
      <c r="Q78" s="405"/>
      <c r="R78" s="405"/>
      <c r="S78" s="405"/>
      <c r="T78" s="405"/>
      <c r="U78" s="405"/>
      <c r="V78" s="405"/>
      <c r="W78" s="1"/>
    </row>
    <row r="79" spans="1:23" customFormat="1" ht="15" customHeight="1">
      <c r="A79" s="1"/>
      <c r="B79" s="1"/>
      <c r="C79" s="2"/>
      <c r="D79" s="85" t="str">
        <f xml:space="preserve"> '2.1 Model setup'!K74</f>
        <v>2.1 Drift og vedligeholdelse af målere</v>
      </c>
      <c r="E79" s="1"/>
      <c r="F79" s="86"/>
      <c r="G79" s="86"/>
      <c r="H79" s="86"/>
      <c r="I79" s="86"/>
      <c r="J79" s="86"/>
      <c r="K79" s="87" t="s">
        <v>4</v>
      </c>
      <c r="L79" s="85">
        <f t="shared" si="0"/>
        <v>0</v>
      </c>
      <c r="M79" s="119">
        <f xml:space="preserve"> IF( AND( N59 &lt;&gt; '2.1 Model setup'!$K$45, COUNTIF( R79:V79, "&gt;0") &gt; 0 ), 1, 0 )</f>
        <v>0</v>
      </c>
      <c r="N79" s="86"/>
      <c r="O79" s="405"/>
      <c r="P79" s="405"/>
      <c r="Q79" s="405"/>
      <c r="R79" s="153">
        <v>0</v>
      </c>
      <c r="S79" s="153">
        <v>0</v>
      </c>
      <c r="T79" s="153">
        <v>0</v>
      </c>
      <c r="U79" s="243">
        <v>0</v>
      </c>
      <c r="V79" s="243">
        <v>0</v>
      </c>
      <c r="W79" s="1"/>
    </row>
    <row r="80" spans="1:23" customFormat="1" ht="15" customHeight="1">
      <c r="A80" s="1"/>
      <c r="B80" s="1"/>
      <c r="C80" s="2"/>
      <c r="D80" s="85" t="str">
        <f xml:space="preserve"> '2.1 Model setup'!K75</f>
        <v>2.2 Indhentning og validering af målerdata</v>
      </c>
      <c r="E80" s="1"/>
      <c r="F80" s="86"/>
      <c r="G80" s="86"/>
      <c r="H80" s="86"/>
      <c r="I80" s="86"/>
      <c r="J80" s="86"/>
      <c r="K80" s="87" t="s">
        <v>4</v>
      </c>
      <c r="L80" s="85">
        <f t="shared" si="0"/>
        <v>0</v>
      </c>
      <c r="M80" s="119">
        <f xml:space="preserve"> IF( AND( N60 &lt;&gt; '2.1 Model setup'!$K$45, COUNTIF( R80:V80, "&gt;0") &gt; 0 ), 1, 0 )</f>
        <v>0</v>
      </c>
      <c r="N80" s="86"/>
      <c r="O80" s="405"/>
      <c r="P80" s="405"/>
      <c r="Q80" s="405"/>
      <c r="R80" s="153">
        <v>0</v>
      </c>
      <c r="S80" s="153">
        <v>0</v>
      </c>
      <c r="T80" s="153">
        <v>0</v>
      </c>
      <c r="U80" s="243">
        <v>0</v>
      </c>
      <c r="V80" s="243">
        <v>0</v>
      </c>
      <c r="W80" s="1"/>
    </row>
    <row r="81" spans="1:23" customFormat="1" ht="15" customHeight="1">
      <c r="A81" s="1"/>
      <c r="B81" s="1"/>
      <c r="C81" s="2"/>
      <c r="D81" s="85" t="str">
        <f xml:space="preserve"> '2.1 Model setup'!K76</f>
        <v>2.3 Måleradministration og kundehåndtering</v>
      </c>
      <c r="E81" s="1"/>
      <c r="F81" s="86"/>
      <c r="G81" s="86"/>
      <c r="H81" s="86"/>
      <c r="I81" s="86"/>
      <c r="J81" s="86"/>
      <c r="K81" s="87" t="s">
        <v>4</v>
      </c>
      <c r="L81" s="85">
        <f t="shared" si="0"/>
        <v>0</v>
      </c>
      <c r="M81" s="119">
        <f xml:space="preserve"> IF( AND( N61 &lt;&gt; '2.1 Model setup'!$K$45, COUNTIF( R81:V81, "&gt;0") &gt; 0 ), 1, 0 )</f>
        <v>0</v>
      </c>
      <c r="N81" s="86"/>
      <c r="O81" s="405"/>
      <c r="P81" s="405"/>
      <c r="Q81" s="405"/>
      <c r="R81" s="153">
        <v>0</v>
      </c>
      <c r="S81" s="153">
        <v>0</v>
      </c>
      <c r="T81" s="153">
        <v>0</v>
      </c>
      <c r="U81" s="243">
        <v>0</v>
      </c>
      <c r="V81" s="243">
        <v>0</v>
      </c>
      <c r="W81" s="1"/>
    </row>
    <row r="82" spans="1:23" customFormat="1" ht="15" customHeight="1">
      <c r="A82" s="1"/>
      <c r="B82" s="1"/>
      <c r="C82" s="2"/>
      <c r="D82" s="85" t="str">
        <f xml:space="preserve"> '2.1 Model setup'!K77</f>
        <v>3.1 Generel administration</v>
      </c>
      <c r="E82" s="1"/>
      <c r="F82" s="86"/>
      <c r="G82" s="86"/>
      <c r="H82" s="86"/>
      <c r="I82" s="86"/>
      <c r="J82" s="86"/>
      <c r="K82" s="87" t="s">
        <v>4</v>
      </c>
      <c r="L82" s="85">
        <f t="shared" si="0"/>
        <v>0</v>
      </c>
      <c r="M82" s="119">
        <f xml:space="preserve"> IF( AND( N62 &lt;&gt; '2.1 Model setup'!$K$45, COUNTIF( R82:V82, "&gt;0") &gt; 0 ), 1, 0 )</f>
        <v>0</v>
      </c>
      <c r="N82" s="86"/>
      <c r="O82" s="405"/>
      <c r="P82" s="405"/>
      <c r="Q82" s="405"/>
      <c r="R82" s="153">
        <v>0</v>
      </c>
      <c r="S82" s="153">
        <v>0</v>
      </c>
      <c r="T82" s="153">
        <v>0</v>
      </c>
      <c r="U82" s="243">
        <v>0</v>
      </c>
      <c r="V82" s="243">
        <v>0</v>
      </c>
      <c r="W82" s="1"/>
    </row>
    <row r="83" spans="1:23" customFormat="1" ht="15" customHeight="1">
      <c r="A83" s="1"/>
      <c r="B83" s="1"/>
      <c r="C83" s="2"/>
      <c r="D83" s="85" t="str">
        <f xml:space="preserve"> '2.1 Model setup'!K78</f>
        <v>4.1 Omkostninger vedrørende nettab i transformerstationer</v>
      </c>
      <c r="E83" s="1"/>
      <c r="F83" s="86"/>
      <c r="G83" s="86"/>
      <c r="H83" s="86"/>
      <c r="I83" s="86"/>
      <c r="J83" s="86"/>
      <c r="K83" s="87" t="s">
        <v>4</v>
      </c>
      <c r="L83" s="85">
        <f t="shared" si="0"/>
        <v>0</v>
      </c>
      <c r="M83" s="119">
        <f xml:space="preserve"> IF( AND( N63 &lt;&gt; '2.1 Model setup'!$K$45, COUNTIF( R83:V83, "&gt;0") &gt; 0 ), 1, 0 )</f>
        <v>0</v>
      </c>
      <c r="N83" s="86"/>
      <c r="O83" s="405"/>
      <c r="P83" s="405"/>
      <c r="Q83" s="405"/>
      <c r="R83" s="153">
        <v>0</v>
      </c>
      <c r="S83" s="153">
        <v>0</v>
      </c>
      <c r="T83" s="153">
        <v>0</v>
      </c>
      <c r="U83" s="243">
        <v>0</v>
      </c>
      <c r="V83" s="243">
        <v>0</v>
      </c>
      <c r="W83" s="1"/>
    </row>
    <row r="84" spans="1:23" customFormat="1" ht="15" customHeight="1">
      <c r="A84" s="1"/>
      <c r="B84" s="1"/>
      <c r="C84" s="2"/>
      <c r="D84" s="85" t="str">
        <f xml:space="preserve"> '2.1 Model setup'!K79</f>
        <v>4.2 Omkostninger vedrørende nettab i ledningsnettet</v>
      </c>
      <c r="E84" s="1"/>
      <c r="F84" s="86"/>
      <c r="G84" s="86"/>
      <c r="H84" s="86"/>
      <c r="I84" s="86"/>
      <c r="J84" s="86"/>
      <c r="K84" s="87" t="s">
        <v>4</v>
      </c>
      <c r="L84" s="85">
        <f t="shared" si="0"/>
        <v>0</v>
      </c>
      <c r="M84" s="119">
        <f xml:space="preserve"> IF( AND( N64 &lt;&gt; '2.1 Model setup'!$K$45, COUNTIF( R84:V84, "&gt;0") &gt; 0 ), 1, 0 )</f>
        <v>0</v>
      </c>
      <c r="N84" s="86"/>
      <c r="O84" s="405"/>
      <c r="P84" s="405"/>
      <c r="Q84" s="405"/>
      <c r="R84" s="153">
        <v>0</v>
      </c>
      <c r="S84" s="153">
        <v>0</v>
      </c>
      <c r="T84" s="153">
        <v>0</v>
      </c>
      <c r="U84" s="243">
        <v>0</v>
      </c>
      <c r="V84" s="243">
        <v>0</v>
      </c>
      <c r="W84" s="1"/>
    </row>
    <row r="85" spans="1:23" customFormat="1" ht="15" customHeight="1">
      <c r="A85" s="1"/>
      <c r="B85" s="1"/>
      <c r="C85" s="2"/>
      <c r="D85" s="85" t="str">
        <f xml:space="preserve"> '2.1 Model setup'!K80</f>
        <v>5.1 Omkostninger til overliggende net ifm. forbrug</v>
      </c>
      <c r="E85" s="1"/>
      <c r="F85" s="86"/>
      <c r="G85" s="86"/>
      <c r="H85" s="86"/>
      <c r="I85" s="86"/>
      <c r="J85" s="86"/>
      <c r="K85" s="87" t="s">
        <v>4</v>
      </c>
      <c r="L85" s="85">
        <f xml:space="preserve"> -- ( COUNTIF( R85:V85, "&lt;0" ) &gt; 0 ) + -- ( COUNTIF( R85:V85, "*" ) &gt; 0 )</f>
        <v>0</v>
      </c>
      <c r="M85" s="119">
        <f xml:space="preserve"> IF( AND( N65 &lt;&gt; '2.1 Model setup'!$K$45, COUNTIF( R85:V85, "&gt;0") &gt; 0 ), 1, 0 )</f>
        <v>0</v>
      </c>
      <c r="N85" s="86"/>
      <c r="O85" s="405"/>
      <c r="P85" s="405"/>
      <c r="Q85" s="405"/>
      <c r="R85" s="153">
        <v>0.25</v>
      </c>
      <c r="S85" s="153">
        <v>0.25</v>
      </c>
      <c r="T85" s="153">
        <v>0.25</v>
      </c>
      <c r="U85" s="243">
        <v>0</v>
      </c>
      <c r="V85" s="243">
        <v>0</v>
      </c>
      <c r="W85" s="1"/>
    </row>
    <row r="86" spans="1:23" customFormat="1" ht="15" customHeight="1">
      <c r="A86" s="1"/>
      <c r="B86" s="1"/>
      <c r="C86" s="2"/>
      <c r="D86" s="85" t="str">
        <f xml:space="preserve"> '2.1 Model setup'!K81</f>
        <v>5.2 Øvrige omkostninger</v>
      </c>
      <c r="E86" s="1"/>
      <c r="F86" s="86"/>
      <c r="G86" s="86"/>
      <c r="H86" s="86"/>
      <c r="I86" s="86"/>
      <c r="J86" s="86"/>
      <c r="K86" s="87" t="s">
        <v>4</v>
      </c>
      <c r="L86" s="85">
        <f t="shared" si="0"/>
        <v>0</v>
      </c>
      <c r="M86" s="119">
        <f xml:space="preserve"> IF( AND( '2.3 Selskabsspecifikke input'!N175 &lt;&gt; '2.1 Model setup'!$K$45, COUNTIF( R86:V86, "&gt;0") &gt; 0 ), 1, 0 )</f>
        <v>0</v>
      </c>
      <c r="N86" s="86"/>
      <c r="O86" s="405"/>
      <c r="P86" s="405"/>
      <c r="Q86" s="405"/>
      <c r="R86" s="153">
        <v>0.25</v>
      </c>
      <c r="S86" s="153">
        <v>0.25</v>
      </c>
      <c r="T86" s="153">
        <v>0.25</v>
      </c>
      <c r="U86" s="243">
        <v>0</v>
      </c>
      <c r="V86" s="243">
        <v>0</v>
      </c>
      <c r="W86" s="1"/>
    </row>
    <row r="87" spans="1:23" customFormat="1" ht="15" customHeight="1">
      <c r="A87" s="1"/>
      <c r="B87" s="1"/>
      <c r="C87" s="2"/>
      <c r="D87" s="85" t="str">
        <f xml:space="preserve"> '2.1 Model setup'!K82</f>
        <v>6.1 Afskrivninger på transformerstationer</v>
      </c>
      <c r="E87" s="1"/>
      <c r="F87" s="86"/>
      <c r="G87" s="86"/>
      <c r="H87" s="86"/>
      <c r="I87" s="86"/>
      <c r="J87" s="86"/>
      <c r="K87" s="87" t="s">
        <v>4</v>
      </c>
      <c r="L87" s="85">
        <f t="shared" si="0"/>
        <v>0</v>
      </c>
      <c r="M87" s="119">
        <f xml:space="preserve"> IF( AND( N67 &lt;&gt; '2.1 Model setup'!$K$45, COUNTIF( R87:V87, "&gt;0") &gt; 0 ), 1, 0 )</f>
        <v>0</v>
      </c>
      <c r="N87" s="86"/>
      <c r="O87" s="405"/>
      <c r="P87" s="405"/>
      <c r="Q87" s="405"/>
      <c r="R87" s="153">
        <v>0.25</v>
      </c>
      <c r="S87" s="153">
        <v>0.25</v>
      </c>
      <c r="T87" s="153">
        <v>0.25</v>
      </c>
      <c r="U87" s="243">
        <v>0</v>
      </c>
      <c r="V87" s="243">
        <v>0</v>
      </c>
      <c r="W87" s="1"/>
    </row>
    <row r="88" spans="1:23" customFormat="1" ht="15" customHeight="1">
      <c r="A88" s="1"/>
      <c r="B88" s="1"/>
      <c r="C88" s="2"/>
      <c r="D88" s="85" t="str">
        <f xml:space="preserve"> '2.1 Model setup'!K83</f>
        <v>6.2 Afskrivninger på netaktiver ekskl. målere og transformerstationer</v>
      </c>
      <c r="E88" s="1"/>
      <c r="F88" s="86"/>
      <c r="G88" s="86"/>
      <c r="H88" s="86"/>
      <c r="I88" s="86"/>
      <c r="J88" s="86"/>
      <c r="K88" s="87" t="s">
        <v>4</v>
      </c>
      <c r="L88" s="85">
        <f t="shared" si="0"/>
        <v>0</v>
      </c>
      <c r="M88" s="119">
        <f xml:space="preserve"> IF( AND( N68 &lt;&gt; '2.1 Model setup'!$K$45, COUNTIF( R88:V88, "&gt;0") &gt; 0 ), 1, 0 )</f>
        <v>0</v>
      </c>
      <c r="N88" s="86"/>
      <c r="O88" s="405"/>
      <c r="P88" s="405"/>
      <c r="Q88" s="405"/>
      <c r="R88" s="153">
        <v>0.25</v>
      </c>
      <c r="S88" s="153">
        <v>0.25</v>
      </c>
      <c r="T88" s="153">
        <v>0.25</v>
      </c>
      <c r="U88" s="243">
        <v>0</v>
      </c>
      <c r="V88" s="243">
        <v>0</v>
      </c>
      <c r="W88" s="1"/>
    </row>
    <row r="89" spans="1:23" customFormat="1" ht="15" customHeight="1">
      <c r="A89" s="1"/>
      <c r="B89" s="1"/>
      <c r="C89" s="2"/>
      <c r="D89" s="85" t="str">
        <f xml:space="preserve"> '2.1 Model setup'!K84</f>
        <v>6.3 Afskrivninger på målere</v>
      </c>
      <c r="E89" s="1"/>
      <c r="F89" s="86"/>
      <c r="G89" s="86"/>
      <c r="H89" s="86"/>
      <c r="I89" s="86"/>
      <c r="J89" s="86"/>
      <c r="K89" s="87" t="s">
        <v>4</v>
      </c>
      <c r="L89" s="85">
        <f t="shared" si="0"/>
        <v>0</v>
      </c>
      <c r="M89" s="119">
        <f xml:space="preserve"> IF( AND( N69 &lt;&gt; '2.1 Model setup'!$K$45, COUNTIF( R89:V89, "&gt;0") &gt; 0 ), 1, 0 )</f>
        <v>0</v>
      </c>
      <c r="N89" s="86"/>
      <c r="O89" s="405"/>
      <c r="P89" s="405"/>
      <c r="Q89" s="405"/>
      <c r="R89" s="153">
        <v>0</v>
      </c>
      <c r="S89" s="153">
        <v>0</v>
      </c>
      <c r="T89" s="153">
        <v>0</v>
      </c>
      <c r="U89" s="243">
        <v>0</v>
      </c>
      <c r="V89" s="243">
        <v>0</v>
      </c>
      <c r="W89" s="1"/>
    </row>
    <row r="90" spans="1:23" customFormat="1" ht="15" customHeight="1">
      <c r="A90" s="1"/>
      <c r="B90" s="1"/>
      <c r="C90" s="2"/>
      <c r="D90" s="85" t="str">
        <f xml:space="preserve"> '2.1 Model setup'!K85</f>
        <v>7.1 Transformerstationer (forrentning)</v>
      </c>
      <c r="E90" s="1"/>
      <c r="F90" s="86"/>
      <c r="G90" s="86"/>
      <c r="H90" s="86"/>
      <c r="I90" s="86"/>
      <c r="J90" s="86"/>
      <c r="K90" s="87" t="s">
        <v>4</v>
      </c>
      <c r="L90" s="85">
        <f t="shared" si="0"/>
        <v>0</v>
      </c>
      <c r="M90" s="119">
        <f xml:space="preserve"> IF( AND( N70 &lt;&gt; '2.1 Model setup'!$K$45, COUNTIF( R90:V90, "&gt;0") &gt; 0 ), 1, 0 )</f>
        <v>0</v>
      </c>
      <c r="N90" s="86"/>
      <c r="O90" s="405"/>
      <c r="P90" s="405"/>
      <c r="Q90" s="405"/>
      <c r="R90" s="153">
        <v>0.25</v>
      </c>
      <c r="S90" s="153">
        <v>0.25</v>
      </c>
      <c r="T90" s="153">
        <v>0.25</v>
      </c>
      <c r="U90" s="243">
        <v>0</v>
      </c>
      <c r="V90" s="243">
        <v>0</v>
      </c>
      <c r="W90" s="1"/>
    </row>
    <row r="91" spans="1:23" customFormat="1" ht="15" customHeight="1">
      <c r="A91" s="1"/>
      <c r="B91" s="1"/>
      <c r="C91" s="2"/>
      <c r="D91" s="85" t="str">
        <f xml:space="preserve"> '2.1 Model setup'!K86</f>
        <v>7.2 Netaktiver ekskl. målere og transformerstationer (forrentning)</v>
      </c>
      <c r="E91" s="1"/>
      <c r="F91" s="86"/>
      <c r="G91" s="86"/>
      <c r="H91" s="86"/>
      <c r="I91" s="86"/>
      <c r="J91" s="86"/>
      <c r="K91" s="87" t="s">
        <v>4</v>
      </c>
      <c r="L91" s="85">
        <f t="shared" si="0"/>
        <v>0</v>
      </c>
      <c r="M91" s="119">
        <f xml:space="preserve"> IF( AND( N71 &lt;&gt; '2.1 Model setup'!$K$45, COUNTIF( R91:V91, "&gt;0") &gt; 0 ), 1, 0 )</f>
        <v>0</v>
      </c>
      <c r="N91" s="86"/>
      <c r="O91" s="405"/>
      <c r="P91" s="405"/>
      <c r="Q91" s="405"/>
      <c r="R91" s="153">
        <v>0.25</v>
      </c>
      <c r="S91" s="153">
        <v>0.25</v>
      </c>
      <c r="T91" s="153">
        <v>0.25</v>
      </c>
      <c r="U91" s="243">
        <v>0</v>
      </c>
      <c r="V91" s="243">
        <v>0</v>
      </c>
      <c r="W91" s="1"/>
    </row>
    <row r="92" spans="1:23" customFormat="1" ht="15" customHeight="1">
      <c r="A92" s="1"/>
      <c r="B92" s="1"/>
      <c r="C92" s="2"/>
      <c r="D92" s="99" t="str">
        <f xml:space="preserve"> '2.1 Model setup'!K87</f>
        <v>7.3 Målere (forrentning)</v>
      </c>
      <c r="E92" s="27"/>
      <c r="F92" s="156"/>
      <c r="G92" s="156"/>
      <c r="H92" s="156"/>
      <c r="I92" s="156"/>
      <c r="J92" s="156"/>
      <c r="K92" s="98" t="s">
        <v>4</v>
      </c>
      <c r="L92" s="99">
        <f t="shared" si="0"/>
        <v>0</v>
      </c>
      <c r="M92" s="151">
        <f xml:space="preserve"> IF( AND( N72 &lt;&gt; '2.1 Model setup'!$K$45, COUNTIF( R92:V92, "&gt;0") &gt; 0 ), 1, 0 )</f>
        <v>0</v>
      </c>
      <c r="N92" s="156"/>
      <c r="O92" s="406"/>
      <c r="P92" s="406"/>
      <c r="Q92" s="406"/>
      <c r="R92" s="154">
        <v>0</v>
      </c>
      <c r="S92" s="154">
        <v>0</v>
      </c>
      <c r="T92" s="154">
        <v>0</v>
      </c>
      <c r="U92" s="244">
        <v>0</v>
      </c>
      <c r="V92" s="244">
        <v>0</v>
      </c>
      <c r="W92" s="27"/>
    </row>
    <row r="93" spans="1:23" customFormat="1" ht="15" customHeight="1">
      <c r="A93" s="1"/>
      <c r="B93" s="1"/>
      <c r="C93" s="2"/>
      <c r="D93" s="85"/>
      <c r="E93" s="1"/>
      <c r="F93" s="86"/>
      <c r="G93" s="86"/>
      <c r="H93" s="86"/>
      <c r="I93" s="86"/>
      <c r="J93" s="86"/>
      <c r="K93" s="87"/>
      <c r="L93" s="85"/>
      <c r="M93" s="85"/>
      <c r="N93" s="86"/>
      <c r="O93" s="86"/>
      <c r="P93" s="86"/>
      <c r="Q93" s="86"/>
      <c r="R93" s="1"/>
      <c r="S93" s="1"/>
      <c r="T93" s="1"/>
      <c r="U93" s="1"/>
      <c r="V93" s="1"/>
      <c r="W93" s="1"/>
    </row>
    <row r="94" spans="1:23" customFormat="1" ht="15" customHeight="1">
      <c r="A94" s="1"/>
      <c r="B94" s="1"/>
      <c r="C94" s="2"/>
      <c r="D94" s="85"/>
      <c r="E94" s="1"/>
      <c r="F94" s="86"/>
      <c r="G94" s="86"/>
      <c r="H94" s="86"/>
      <c r="I94" s="86"/>
      <c r="J94" s="86"/>
      <c r="K94" s="87"/>
      <c r="L94" s="85"/>
      <c r="M94" s="85"/>
      <c r="N94" s="86"/>
      <c r="O94" s="86"/>
      <c r="P94" s="86"/>
      <c r="Q94" s="86"/>
      <c r="R94" s="1"/>
      <c r="S94" s="1"/>
      <c r="T94" s="1"/>
      <c r="U94" s="1"/>
      <c r="V94" s="1"/>
      <c r="W94" s="1"/>
    </row>
    <row r="95" spans="1:23" customFormat="1" ht="15" customHeight="1">
      <c r="A95" s="1"/>
      <c r="B95" s="1"/>
      <c r="C95" s="2"/>
      <c r="D95" s="85"/>
      <c r="E95" s="1"/>
      <c r="F95" s="86"/>
      <c r="G95" s="86"/>
      <c r="H95" s="86"/>
      <c r="I95" s="86"/>
      <c r="J95" s="86"/>
      <c r="K95" s="87"/>
      <c r="L95" s="85"/>
      <c r="M95" s="85"/>
      <c r="N95" s="86"/>
      <c r="O95" s="86"/>
      <c r="P95" s="86"/>
      <c r="Q95" s="86"/>
      <c r="R95" s="1"/>
      <c r="S95" s="1"/>
      <c r="T95" s="1"/>
      <c r="U95" s="1"/>
      <c r="V95" s="1"/>
      <c r="W95" s="1"/>
    </row>
    <row r="96" spans="1:23" s="475" customFormat="1" ht="15" customHeight="1">
      <c r="B96" s="479" t="str">
        <f xml:space="preserve"> COUNTA(B$10:B93) &amp; ") Byggeklodser - abonnement"</f>
        <v>4) Byggeklodser - abonnement</v>
      </c>
      <c r="C96" s="477"/>
      <c r="D96" s="478"/>
      <c r="K96" s="472"/>
    </row>
    <row r="97" spans="1:23" customFormat="1" ht="15" customHeight="1">
      <c r="A97" s="1"/>
      <c r="B97" s="1"/>
      <c r="C97" s="2"/>
      <c r="D97" s="85"/>
      <c r="E97" s="1"/>
      <c r="F97" s="86"/>
      <c r="G97" s="86"/>
      <c r="H97" s="86"/>
      <c r="I97" s="86"/>
      <c r="J97" s="86"/>
      <c r="K97" s="87"/>
      <c r="L97" s="85"/>
      <c r="M97" s="85"/>
      <c r="N97" s="86"/>
      <c r="O97" s="86"/>
      <c r="P97" s="86"/>
      <c r="Q97" s="86"/>
      <c r="R97" s="1"/>
      <c r="S97" s="1"/>
      <c r="T97" s="1"/>
      <c r="U97" s="1"/>
      <c r="V97" s="1"/>
      <c r="W97" s="1"/>
    </row>
    <row r="98" spans="1:23" ht="15" customHeight="1">
      <c r="D98" s="35" t="s">
        <v>247</v>
      </c>
      <c r="E98" s="27"/>
      <c r="F98" s="27"/>
      <c r="G98" s="27"/>
      <c r="H98" s="27"/>
      <c r="I98" s="27"/>
      <c r="J98" s="27"/>
      <c r="K98" s="32"/>
      <c r="L98" s="27"/>
      <c r="M98" s="27"/>
      <c r="N98" s="27"/>
    </row>
    <row r="99" spans="1:23" ht="15" customHeight="1">
      <c r="D99" s="85" t="str">
        <f xml:space="preserve"> '2.1 Model setup'!K70</f>
        <v>1.1 Drift og vedligeholdelse af transformerstationer</v>
      </c>
      <c r="K99" s="5" t="s">
        <v>3</v>
      </c>
      <c r="L99" s="123">
        <f xml:space="preserve"> -- ( N99 &lt; 0 ) + -- ( COUNTIF( N99, "*" ) &gt; 0 )</f>
        <v>0</v>
      </c>
      <c r="M99" s="160">
        <f xml:space="preserve"> -- OR( N99 = "", INT( N99 ) &lt;&gt; N99 )</f>
        <v>0</v>
      </c>
      <c r="N99" s="157">
        <v>1</v>
      </c>
      <c r="O99" s="15"/>
      <c r="P99" s="15"/>
      <c r="Q99" s="15"/>
      <c r="R99" s="15"/>
      <c r="S99" s="15"/>
      <c r="T99" s="15"/>
      <c r="U99" s="15"/>
      <c r="V99" s="15"/>
      <c r="W99" s="150"/>
    </row>
    <row r="100" spans="1:23" ht="15" customHeight="1">
      <c r="D100" s="85" t="str">
        <f xml:space="preserve"> '2.1 Model setup'!K71</f>
        <v>1.2 Drift og vedligeholdelse af ledningsnet</v>
      </c>
      <c r="K100" s="5" t="s">
        <v>3</v>
      </c>
      <c r="L100" s="85">
        <f t="shared" ref="L100:L116" si="1" xml:space="preserve"> -- ( N100 &lt; 0 ) + -- ( COUNTIF( N100, "*" ) &gt; 0 )</f>
        <v>0</v>
      </c>
      <c r="M100" s="161">
        <f t="shared" ref="M100:M116" si="2" xml:space="preserve"> -- OR( N100 = "", INT( N100 ) &lt;&gt; N100 )</f>
        <v>0</v>
      </c>
      <c r="N100" s="158">
        <v>1</v>
      </c>
      <c r="W100" s="121"/>
    </row>
    <row r="101" spans="1:23" ht="15" customHeight="1">
      <c r="D101" s="85" t="str">
        <f xml:space="preserve"> '2.1 Model setup'!K72</f>
        <v>1.3 Øvrige omkostninger til drift, styring og kontrol af elnettet</v>
      </c>
      <c r="K101" s="5" t="s">
        <v>3</v>
      </c>
      <c r="L101" s="85">
        <f t="shared" si="1"/>
        <v>0</v>
      </c>
      <c r="M101" s="161">
        <f t="shared" si="2"/>
        <v>0</v>
      </c>
      <c r="N101" s="158">
        <v>1</v>
      </c>
      <c r="W101" s="121"/>
    </row>
    <row r="102" spans="1:23" ht="15" customHeight="1">
      <c r="D102" s="85" t="str">
        <f xml:space="preserve"> '2.1 Model setup'!K73</f>
        <v>1.4 Omkostninger vedrørende 132-150/30-60 kV-stationer</v>
      </c>
      <c r="K102" s="5" t="s">
        <v>3</v>
      </c>
      <c r="L102" s="85">
        <f xml:space="preserve"> -- ( N102 &lt; 0 ) + -- ( COUNTIF( N102, "*" ) &gt; 0 )</f>
        <v>0</v>
      </c>
      <c r="M102" s="161">
        <f xml:space="preserve"> -- OR( N102 = "", INT( N102 ) &lt;&gt; N102 )</f>
        <v>0</v>
      </c>
      <c r="N102" s="158">
        <v>0</v>
      </c>
      <c r="W102" s="121"/>
    </row>
    <row r="103" spans="1:23" ht="15" customHeight="1">
      <c r="D103" s="85" t="str">
        <f xml:space="preserve"> '2.1 Model setup'!K74</f>
        <v>2.1 Drift og vedligeholdelse af målere</v>
      </c>
      <c r="K103" s="5" t="s">
        <v>3</v>
      </c>
      <c r="L103" s="85">
        <f t="shared" si="1"/>
        <v>0</v>
      </c>
      <c r="M103" s="161">
        <f t="shared" si="2"/>
        <v>0</v>
      </c>
      <c r="N103" s="158">
        <v>1</v>
      </c>
      <c r="W103" s="121"/>
    </row>
    <row r="104" spans="1:23" ht="15" customHeight="1">
      <c r="D104" s="85" t="str">
        <f xml:space="preserve"> '2.1 Model setup'!K75</f>
        <v>2.2 Indhentning og validering af målerdata</v>
      </c>
      <c r="K104" s="5" t="s">
        <v>3</v>
      </c>
      <c r="L104" s="85">
        <f t="shared" si="1"/>
        <v>0</v>
      </c>
      <c r="M104" s="161">
        <f t="shared" si="2"/>
        <v>0</v>
      </c>
      <c r="N104" s="158">
        <v>1</v>
      </c>
      <c r="W104" s="121"/>
    </row>
    <row r="105" spans="1:23" ht="15" customHeight="1">
      <c r="D105" s="85" t="str">
        <f xml:space="preserve"> '2.1 Model setup'!K76</f>
        <v>2.3 Måleradministration og kundehåndtering</v>
      </c>
      <c r="K105" s="5" t="s">
        <v>3</v>
      </c>
      <c r="L105" s="85">
        <f t="shared" si="1"/>
        <v>0</v>
      </c>
      <c r="M105" s="161">
        <f t="shared" si="2"/>
        <v>0</v>
      </c>
      <c r="N105" s="158">
        <v>1</v>
      </c>
      <c r="W105" s="121"/>
    </row>
    <row r="106" spans="1:23" ht="15" customHeight="1">
      <c r="D106" s="85" t="str">
        <f xml:space="preserve"> '2.1 Model setup'!K77</f>
        <v>3.1 Generel administration</v>
      </c>
      <c r="K106" s="5" t="s">
        <v>3</v>
      </c>
      <c r="L106" s="85">
        <f t="shared" si="1"/>
        <v>0</v>
      </c>
      <c r="M106" s="161">
        <f t="shared" si="2"/>
        <v>0</v>
      </c>
      <c r="N106" s="158">
        <v>1</v>
      </c>
      <c r="W106" s="121"/>
    </row>
    <row r="107" spans="1:23" ht="15" customHeight="1">
      <c r="D107" s="85" t="str">
        <f xml:space="preserve"> '2.1 Model setup'!K78</f>
        <v>4.1 Omkostninger vedrørende nettab i transformerstationer</v>
      </c>
      <c r="K107" s="5" t="s">
        <v>3</v>
      </c>
      <c r="L107" s="85">
        <f t="shared" si="1"/>
        <v>0</v>
      </c>
      <c r="M107" s="161">
        <f t="shared" si="2"/>
        <v>0</v>
      </c>
      <c r="N107" s="158">
        <v>1</v>
      </c>
      <c r="W107" s="121"/>
    </row>
    <row r="108" spans="1:23" ht="15" customHeight="1">
      <c r="D108" s="85" t="str">
        <f xml:space="preserve"> '2.1 Model setup'!K79</f>
        <v>4.2 Omkostninger vedrørende nettab i ledningsnettet</v>
      </c>
      <c r="K108" s="5" t="s">
        <v>3</v>
      </c>
      <c r="L108" s="85">
        <f t="shared" si="1"/>
        <v>0</v>
      </c>
      <c r="M108" s="161">
        <f t="shared" si="2"/>
        <v>0</v>
      </c>
      <c r="N108" s="158">
        <v>1</v>
      </c>
      <c r="W108" s="121"/>
    </row>
    <row r="109" spans="1:23" ht="15" customHeight="1">
      <c r="D109" s="85" t="str">
        <f xml:space="preserve"> '2.1 Model setup'!K80</f>
        <v>5.1 Omkostninger til overliggende net ifm. forbrug</v>
      </c>
      <c r="K109" s="5" t="s">
        <v>3</v>
      </c>
      <c r="L109" s="85">
        <f xml:space="preserve"> -- ( N109 &lt; 0 ) + -- ( COUNTIF( N109, "*" ) &gt; 0 )</f>
        <v>0</v>
      </c>
      <c r="M109" s="161">
        <f xml:space="preserve"> -- OR( N109 = "", INT( N109 ) &lt;&gt; N109 )</f>
        <v>0</v>
      </c>
      <c r="N109" s="158">
        <v>1</v>
      </c>
      <c r="W109" s="121"/>
    </row>
    <row r="110" spans="1:23" ht="15" customHeight="1">
      <c r="D110" s="85" t="str">
        <f xml:space="preserve"> '2.1 Model setup'!K81</f>
        <v>5.2 Øvrige omkostninger</v>
      </c>
      <c r="K110" s="5" t="s">
        <v>3</v>
      </c>
      <c r="L110" s="85">
        <f t="shared" si="1"/>
        <v>0</v>
      </c>
      <c r="M110" s="161">
        <f t="shared" si="2"/>
        <v>0</v>
      </c>
      <c r="N110" s="158">
        <v>1</v>
      </c>
      <c r="W110" s="121"/>
    </row>
    <row r="111" spans="1:23" ht="15" customHeight="1">
      <c r="D111" s="85" t="str">
        <f xml:space="preserve"> '2.1 Model setup'!K82</f>
        <v>6.1 Afskrivninger på transformerstationer</v>
      </c>
      <c r="K111" s="5" t="s">
        <v>3</v>
      </c>
      <c r="L111" s="85">
        <f t="shared" si="1"/>
        <v>0</v>
      </c>
      <c r="M111" s="161">
        <f t="shared" si="2"/>
        <v>0</v>
      </c>
      <c r="N111" s="158">
        <v>1</v>
      </c>
      <c r="W111" s="121"/>
    </row>
    <row r="112" spans="1:23" ht="15" customHeight="1">
      <c r="D112" s="85" t="str">
        <f xml:space="preserve"> '2.1 Model setup'!K83</f>
        <v>6.2 Afskrivninger på netaktiver ekskl. målere og transformerstationer</v>
      </c>
      <c r="K112" s="5" t="s">
        <v>3</v>
      </c>
      <c r="L112" s="85">
        <f t="shared" si="1"/>
        <v>0</v>
      </c>
      <c r="M112" s="161">
        <f t="shared" si="2"/>
        <v>0</v>
      </c>
      <c r="N112" s="158">
        <v>1</v>
      </c>
      <c r="W112" s="121"/>
    </row>
    <row r="113" spans="1:24" ht="15" customHeight="1">
      <c r="D113" s="85" t="str">
        <f xml:space="preserve"> '2.1 Model setup'!K84</f>
        <v>6.3 Afskrivninger på målere</v>
      </c>
      <c r="K113" s="5" t="s">
        <v>3</v>
      </c>
      <c r="L113" s="85">
        <f t="shared" si="1"/>
        <v>0</v>
      </c>
      <c r="M113" s="161">
        <f t="shared" si="2"/>
        <v>0</v>
      </c>
      <c r="N113" s="158">
        <v>1</v>
      </c>
      <c r="W113" s="121"/>
    </row>
    <row r="114" spans="1:24" ht="15" customHeight="1">
      <c r="D114" s="85" t="str">
        <f xml:space="preserve"> '2.1 Model setup'!K85</f>
        <v>7.1 Transformerstationer (forrentning)</v>
      </c>
      <c r="K114" s="5" t="s">
        <v>3</v>
      </c>
      <c r="L114" s="85">
        <f t="shared" si="1"/>
        <v>0</v>
      </c>
      <c r="M114" s="161">
        <f t="shared" si="2"/>
        <v>0</v>
      </c>
      <c r="N114" s="158">
        <v>1</v>
      </c>
      <c r="W114" s="121"/>
    </row>
    <row r="115" spans="1:24" ht="15" customHeight="1">
      <c r="D115" s="85" t="str">
        <f xml:space="preserve"> '2.1 Model setup'!K86</f>
        <v>7.2 Netaktiver ekskl. målere og transformerstationer (forrentning)</v>
      </c>
      <c r="K115" s="5" t="s">
        <v>3</v>
      </c>
      <c r="L115" s="85">
        <f t="shared" si="1"/>
        <v>0</v>
      </c>
      <c r="M115" s="161">
        <f t="shared" si="2"/>
        <v>0</v>
      </c>
      <c r="N115" s="158">
        <v>1</v>
      </c>
      <c r="W115" s="121"/>
    </row>
    <row r="116" spans="1:24" ht="15" customHeight="1">
      <c r="D116" s="99" t="str">
        <f xml:space="preserve"> '2.1 Model setup'!K87</f>
        <v>7.3 Målere (forrentning)</v>
      </c>
      <c r="E116" s="27"/>
      <c r="F116" s="27"/>
      <c r="G116" s="27"/>
      <c r="H116" s="27"/>
      <c r="I116" s="27"/>
      <c r="J116" s="27"/>
      <c r="K116" s="32" t="s">
        <v>3</v>
      </c>
      <c r="L116" s="99">
        <f t="shared" si="1"/>
        <v>0</v>
      </c>
      <c r="M116" s="216">
        <f t="shared" si="2"/>
        <v>0</v>
      </c>
      <c r="N116" s="159">
        <v>1</v>
      </c>
      <c r="O116" s="27"/>
      <c r="P116" s="27"/>
      <c r="Q116" s="27"/>
      <c r="R116" s="27"/>
      <c r="S116" s="27"/>
      <c r="T116" s="27"/>
      <c r="U116" s="27"/>
      <c r="V116" s="27"/>
      <c r="W116" s="131"/>
    </row>
    <row r="117" spans="1:24" customFormat="1" ht="15" customHeight="1">
      <c r="A117" s="1"/>
      <c r="B117" s="1"/>
      <c r="C117" s="2"/>
      <c r="D117" s="85"/>
      <c r="E117" s="1"/>
      <c r="F117" s="86"/>
      <c r="G117" s="86"/>
      <c r="H117" s="86"/>
      <c r="I117" s="86"/>
      <c r="J117" s="86"/>
      <c r="K117" s="87"/>
      <c r="L117" s="85"/>
      <c r="M117" s="85"/>
      <c r="N117" s="86"/>
      <c r="O117" s="86"/>
      <c r="P117" s="86"/>
      <c r="Q117" s="86"/>
      <c r="R117" s="1"/>
      <c r="S117" s="1"/>
      <c r="T117" s="1"/>
      <c r="U117" s="1"/>
      <c r="V117" s="1"/>
      <c r="W117" s="1"/>
    </row>
    <row r="118" spans="1:24" ht="15" customHeight="1">
      <c r="D118" s="35" t="s">
        <v>246</v>
      </c>
      <c r="E118" s="27"/>
      <c r="F118" s="27"/>
      <c r="G118" s="27"/>
      <c r="H118" s="27"/>
      <c r="I118" s="27"/>
      <c r="J118" s="27"/>
      <c r="K118" s="32"/>
      <c r="L118" s="27"/>
      <c r="M118" s="27"/>
      <c r="N118" s="27"/>
    </row>
    <row r="119" spans="1:24" ht="15" customHeight="1">
      <c r="D119" s="85" t="str">
        <f xml:space="preserve"> '2.1 Model setup'!K70</f>
        <v>1.1 Drift og vedligeholdelse af transformerstationer</v>
      </c>
      <c r="K119" s="5" t="s">
        <v>3</v>
      </c>
      <c r="L119" s="123">
        <f t="shared" ref="L119:L136" si="3" xml:space="preserve"> -- ( N119 &lt; 0 ) + -- ( COUNTIF( N119, "*" ) &gt; 0 )</f>
        <v>0</v>
      </c>
      <c r="M119" s="160">
        <f xml:space="preserve"> -- OR( N119 = "", INT( N119 ) &lt;&gt; N119 )</f>
        <v>0</v>
      </c>
      <c r="N119" s="157">
        <v>1</v>
      </c>
      <c r="O119" s="15"/>
      <c r="P119" s="15"/>
      <c r="Q119" s="15"/>
      <c r="R119" s="15"/>
      <c r="S119" s="15"/>
      <c r="T119" s="15"/>
      <c r="U119" s="15"/>
      <c r="V119" s="15"/>
      <c r="W119" s="150"/>
    </row>
    <row r="120" spans="1:24" ht="15" customHeight="1">
      <c r="D120" s="85" t="str">
        <f xml:space="preserve"> '2.1 Model setup'!K71</f>
        <v>1.2 Drift og vedligeholdelse af ledningsnet</v>
      </c>
      <c r="K120" s="5" t="s">
        <v>3</v>
      </c>
      <c r="L120" s="85">
        <f t="shared" si="3"/>
        <v>0</v>
      </c>
      <c r="M120" s="161">
        <f t="shared" ref="M120:M136" si="4" xml:space="preserve"> -- OR( N120 = "", INT( N120 ) &lt;&gt; N120 )</f>
        <v>0</v>
      </c>
      <c r="N120" s="158">
        <v>1</v>
      </c>
      <c r="W120" s="121"/>
    </row>
    <row r="121" spans="1:24" ht="15" customHeight="1">
      <c r="D121" s="85" t="str">
        <f xml:space="preserve"> '2.1 Model setup'!K72</f>
        <v>1.3 Øvrige omkostninger til drift, styring og kontrol af elnettet</v>
      </c>
      <c r="K121" s="5" t="s">
        <v>3</v>
      </c>
      <c r="L121" s="85">
        <f t="shared" si="3"/>
        <v>0</v>
      </c>
      <c r="M121" s="161">
        <f t="shared" si="4"/>
        <v>0</v>
      </c>
      <c r="N121" s="158">
        <v>1</v>
      </c>
      <c r="W121" s="121"/>
    </row>
    <row r="122" spans="1:24" ht="15" customHeight="1">
      <c r="D122" s="85" t="str">
        <f xml:space="preserve"> '2.1 Model setup'!K73</f>
        <v>1.4 Omkostninger vedrørende 132-150/30-60 kV-stationer</v>
      </c>
      <c r="K122" s="5" t="s">
        <v>3</v>
      </c>
      <c r="L122" s="85">
        <f xml:space="preserve"> -- ( N122 &lt; 0 ) + -- ( COUNTIF( N122, "*" ) &gt; 0 )</f>
        <v>0</v>
      </c>
      <c r="M122" s="161">
        <f xml:space="preserve"> -- OR( N122 = "", INT( N122 ) &lt;&gt; N122 )</f>
        <v>0</v>
      </c>
      <c r="N122" s="158">
        <v>0</v>
      </c>
      <c r="W122" s="121"/>
      <c r="X122" s="85"/>
    </row>
    <row r="123" spans="1:24" ht="15" customHeight="1">
      <c r="D123" s="85" t="str">
        <f xml:space="preserve"> '2.1 Model setup'!K74</f>
        <v>2.1 Drift og vedligeholdelse af målere</v>
      </c>
      <c r="K123" s="5" t="s">
        <v>3</v>
      </c>
      <c r="L123" s="85">
        <f t="shared" si="3"/>
        <v>0</v>
      </c>
      <c r="M123" s="161">
        <f t="shared" si="4"/>
        <v>0</v>
      </c>
      <c r="N123" s="158">
        <v>1</v>
      </c>
      <c r="W123" s="121"/>
      <c r="X123" s="85"/>
    </row>
    <row r="124" spans="1:24" ht="15" customHeight="1">
      <c r="D124" s="85" t="str">
        <f xml:space="preserve"> '2.1 Model setup'!K75</f>
        <v>2.2 Indhentning og validering af målerdata</v>
      </c>
      <c r="K124" s="5" t="s">
        <v>3</v>
      </c>
      <c r="L124" s="85">
        <f t="shared" si="3"/>
        <v>0</v>
      </c>
      <c r="M124" s="161">
        <f t="shared" si="4"/>
        <v>0</v>
      </c>
      <c r="N124" s="158">
        <v>1</v>
      </c>
      <c r="W124" s="121"/>
      <c r="X124" s="85"/>
    </row>
    <row r="125" spans="1:24" ht="15" customHeight="1">
      <c r="D125" s="85" t="str">
        <f xml:space="preserve"> '2.1 Model setup'!K76</f>
        <v>2.3 Måleradministration og kundehåndtering</v>
      </c>
      <c r="K125" s="5" t="s">
        <v>3</v>
      </c>
      <c r="L125" s="85">
        <f t="shared" si="3"/>
        <v>0</v>
      </c>
      <c r="M125" s="161">
        <f t="shared" si="4"/>
        <v>0</v>
      </c>
      <c r="N125" s="158">
        <v>1</v>
      </c>
      <c r="W125" s="121"/>
      <c r="X125" s="85"/>
    </row>
    <row r="126" spans="1:24" ht="15" customHeight="1">
      <c r="D126" s="85" t="str">
        <f xml:space="preserve"> '2.1 Model setup'!K77</f>
        <v>3.1 Generel administration</v>
      </c>
      <c r="K126" s="5" t="s">
        <v>3</v>
      </c>
      <c r="L126" s="85">
        <f t="shared" si="3"/>
        <v>0</v>
      </c>
      <c r="M126" s="161">
        <f t="shared" si="4"/>
        <v>0</v>
      </c>
      <c r="N126" s="158">
        <v>1</v>
      </c>
      <c r="W126" s="121"/>
      <c r="X126" s="85"/>
    </row>
    <row r="127" spans="1:24" ht="15" customHeight="1">
      <c r="D127" s="85" t="str">
        <f xml:space="preserve"> '2.1 Model setup'!K78</f>
        <v>4.1 Omkostninger vedrørende nettab i transformerstationer</v>
      </c>
      <c r="K127" s="5" t="s">
        <v>3</v>
      </c>
      <c r="L127" s="85">
        <f t="shared" si="3"/>
        <v>0</v>
      </c>
      <c r="M127" s="161">
        <f t="shared" si="4"/>
        <v>0</v>
      </c>
      <c r="N127" s="158">
        <v>1</v>
      </c>
      <c r="W127" s="121"/>
    </row>
    <row r="128" spans="1:24" ht="15" customHeight="1">
      <c r="D128" s="85" t="str">
        <f xml:space="preserve"> '2.1 Model setup'!K79</f>
        <v>4.2 Omkostninger vedrørende nettab i ledningsnettet</v>
      </c>
      <c r="K128" s="5" t="s">
        <v>3</v>
      </c>
      <c r="L128" s="85">
        <f t="shared" si="3"/>
        <v>0</v>
      </c>
      <c r="M128" s="161">
        <f t="shared" si="4"/>
        <v>0</v>
      </c>
      <c r="N128" s="158">
        <v>1</v>
      </c>
      <c r="W128" s="121"/>
    </row>
    <row r="129" spans="1:23" ht="15" customHeight="1">
      <c r="D129" s="85" t="str">
        <f xml:space="preserve"> '2.1 Model setup'!K80</f>
        <v>5.1 Omkostninger til overliggende net ifm. forbrug</v>
      </c>
      <c r="K129" s="5" t="s">
        <v>3</v>
      </c>
      <c r="L129" s="85">
        <f xml:space="preserve"> -- ( N129 &lt; 0 ) + -- ( COUNTIF( N129, "*" ) &gt; 0 )</f>
        <v>0</v>
      </c>
      <c r="M129" s="161">
        <f xml:space="preserve"> -- OR( N129 = "", INT( N129 ) &lt;&gt; N129 )</f>
        <v>0</v>
      </c>
      <c r="N129" s="158">
        <v>1</v>
      </c>
      <c r="W129" s="121"/>
    </row>
    <row r="130" spans="1:23" ht="15" customHeight="1">
      <c r="D130" s="85" t="str">
        <f xml:space="preserve"> '2.1 Model setup'!K81</f>
        <v>5.2 Øvrige omkostninger</v>
      </c>
      <c r="K130" s="5" t="s">
        <v>3</v>
      </c>
      <c r="L130" s="85">
        <f t="shared" si="3"/>
        <v>0</v>
      </c>
      <c r="M130" s="161">
        <f t="shared" si="4"/>
        <v>0</v>
      </c>
      <c r="N130" s="158">
        <v>1</v>
      </c>
      <c r="W130" s="121"/>
    </row>
    <row r="131" spans="1:23" ht="15" customHeight="1">
      <c r="D131" s="85" t="str">
        <f xml:space="preserve"> '2.1 Model setup'!K82</f>
        <v>6.1 Afskrivninger på transformerstationer</v>
      </c>
      <c r="K131" s="5" t="s">
        <v>3</v>
      </c>
      <c r="L131" s="85">
        <f t="shared" si="3"/>
        <v>0</v>
      </c>
      <c r="M131" s="161">
        <f t="shared" si="4"/>
        <v>0</v>
      </c>
      <c r="N131" s="158">
        <v>1</v>
      </c>
      <c r="W131" s="121"/>
    </row>
    <row r="132" spans="1:23" ht="15" customHeight="1">
      <c r="D132" s="85" t="str">
        <f xml:space="preserve"> '2.1 Model setup'!K83</f>
        <v>6.2 Afskrivninger på netaktiver ekskl. målere og transformerstationer</v>
      </c>
      <c r="K132" s="5" t="s">
        <v>3</v>
      </c>
      <c r="L132" s="85">
        <f t="shared" si="3"/>
        <v>0</v>
      </c>
      <c r="M132" s="161">
        <f t="shared" si="4"/>
        <v>0</v>
      </c>
      <c r="N132" s="158">
        <v>1</v>
      </c>
      <c r="W132" s="121"/>
    </row>
    <row r="133" spans="1:23" ht="15" customHeight="1">
      <c r="D133" s="85" t="str">
        <f xml:space="preserve"> '2.1 Model setup'!K84</f>
        <v>6.3 Afskrivninger på målere</v>
      </c>
      <c r="K133" s="5" t="s">
        <v>3</v>
      </c>
      <c r="L133" s="85">
        <f t="shared" si="3"/>
        <v>0</v>
      </c>
      <c r="M133" s="161">
        <f t="shared" si="4"/>
        <v>0</v>
      </c>
      <c r="N133" s="158">
        <v>1</v>
      </c>
      <c r="W133" s="121"/>
    </row>
    <row r="134" spans="1:23" ht="15" customHeight="1">
      <c r="D134" s="85" t="str">
        <f xml:space="preserve"> '2.1 Model setup'!K85</f>
        <v>7.1 Transformerstationer (forrentning)</v>
      </c>
      <c r="K134" s="5" t="s">
        <v>3</v>
      </c>
      <c r="L134" s="85">
        <f t="shared" si="3"/>
        <v>0</v>
      </c>
      <c r="M134" s="161">
        <f t="shared" si="4"/>
        <v>0</v>
      </c>
      <c r="N134" s="158">
        <v>1</v>
      </c>
      <c r="W134" s="121"/>
    </row>
    <row r="135" spans="1:23" ht="15" customHeight="1">
      <c r="D135" s="85" t="str">
        <f xml:space="preserve"> '2.1 Model setup'!K86</f>
        <v>7.2 Netaktiver ekskl. målere og transformerstationer (forrentning)</v>
      </c>
      <c r="K135" s="5" t="s">
        <v>3</v>
      </c>
      <c r="L135" s="85">
        <f t="shared" si="3"/>
        <v>0</v>
      </c>
      <c r="M135" s="161">
        <f t="shared" si="4"/>
        <v>0</v>
      </c>
      <c r="N135" s="158">
        <v>1</v>
      </c>
      <c r="W135" s="121"/>
    </row>
    <row r="136" spans="1:23" ht="15" customHeight="1">
      <c r="D136" s="99" t="str">
        <f xml:space="preserve"> '2.1 Model setup'!K87</f>
        <v>7.3 Målere (forrentning)</v>
      </c>
      <c r="E136" s="27"/>
      <c r="F136" s="27"/>
      <c r="G136" s="27"/>
      <c r="H136" s="27"/>
      <c r="I136" s="27"/>
      <c r="J136" s="27"/>
      <c r="K136" s="32" t="s">
        <v>3</v>
      </c>
      <c r="L136" s="99">
        <f t="shared" si="3"/>
        <v>0</v>
      </c>
      <c r="M136" s="216">
        <f t="shared" si="4"/>
        <v>0</v>
      </c>
      <c r="N136" s="159">
        <v>1</v>
      </c>
      <c r="O136" s="27"/>
      <c r="P136" s="27"/>
      <c r="Q136" s="27"/>
      <c r="R136" s="27"/>
      <c r="S136" s="27"/>
      <c r="T136" s="27"/>
      <c r="U136" s="27"/>
      <c r="V136" s="27"/>
      <c r="W136" s="131"/>
    </row>
    <row r="137" spans="1:23" customFormat="1" ht="15" customHeight="1">
      <c r="A137" s="1"/>
      <c r="B137" s="1"/>
      <c r="C137" s="2"/>
      <c r="D137" s="85"/>
      <c r="E137" s="1"/>
      <c r="F137" s="86"/>
      <c r="G137" s="86"/>
      <c r="H137" s="86"/>
      <c r="I137" s="86"/>
      <c r="J137" s="86"/>
      <c r="K137" s="87"/>
      <c r="L137" s="85"/>
      <c r="M137" s="85"/>
      <c r="N137" s="86"/>
      <c r="O137" s="86"/>
      <c r="P137" s="86"/>
      <c r="Q137" s="86"/>
      <c r="R137" s="1"/>
      <c r="S137" s="1"/>
      <c r="T137" s="1"/>
      <c r="U137" s="1"/>
      <c r="V137" s="1"/>
      <c r="W137" s="1"/>
    </row>
    <row r="138" spans="1:23" ht="15" customHeight="1">
      <c r="D138" s="35" t="s">
        <v>244</v>
      </c>
      <c r="E138" s="27"/>
      <c r="F138" s="27"/>
      <c r="G138" s="27"/>
      <c r="H138" s="27"/>
      <c r="I138" s="27"/>
      <c r="J138" s="27"/>
      <c r="K138" s="32"/>
      <c r="L138" s="27"/>
      <c r="M138" s="27"/>
      <c r="N138" s="27"/>
    </row>
    <row r="139" spans="1:23" ht="15" customHeight="1">
      <c r="D139" s="85" t="str">
        <f xml:space="preserve"> '2.1 Model setup'!K70</f>
        <v>1.1 Drift og vedligeholdelse af transformerstationer</v>
      </c>
      <c r="K139" s="5" t="s">
        <v>3</v>
      </c>
      <c r="L139" s="123">
        <f t="shared" ref="L139:L156" si="5" xml:space="preserve"> -- ( N139 &lt; 0 ) + -- ( COUNTIF( N139, "*" ) &gt; 0 )</f>
        <v>0</v>
      </c>
      <c r="M139" s="160">
        <f xml:space="preserve"> -- OR( N139 = "", INT( N139 ) &lt;&gt; N139 )</f>
        <v>0</v>
      </c>
      <c r="N139" s="157">
        <v>1</v>
      </c>
      <c r="O139" s="15"/>
      <c r="P139" s="15"/>
      <c r="Q139" s="15"/>
      <c r="R139" s="15"/>
      <c r="S139" s="15"/>
      <c r="T139" s="15"/>
      <c r="U139" s="15"/>
      <c r="V139" s="15"/>
      <c r="W139" s="150"/>
    </row>
    <row r="140" spans="1:23" ht="15" customHeight="1">
      <c r="D140" s="85" t="str">
        <f xml:space="preserve"> '2.1 Model setup'!K71</f>
        <v>1.2 Drift og vedligeholdelse af ledningsnet</v>
      </c>
      <c r="K140" s="5" t="s">
        <v>3</v>
      </c>
      <c r="L140" s="85">
        <f t="shared" si="5"/>
        <v>0</v>
      </c>
      <c r="M140" s="161">
        <f t="shared" ref="M140:M156" si="6" xml:space="preserve"> -- OR( N140 = "", INT( N140 ) &lt;&gt; N140 )</f>
        <v>0</v>
      </c>
      <c r="N140" s="158">
        <v>1</v>
      </c>
      <c r="W140" s="121"/>
    </row>
    <row r="141" spans="1:23" ht="15" customHeight="1">
      <c r="D141" s="85" t="str">
        <f xml:space="preserve"> '2.1 Model setup'!K72</f>
        <v>1.3 Øvrige omkostninger til drift, styring og kontrol af elnettet</v>
      </c>
      <c r="K141" s="5" t="s">
        <v>3</v>
      </c>
      <c r="L141" s="85">
        <f t="shared" si="5"/>
        <v>0</v>
      </c>
      <c r="M141" s="161">
        <f t="shared" si="6"/>
        <v>0</v>
      </c>
      <c r="N141" s="158">
        <v>1</v>
      </c>
      <c r="W141" s="121"/>
    </row>
    <row r="142" spans="1:23" ht="15" customHeight="1">
      <c r="D142" s="85" t="str">
        <f xml:space="preserve"> '2.1 Model setup'!K73</f>
        <v>1.4 Omkostninger vedrørende 132-150/30-60 kV-stationer</v>
      </c>
      <c r="K142" s="5" t="s">
        <v>3</v>
      </c>
      <c r="L142" s="85">
        <f xml:space="preserve"> -- ( N142 &lt; 0 ) + -- ( COUNTIF( N142, "*" ) &gt; 0 )</f>
        <v>0</v>
      </c>
      <c r="M142" s="161">
        <f xml:space="preserve"> -- OR( N142 = "", INT( N142 ) &lt;&gt; N142 )</f>
        <v>0</v>
      </c>
      <c r="N142" s="158">
        <v>0</v>
      </c>
      <c r="W142" s="121"/>
    </row>
    <row r="143" spans="1:23" ht="15" customHeight="1">
      <c r="D143" s="85" t="str">
        <f xml:space="preserve"> '2.1 Model setup'!K74</f>
        <v>2.1 Drift og vedligeholdelse af målere</v>
      </c>
      <c r="K143" s="5" t="s">
        <v>3</v>
      </c>
      <c r="L143" s="85">
        <f t="shared" si="5"/>
        <v>0</v>
      </c>
      <c r="M143" s="161">
        <f t="shared" si="6"/>
        <v>0</v>
      </c>
      <c r="N143" s="158">
        <v>0</v>
      </c>
      <c r="W143" s="121"/>
    </row>
    <row r="144" spans="1:23" ht="15" customHeight="1">
      <c r="D144" s="85" t="str">
        <f xml:space="preserve"> '2.1 Model setup'!K75</f>
        <v>2.2 Indhentning og validering af målerdata</v>
      </c>
      <c r="K144" s="5" t="s">
        <v>3</v>
      </c>
      <c r="L144" s="85">
        <f t="shared" si="5"/>
        <v>0</v>
      </c>
      <c r="M144" s="161">
        <f t="shared" si="6"/>
        <v>0</v>
      </c>
      <c r="N144" s="158">
        <v>1</v>
      </c>
      <c r="W144" s="121"/>
    </row>
    <row r="145" spans="1:23" ht="15" customHeight="1">
      <c r="D145" s="85" t="str">
        <f xml:space="preserve"> '2.1 Model setup'!K76</f>
        <v>2.3 Måleradministration og kundehåndtering</v>
      </c>
      <c r="K145" s="5" t="s">
        <v>3</v>
      </c>
      <c r="L145" s="85">
        <f t="shared" si="5"/>
        <v>0</v>
      </c>
      <c r="M145" s="161">
        <f t="shared" si="6"/>
        <v>0</v>
      </c>
      <c r="N145" s="158">
        <v>1</v>
      </c>
      <c r="W145" s="121"/>
    </row>
    <row r="146" spans="1:23" ht="15" customHeight="1">
      <c r="D146" s="85" t="str">
        <f xml:space="preserve"> '2.1 Model setup'!K77</f>
        <v>3.1 Generel administration</v>
      </c>
      <c r="K146" s="5" t="s">
        <v>3</v>
      </c>
      <c r="L146" s="85">
        <f t="shared" si="5"/>
        <v>0</v>
      </c>
      <c r="M146" s="161">
        <f t="shared" si="6"/>
        <v>0</v>
      </c>
      <c r="N146" s="158">
        <v>1</v>
      </c>
      <c r="W146" s="121"/>
    </row>
    <row r="147" spans="1:23" ht="15" customHeight="1">
      <c r="D147" s="85" t="str">
        <f xml:space="preserve"> '2.1 Model setup'!K78</f>
        <v>4.1 Omkostninger vedrørende nettab i transformerstationer</v>
      </c>
      <c r="K147" s="5" t="s">
        <v>3</v>
      </c>
      <c r="L147" s="85">
        <f t="shared" si="5"/>
        <v>0</v>
      </c>
      <c r="M147" s="161">
        <f t="shared" si="6"/>
        <v>0</v>
      </c>
      <c r="N147" s="158">
        <v>1</v>
      </c>
      <c r="W147" s="121"/>
    </row>
    <row r="148" spans="1:23" ht="15" customHeight="1">
      <c r="D148" s="85" t="str">
        <f xml:space="preserve"> '2.1 Model setup'!K79</f>
        <v>4.2 Omkostninger vedrørende nettab i ledningsnettet</v>
      </c>
      <c r="K148" s="5" t="s">
        <v>3</v>
      </c>
      <c r="L148" s="85">
        <f xml:space="preserve"> -- ( N148 &lt; 0 ) + -- ( COUNTIF( N148, "*" ) &gt; 0 )</f>
        <v>0</v>
      </c>
      <c r="M148" s="161">
        <f t="shared" si="6"/>
        <v>0</v>
      </c>
      <c r="N148" s="158">
        <v>1</v>
      </c>
      <c r="W148" s="121"/>
    </row>
    <row r="149" spans="1:23" ht="15" customHeight="1">
      <c r="D149" s="85" t="str">
        <f xml:space="preserve"> '2.1 Model setup'!K80</f>
        <v>5.1 Omkostninger til overliggende net ifm. forbrug</v>
      </c>
      <c r="K149" s="5" t="s">
        <v>3</v>
      </c>
      <c r="L149" s="85">
        <f xml:space="preserve"> -- ( N149 &lt; 0 ) + -- ( COUNTIF( N149, "*" ) &gt; 0 )</f>
        <v>0</v>
      </c>
      <c r="M149" s="161">
        <f xml:space="preserve"> -- OR( N149 = "", INT( N149 ) &lt;&gt; N149 )</f>
        <v>0</v>
      </c>
      <c r="N149" s="158">
        <v>1</v>
      </c>
      <c r="W149" s="121"/>
    </row>
    <row r="150" spans="1:23" ht="15" customHeight="1">
      <c r="D150" s="85" t="str">
        <f xml:space="preserve"> '2.1 Model setup'!K81</f>
        <v>5.2 Øvrige omkostninger</v>
      </c>
      <c r="K150" s="5" t="s">
        <v>3</v>
      </c>
      <c r="L150" s="85">
        <f t="shared" si="5"/>
        <v>0</v>
      </c>
      <c r="M150" s="161">
        <f t="shared" si="6"/>
        <v>0</v>
      </c>
      <c r="N150" s="158">
        <v>1</v>
      </c>
      <c r="W150" s="121"/>
    </row>
    <row r="151" spans="1:23" ht="15" customHeight="1">
      <c r="D151" s="85" t="str">
        <f xml:space="preserve"> '2.1 Model setup'!K82</f>
        <v>6.1 Afskrivninger på transformerstationer</v>
      </c>
      <c r="K151" s="5" t="s">
        <v>3</v>
      </c>
      <c r="L151" s="85">
        <f t="shared" si="5"/>
        <v>0</v>
      </c>
      <c r="M151" s="161">
        <f t="shared" si="6"/>
        <v>0</v>
      </c>
      <c r="N151" s="158">
        <v>1</v>
      </c>
      <c r="W151" s="121"/>
    </row>
    <row r="152" spans="1:23" ht="15" customHeight="1">
      <c r="D152" s="85" t="str">
        <f xml:space="preserve"> '2.1 Model setup'!K83</f>
        <v>6.2 Afskrivninger på netaktiver ekskl. målere og transformerstationer</v>
      </c>
      <c r="K152" s="5" t="s">
        <v>3</v>
      </c>
      <c r="L152" s="85">
        <f t="shared" si="5"/>
        <v>0</v>
      </c>
      <c r="M152" s="161">
        <f t="shared" si="6"/>
        <v>0</v>
      </c>
      <c r="N152" s="158">
        <v>1</v>
      </c>
      <c r="W152" s="121"/>
    </row>
    <row r="153" spans="1:23" ht="15" customHeight="1">
      <c r="D153" s="85" t="str">
        <f xml:space="preserve"> '2.1 Model setup'!K84</f>
        <v>6.3 Afskrivninger på målere</v>
      </c>
      <c r="K153" s="5" t="s">
        <v>3</v>
      </c>
      <c r="L153" s="85">
        <f t="shared" si="5"/>
        <v>0</v>
      </c>
      <c r="M153" s="161">
        <f t="shared" si="6"/>
        <v>0</v>
      </c>
      <c r="N153" s="158">
        <v>0</v>
      </c>
      <c r="W153" s="121"/>
    </row>
    <row r="154" spans="1:23" ht="15" customHeight="1">
      <c r="D154" s="85" t="str">
        <f xml:space="preserve"> '2.1 Model setup'!K85</f>
        <v>7.1 Transformerstationer (forrentning)</v>
      </c>
      <c r="K154" s="5" t="s">
        <v>3</v>
      </c>
      <c r="L154" s="85">
        <f t="shared" si="5"/>
        <v>0</v>
      </c>
      <c r="M154" s="161">
        <f t="shared" si="6"/>
        <v>0</v>
      </c>
      <c r="N154" s="158">
        <v>1</v>
      </c>
      <c r="W154" s="121"/>
    </row>
    <row r="155" spans="1:23" ht="15" customHeight="1">
      <c r="D155" s="85" t="str">
        <f xml:space="preserve"> '2.1 Model setup'!K86</f>
        <v>7.2 Netaktiver ekskl. målere og transformerstationer (forrentning)</v>
      </c>
      <c r="K155" s="5" t="s">
        <v>3</v>
      </c>
      <c r="L155" s="85">
        <f t="shared" si="5"/>
        <v>0</v>
      </c>
      <c r="M155" s="161">
        <f t="shared" si="6"/>
        <v>0</v>
      </c>
      <c r="N155" s="158">
        <v>1</v>
      </c>
      <c r="W155" s="121"/>
    </row>
    <row r="156" spans="1:23" ht="15" customHeight="1">
      <c r="D156" s="99" t="str">
        <f xml:space="preserve"> '2.1 Model setup'!K87</f>
        <v>7.3 Målere (forrentning)</v>
      </c>
      <c r="E156" s="27"/>
      <c r="F156" s="27"/>
      <c r="G156" s="27"/>
      <c r="H156" s="27"/>
      <c r="I156" s="27"/>
      <c r="J156" s="27"/>
      <c r="K156" s="32" t="s">
        <v>3</v>
      </c>
      <c r="L156" s="99">
        <f t="shared" si="5"/>
        <v>0</v>
      </c>
      <c r="M156" s="216">
        <f t="shared" si="6"/>
        <v>0</v>
      </c>
      <c r="N156" s="159">
        <v>0</v>
      </c>
      <c r="O156" s="27"/>
      <c r="P156" s="27"/>
      <c r="Q156" s="27"/>
      <c r="R156" s="27"/>
      <c r="S156" s="27"/>
      <c r="T156" s="27"/>
      <c r="U156" s="27"/>
      <c r="V156" s="27"/>
      <c r="W156" s="131"/>
    </row>
    <row r="157" spans="1:23" customFormat="1" ht="15" customHeight="1">
      <c r="A157" s="1"/>
      <c r="B157" s="1"/>
      <c r="C157" s="2"/>
      <c r="D157" s="85"/>
      <c r="E157" s="1"/>
      <c r="F157" s="86"/>
      <c r="G157" s="86"/>
      <c r="H157" s="86"/>
      <c r="I157" s="86"/>
      <c r="J157" s="86"/>
      <c r="K157" s="87"/>
      <c r="L157" s="85"/>
      <c r="M157" s="85"/>
      <c r="N157" s="86"/>
      <c r="O157" s="86"/>
      <c r="P157" s="86"/>
      <c r="Q157" s="86"/>
      <c r="R157" s="1"/>
      <c r="S157" s="1"/>
      <c r="T157" s="1"/>
      <c r="U157" s="1"/>
      <c r="V157" s="1"/>
      <c r="W157" s="1"/>
    </row>
    <row r="158" spans="1:23" ht="15" customHeight="1">
      <c r="D158" s="35" t="s">
        <v>245</v>
      </c>
      <c r="E158" s="27"/>
      <c r="F158" s="27"/>
      <c r="G158" s="27"/>
      <c r="H158" s="27"/>
      <c r="I158" s="27"/>
      <c r="J158" s="27"/>
      <c r="K158" s="32"/>
      <c r="L158" s="27"/>
      <c r="M158" s="27"/>
    </row>
    <row r="159" spans="1:23" ht="15" customHeight="1">
      <c r="D159" s="85" t="str">
        <f xml:space="preserve"> '2.1 Model setup'!K70</f>
        <v>1.1 Drift og vedligeholdelse af transformerstationer</v>
      </c>
      <c r="K159" s="5" t="s">
        <v>3</v>
      </c>
      <c r="L159" s="123">
        <f t="shared" ref="L159:L176" si="7" xml:space="preserve"> -- ( N159 &lt; 0 ) + -- ( COUNTIF( N159, "*" ) &gt; 0 )</f>
        <v>0</v>
      </c>
      <c r="M159" s="160">
        <f xml:space="preserve"> -- OR( N159 = "", INT( N159 ) &lt;&gt; N159 )</f>
        <v>0</v>
      </c>
      <c r="N159" s="157">
        <v>1</v>
      </c>
      <c r="O159" s="15"/>
      <c r="P159" s="15"/>
      <c r="Q159" s="15"/>
      <c r="R159" s="15"/>
      <c r="S159" s="15"/>
      <c r="T159" s="15"/>
      <c r="U159" s="15"/>
      <c r="V159" s="15"/>
      <c r="W159" s="150"/>
    </row>
    <row r="160" spans="1:23" ht="15" customHeight="1">
      <c r="D160" s="85" t="str">
        <f xml:space="preserve"> '2.1 Model setup'!K71</f>
        <v>1.2 Drift og vedligeholdelse af ledningsnet</v>
      </c>
      <c r="K160" s="5" t="s">
        <v>3</v>
      </c>
      <c r="L160" s="85">
        <f t="shared" si="7"/>
        <v>0</v>
      </c>
      <c r="M160" s="161">
        <f t="shared" ref="M160:M176" si="8" xml:space="preserve"> -- OR( N160 = "", INT( N160 ) &lt;&gt; N160 )</f>
        <v>0</v>
      </c>
      <c r="N160" s="158">
        <v>1</v>
      </c>
      <c r="W160" s="121"/>
    </row>
    <row r="161" spans="4:23" ht="15" customHeight="1">
      <c r="D161" s="85" t="str">
        <f xml:space="preserve"> '2.1 Model setup'!K72</f>
        <v>1.3 Øvrige omkostninger til drift, styring og kontrol af elnettet</v>
      </c>
      <c r="K161" s="5" t="s">
        <v>3</v>
      </c>
      <c r="L161" s="85">
        <f t="shared" si="7"/>
        <v>0</v>
      </c>
      <c r="M161" s="161">
        <f t="shared" si="8"/>
        <v>0</v>
      </c>
      <c r="N161" s="158">
        <v>1</v>
      </c>
      <c r="W161" s="121"/>
    </row>
    <row r="162" spans="4:23" ht="15" customHeight="1">
      <c r="D162" s="85" t="str">
        <f xml:space="preserve"> '2.1 Model setup'!K73</f>
        <v>1.4 Omkostninger vedrørende 132-150/30-60 kV-stationer</v>
      </c>
      <c r="K162" s="5" t="s">
        <v>3</v>
      </c>
      <c r="L162" s="85">
        <f xml:space="preserve"> -- ( N162 &lt; 0 ) + -- ( COUNTIF( N162, "*" ) &gt; 0 )</f>
        <v>0</v>
      </c>
      <c r="M162" s="161">
        <f xml:space="preserve"> -- OR( N162 = "", INT( N162 ) &lt;&gt; N162 )</f>
        <v>0</v>
      </c>
      <c r="N162" s="158">
        <v>0</v>
      </c>
      <c r="W162" s="121"/>
    </row>
    <row r="163" spans="4:23" ht="15" customHeight="1">
      <c r="D163" s="85" t="str">
        <f xml:space="preserve"> '2.1 Model setup'!K74</f>
        <v>2.1 Drift og vedligeholdelse af målere</v>
      </c>
      <c r="K163" s="5" t="s">
        <v>3</v>
      </c>
      <c r="L163" s="85">
        <f t="shared" si="7"/>
        <v>0</v>
      </c>
      <c r="M163" s="161">
        <f t="shared" si="8"/>
        <v>0</v>
      </c>
      <c r="N163" s="158">
        <v>1</v>
      </c>
      <c r="W163" s="121"/>
    </row>
    <row r="164" spans="4:23" ht="15" customHeight="1">
      <c r="D164" s="85" t="str">
        <f xml:space="preserve"> '2.1 Model setup'!K75</f>
        <v>2.2 Indhentning og validering af målerdata</v>
      </c>
      <c r="K164" s="5" t="s">
        <v>3</v>
      </c>
      <c r="L164" s="85">
        <f t="shared" si="7"/>
        <v>0</v>
      </c>
      <c r="M164" s="161">
        <f t="shared" si="8"/>
        <v>0</v>
      </c>
      <c r="N164" s="158">
        <v>2</v>
      </c>
      <c r="W164" s="121"/>
    </row>
    <row r="165" spans="4:23" ht="15" customHeight="1">
      <c r="D165" s="85" t="str">
        <f xml:space="preserve"> '2.1 Model setup'!K76</f>
        <v>2.3 Måleradministration og kundehåndtering</v>
      </c>
      <c r="K165" s="5" t="s">
        <v>3</v>
      </c>
      <c r="L165" s="85">
        <f t="shared" si="7"/>
        <v>0</v>
      </c>
      <c r="M165" s="161">
        <f t="shared" si="8"/>
        <v>0</v>
      </c>
      <c r="N165" s="158">
        <v>1</v>
      </c>
      <c r="W165" s="121"/>
    </row>
    <row r="166" spans="4:23" ht="15" customHeight="1">
      <c r="D166" s="85" t="str">
        <f xml:space="preserve"> '2.1 Model setup'!K77</f>
        <v>3.1 Generel administration</v>
      </c>
      <c r="K166" s="5" t="s">
        <v>3</v>
      </c>
      <c r="L166" s="85">
        <f t="shared" si="7"/>
        <v>0</v>
      </c>
      <c r="M166" s="161">
        <f t="shared" si="8"/>
        <v>0</v>
      </c>
      <c r="N166" s="158">
        <v>1</v>
      </c>
      <c r="W166" s="121"/>
    </row>
    <row r="167" spans="4:23" ht="15" customHeight="1">
      <c r="D167" s="85" t="str">
        <f xml:space="preserve"> '2.1 Model setup'!K78</f>
        <v>4.1 Omkostninger vedrørende nettab i transformerstationer</v>
      </c>
      <c r="K167" s="5" t="s">
        <v>3</v>
      </c>
      <c r="L167" s="85">
        <f t="shared" si="7"/>
        <v>0</v>
      </c>
      <c r="M167" s="161">
        <f t="shared" si="8"/>
        <v>0</v>
      </c>
      <c r="N167" s="158">
        <v>1</v>
      </c>
      <c r="W167" s="121"/>
    </row>
    <row r="168" spans="4:23" ht="15" customHeight="1">
      <c r="D168" s="85" t="str">
        <f xml:space="preserve"> '2.1 Model setup'!K79</f>
        <v>4.2 Omkostninger vedrørende nettab i ledningsnettet</v>
      </c>
      <c r="K168" s="5" t="s">
        <v>3</v>
      </c>
      <c r="L168" s="85">
        <f t="shared" si="7"/>
        <v>0</v>
      </c>
      <c r="M168" s="161">
        <f t="shared" si="8"/>
        <v>0</v>
      </c>
      <c r="N168" s="158">
        <v>1</v>
      </c>
      <c r="W168" s="121"/>
    </row>
    <row r="169" spans="4:23" ht="15" customHeight="1">
      <c r="D169" s="85" t="str">
        <f xml:space="preserve"> '2.1 Model setup'!K80</f>
        <v>5.1 Omkostninger til overliggende net ifm. forbrug</v>
      </c>
      <c r="K169" s="5" t="s">
        <v>3</v>
      </c>
      <c r="L169" s="85">
        <f xml:space="preserve"> -- ( N169 &lt; 0 ) + -- ( COUNTIF( N169, "*" ) &gt; 0 )</f>
        <v>0</v>
      </c>
      <c r="M169" s="161">
        <f xml:space="preserve"> -- OR( N169 = "", INT( N169 ) &lt;&gt; N169 )</f>
        <v>0</v>
      </c>
      <c r="N169" s="158">
        <v>1</v>
      </c>
      <c r="W169" s="121"/>
    </row>
    <row r="170" spans="4:23" ht="15" customHeight="1">
      <c r="D170" s="85" t="str">
        <f xml:space="preserve"> '2.1 Model setup'!K81</f>
        <v>5.2 Øvrige omkostninger</v>
      </c>
      <c r="K170" s="5" t="s">
        <v>3</v>
      </c>
      <c r="L170" s="85">
        <f t="shared" si="7"/>
        <v>0</v>
      </c>
      <c r="M170" s="161">
        <f t="shared" si="8"/>
        <v>0</v>
      </c>
      <c r="N170" s="158">
        <v>1</v>
      </c>
      <c r="W170" s="121"/>
    </row>
    <row r="171" spans="4:23" ht="15" customHeight="1">
      <c r="D171" s="85" t="str">
        <f xml:space="preserve"> '2.1 Model setup'!K82</f>
        <v>6.1 Afskrivninger på transformerstationer</v>
      </c>
      <c r="K171" s="5" t="s">
        <v>3</v>
      </c>
      <c r="L171" s="85">
        <f t="shared" si="7"/>
        <v>0</v>
      </c>
      <c r="M171" s="161">
        <f t="shared" si="8"/>
        <v>0</v>
      </c>
      <c r="N171" s="158">
        <v>1</v>
      </c>
      <c r="W171" s="121"/>
    </row>
    <row r="172" spans="4:23" ht="15" customHeight="1">
      <c r="D172" s="85" t="str">
        <f xml:space="preserve"> '2.1 Model setup'!K83</f>
        <v>6.2 Afskrivninger på netaktiver ekskl. målere og transformerstationer</v>
      </c>
      <c r="K172" s="5" t="s">
        <v>3</v>
      </c>
      <c r="L172" s="85">
        <f t="shared" si="7"/>
        <v>0</v>
      </c>
      <c r="M172" s="161">
        <f t="shared" si="8"/>
        <v>0</v>
      </c>
      <c r="N172" s="158">
        <v>1</v>
      </c>
      <c r="W172" s="121"/>
    </row>
    <row r="173" spans="4:23" ht="15" customHeight="1">
      <c r="D173" s="85" t="str">
        <f xml:space="preserve"> '2.1 Model setup'!K84</f>
        <v>6.3 Afskrivninger på målere</v>
      </c>
      <c r="K173" s="5" t="s">
        <v>3</v>
      </c>
      <c r="L173" s="85">
        <f t="shared" si="7"/>
        <v>0</v>
      </c>
      <c r="M173" s="161">
        <f t="shared" si="8"/>
        <v>0</v>
      </c>
      <c r="N173" s="158">
        <v>1</v>
      </c>
      <c r="W173" s="121"/>
    </row>
    <row r="174" spans="4:23" ht="15" customHeight="1">
      <c r="D174" s="85" t="str">
        <f xml:space="preserve"> '2.1 Model setup'!K85</f>
        <v>7.1 Transformerstationer (forrentning)</v>
      </c>
      <c r="K174" s="5" t="s">
        <v>3</v>
      </c>
      <c r="L174" s="85">
        <f t="shared" si="7"/>
        <v>0</v>
      </c>
      <c r="M174" s="161">
        <f t="shared" si="8"/>
        <v>0</v>
      </c>
      <c r="N174" s="158">
        <v>1</v>
      </c>
      <c r="W174" s="121"/>
    </row>
    <row r="175" spans="4:23" ht="15" customHeight="1">
      <c r="D175" s="85" t="str">
        <f xml:space="preserve"> '2.1 Model setup'!K86</f>
        <v>7.2 Netaktiver ekskl. målere og transformerstationer (forrentning)</v>
      </c>
      <c r="K175" s="5" t="s">
        <v>3</v>
      </c>
      <c r="L175" s="85">
        <f t="shared" si="7"/>
        <v>0</v>
      </c>
      <c r="M175" s="161">
        <f t="shared" si="8"/>
        <v>0</v>
      </c>
      <c r="N175" s="158">
        <v>1</v>
      </c>
      <c r="W175" s="121"/>
    </row>
    <row r="176" spans="4:23" ht="15" customHeight="1">
      <c r="D176" s="99" t="str">
        <f xml:space="preserve"> '2.1 Model setup'!K87</f>
        <v>7.3 Målere (forrentning)</v>
      </c>
      <c r="E176" s="27"/>
      <c r="F176" s="27"/>
      <c r="G176" s="27"/>
      <c r="H176" s="27"/>
      <c r="I176" s="27"/>
      <c r="J176" s="27"/>
      <c r="K176" s="32" t="s">
        <v>3</v>
      </c>
      <c r="L176" s="99">
        <f t="shared" si="7"/>
        <v>0</v>
      </c>
      <c r="M176" s="216">
        <f t="shared" si="8"/>
        <v>0</v>
      </c>
      <c r="N176" s="159">
        <v>1</v>
      </c>
      <c r="O176" s="27"/>
      <c r="P176" s="27"/>
      <c r="Q176" s="27"/>
      <c r="R176" s="27"/>
      <c r="S176" s="27"/>
      <c r="T176" s="27"/>
      <c r="U176" s="27"/>
      <c r="V176" s="27"/>
      <c r="W176" s="131"/>
    </row>
    <row r="177" spans="1:23" customFormat="1" ht="15" customHeight="1">
      <c r="A177" s="1"/>
      <c r="B177" s="1"/>
      <c r="C177" s="2"/>
      <c r="D177" s="85"/>
      <c r="E177" s="1"/>
      <c r="F177" s="86"/>
      <c r="G177" s="86"/>
      <c r="H177" s="86"/>
      <c r="I177" s="86"/>
      <c r="J177" s="86"/>
      <c r="K177" s="87"/>
      <c r="L177" s="85"/>
      <c r="M177" s="85"/>
      <c r="N177" s="86"/>
      <c r="O177" s="86"/>
      <c r="P177" s="86"/>
      <c r="Q177" s="86"/>
      <c r="R177" s="1"/>
      <c r="S177" s="1"/>
      <c r="T177" s="1"/>
      <c r="U177" s="1"/>
      <c r="V177" s="1"/>
      <c r="W177" s="1"/>
    </row>
    <row r="178" spans="1:23" customFormat="1" ht="15" customHeight="1">
      <c r="A178" s="1"/>
      <c r="B178" s="1"/>
      <c r="C178" s="2"/>
      <c r="D178" s="85"/>
      <c r="E178" s="1"/>
      <c r="F178" s="86"/>
      <c r="G178" s="86"/>
      <c r="H178" s="86"/>
      <c r="I178" s="86"/>
      <c r="J178" s="86"/>
      <c r="K178" s="87"/>
      <c r="L178" s="85"/>
      <c r="M178" s="85"/>
      <c r="N178" s="86"/>
      <c r="O178" s="86"/>
      <c r="P178" s="86"/>
      <c r="Q178" s="86"/>
      <c r="R178" s="1"/>
      <c r="S178" s="1"/>
      <c r="T178" s="1"/>
      <c r="U178" s="1"/>
      <c r="V178" s="1"/>
      <c r="W178" s="1"/>
    </row>
    <row r="179" spans="1:23" customFormat="1" ht="15" customHeight="1">
      <c r="A179" s="1"/>
      <c r="B179" s="1"/>
      <c r="C179" s="2"/>
      <c r="D179" s="85"/>
      <c r="E179" s="1"/>
      <c r="F179" s="86"/>
      <c r="G179" s="86"/>
      <c r="H179" s="86"/>
      <c r="I179" s="86"/>
      <c r="J179" s="86"/>
      <c r="K179" s="87"/>
      <c r="L179" s="85"/>
      <c r="M179" s="85"/>
      <c r="N179" s="86"/>
      <c r="O179" s="86"/>
      <c r="P179" s="86"/>
      <c r="Q179" s="86"/>
      <c r="R179" s="1"/>
      <c r="S179" s="1"/>
      <c r="T179" s="1"/>
      <c r="U179" s="1"/>
      <c r="V179" s="1"/>
      <c r="W179" s="1"/>
    </row>
    <row r="180" spans="1:23" s="475" customFormat="1" ht="15" customHeight="1">
      <c r="B180" s="479" t="str">
        <f xml:space="preserve"> COUNTA(B$10:B177) &amp; ") Byggeklodser - tarif (forbrug og rådighed)"</f>
        <v>5) Byggeklodser - tarif (forbrug og rådighed)</v>
      </c>
      <c r="C180" s="477"/>
      <c r="D180" s="478"/>
      <c r="K180" s="472"/>
    </row>
    <row r="181" spans="1:23" customFormat="1" ht="15" customHeight="1">
      <c r="A181" s="1"/>
      <c r="B181" s="1"/>
      <c r="C181" s="2"/>
      <c r="D181" s="85"/>
      <c r="E181" s="1"/>
      <c r="F181" s="86"/>
      <c r="G181" s="86"/>
      <c r="H181" s="86"/>
      <c r="I181" s="86"/>
      <c r="J181" s="86"/>
      <c r="K181" s="87"/>
      <c r="L181" s="85"/>
      <c r="M181" s="85"/>
      <c r="N181" s="86"/>
      <c r="O181" s="86"/>
      <c r="P181" s="86"/>
      <c r="Q181" s="86"/>
      <c r="R181" s="1"/>
      <c r="S181" s="1"/>
      <c r="T181" s="1"/>
      <c r="U181" s="1"/>
      <c r="V181" s="1"/>
      <c r="W181" s="1"/>
    </row>
    <row r="182" spans="1:23" ht="15" customHeight="1">
      <c r="D182" s="35" t="s">
        <v>265</v>
      </c>
      <c r="E182" s="27"/>
      <c r="F182" s="27"/>
      <c r="G182" s="27"/>
      <c r="H182" s="27"/>
      <c r="I182" s="27"/>
      <c r="J182" s="27"/>
      <c r="K182" s="32"/>
      <c r="L182" s="27"/>
      <c r="M182" s="27"/>
      <c r="N182" s="27"/>
    </row>
    <row r="183" spans="1:23" ht="15" customHeight="1">
      <c r="D183" s="85" t="str">
        <f xml:space="preserve"> '2.1 Model setup'!K70</f>
        <v>1.1 Drift og vedligeholdelse af transformerstationer</v>
      </c>
      <c r="K183" s="5" t="s">
        <v>3</v>
      </c>
      <c r="L183" s="123">
        <f t="shared" ref="L183:L200" si="9" xml:space="preserve"> -- ( N183 &lt; 0 ) + -- ( COUNTIF( N183, "*" ) &gt; 0 )</f>
        <v>0</v>
      </c>
      <c r="M183" s="160">
        <f xml:space="preserve"> -- OR( N183 = "", INT( N183 ) &lt;&gt; N183 )</f>
        <v>0</v>
      </c>
      <c r="N183" s="157">
        <v>1</v>
      </c>
      <c r="O183" s="15"/>
      <c r="P183" s="15"/>
      <c r="Q183" s="15"/>
      <c r="R183" s="15"/>
      <c r="S183" s="15"/>
      <c r="T183" s="15"/>
      <c r="U183" s="15"/>
      <c r="V183" s="15"/>
      <c r="W183" s="150"/>
    </row>
    <row r="184" spans="1:23" ht="15" customHeight="1">
      <c r="D184" s="85" t="str">
        <f xml:space="preserve"> '2.1 Model setup'!K71</f>
        <v>1.2 Drift og vedligeholdelse af ledningsnet</v>
      </c>
      <c r="K184" s="5" t="s">
        <v>3</v>
      </c>
      <c r="L184" s="85">
        <f t="shared" si="9"/>
        <v>0</v>
      </c>
      <c r="M184" s="161">
        <f t="shared" ref="M184:M200" si="10" xml:space="preserve"> -- OR( N184 = "", INT( N184 ) &lt;&gt; N184 )</f>
        <v>0</v>
      </c>
      <c r="N184" s="158">
        <v>1</v>
      </c>
      <c r="W184" s="121"/>
    </row>
    <row r="185" spans="1:23" ht="15" customHeight="1">
      <c r="D185" s="85" t="str">
        <f xml:space="preserve"> '2.1 Model setup'!K72</f>
        <v>1.3 Øvrige omkostninger til drift, styring og kontrol af elnettet</v>
      </c>
      <c r="K185" s="5" t="s">
        <v>3</v>
      </c>
      <c r="L185" s="85">
        <f t="shared" si="9"/>
        <v>0</v>
      </c>
      <c r="M185" s="161">
        <f t="shared" si="10"/>
        <v>0</v>
      </c>
      <c r="N185" s="158">
        <v>1</v>
      </c>
      <c r="W185" s="121"/>
    </row>
    <row r="186" spans="1:23" ht="15" customHeight="1">
      <c r="D186" s="85" t="str">
        <f xml:space="preserve"> '2.1 Model setup'!K73</f>
        <v>1.4 Omkostninger vedrørende 132-150/30-60 kV-stationer</v>
      </c>
      <c r="K186" s="5" t="s">
        <v>3</v>
      </c>
      <c r="L186" s="85">
        <f xml:space="preserve"> -- ( N186 &lt; 0 ) + -- ( COUNTIF( N186, "*" ) &gt; 0 )</f>
        <v>0</v>
      </c>
      <c r="M186" s="161">
        <f xml:space="preserve"> -- OR( N186 = "", INT( N186 ) &lt;&gt; N186 )</f>
        <v>0</v>
      </c>
      <c r="N186" s="158">
        <v>0</v>
      </c>
      <c r="W186" s="121"/>
    </row>
    <row r="187" spans="1:23" ht="15" customHeight="1">
      <c r="D187" s="85" t="str">
        <f xml:space="preserve"> '2.1 Model setup'!K74</f>
        <v>2.1 Drift og vedligeholdelse af målere</v>
      </c>
      <c r="K187" s="5" t="s">
        <v>3</v>
      </c>
      <c r="L187" s="85">
        <f t="shared" si="9"/>
        <v>0</v>
      </c>
      <c r="M187" s="161">
        <f t="shared" si="10"/>
        <v>0</v>
      </c>
      <c r="N187" s="158">
        <v>1</v>
      </c>
      <c r="W187" s="121"/>
    </row>
    <row r="188" spans="1:23" ht="15" customHeight="1">
      <c r="D188" s="85" t="str">
        <f xml:space="preserve"> '2.1 Model setup'!K75</f>
        <v>2.2 Indhentning og validering af målerdata</v>
      </c>
      <c r="K188" s="5" t="s">
        <v>3</v>
      </c>
      <c r="L188" s="85">
        <f t="shared" si="9"/>
        <v>0</v>
      </c>
      <c r="M188" s="161">
        <f t="shared" si="10"/>
        <v>0</v>
      </c>
      <c r="N188" s="158">
        <v>1</v>
      </c>
      <c r="W188" s="121"/>
    </row>
    <row r="189" spans="1:23" ht="15" customHeight="1">
      <c r="D189" s="85" t="str">
        <f xml:space="preserve"> '2.1 Model setup'!K76</f>
        <v>2.3 Måleradministration og kundehåndtering</v>
      </c>
      <c r="K189" s="5" t="s">
        <v>3</v>
      </c>
      <c r="L189" s="85">
        <f t="shared" si="9"/>
        <v>0</v>
      </c>
      <c r="M189" s="161">
        <f t="shared" si="10"/>
        <v>0</v>
      </c>
      <c r="N189" s="158">
        <v>1</v>
      </c>
      <c r="W189" s="121"/>
    </row>
    <row r="190" spans="1:23" ht="15" customHeight="1">
      <c r="D190" s="85" t="str">
        <f xml:space="preserve"> '2.1 Model setup'!K77</f>
        <v>3.1 Generel administration</v>
      </c>
      <c r="K190" s="5" t="s">
        <v>3</v>
      </c>
      <c r="L190" s="85">
        <f t="shared" si="9"/>
        <v>0</v>
      </c>
      <c r="M190" s="161">
        <f t="shared" si="10"/>
        <v>0</v>
      </c>
      <c r="N190" s="158">
        <v>1</v>
      </c>
      <c r="W190" s="121"/>
    </row>
    <row r="191" spans="1:23" ht="15" customHeight="1">
      <c r="D191" s="85" t="str">
        <f xml:space="preserve"> '2.1 Model setup'!K78</f>
        <v>4.1 Omkostninger vedrørende nettab i transformerstationer</v>
      </c>
      <c r="K191" s="5" t="s">
        <v>3</v>
      </c>
      <c r="L191" s="85">
        <f t="shared" si="9"/>
        <v>0</v>
      </c>
      <c r="M191" s="161">
        <f t="shared" si="10"/>
        <v>0</v>
      </c>
      <c r="N191" s="158">
        <v>1</v>
      </c>
      <c r="W191" s="121"/>
    </row>
    <row r="192" spans="1:23" ht="15" customHeight="1">
      <c r="D192" s="85" t="str">
        <f xml:space="preserve"> '2.1 Model setup'!K79</f>
        <v>4.2 Omkostninger vedrørende nettab i ledningsnettet</v>
      </c>
      <c r="K192" s="5" t="s">
        <v>3</v>
      </c>
      <c r="L192" s="85">
        <f t="shared" si="9"/>
        <v>0</v>
      </c>
      <c r="M192" s="161">
        <f xml:space="preserve"> -- OR( N192 = "", INT( N192 ) &lt;&gt; N192 )</f>
        <v>0</v>
      </c>
      <c r="N192" s="158">
        <v>1</v>
      </c>
      <c r="W192" s="121"/>
    </row>
    <row r="193" spans="1:23" ht="15" customHeight="1">
      <c r="D193" s="85" t="str">
        <f xml:space="preserve"> '2.1 Model setup'!K80</f>
        <v>5.1 Omkostninger til overliggende net ifm. forbrug</v>
      </c>
      <c r="K193" s="5" t="s">
        <v>3</v>
      </c>
      <c r="L193" s="85">
        <f xml:space="preserve"> -- ( N193 &lt; 0 ) + -- ( COUNTIF( N193, "*" ) &gt; 0 )</f>
        <v>0</v>
      </c>
      <c r="M193" s="161">
        <f xml:space="preserve"> -- OR( N193 = "", INT( N193 ) &lt;&gt; N193 )</f>
        <v>0</v>
      </c>
      <c r="N193" s="158">
        <v>1</v>
      </c>
      <c r="W193" s="121"/>
    </row>
    <row r="194" spans="1:23" ht="15" customHeight="1">
      <c r="D194" s="85" t="str">
        <f xml:space="preserve"> '2.1 Model setup'!K81</f>
        <v>5.2 Øvrige omkostninger</v>
      </c>
      <c r="K194" s="5" t="s">
        <v>3</v>
      </c>
      <c r="L194" s="85">
        <f t="shared" si="9"/>
        <v>0</v>
      </c>
      <c r="M194" s="161">
        <f t="shared" si="10"/>
        <v>0</v>
      </c>
      <c r="N194" s="158">
        <v>1</v>
      </c>
      <c r="W194" s="121"/>
    </row>
    <row r="195" spans="1:23" ht="15" customHeight="1">
      <c r="D195" s="85" t="str">
        <f xml:space="preserve"> '2.1 Model setup'!K82</f>
        <v>6.1 Afskrivninger på transformerstationer</v>
      </c>
      <c r="K195" s="5" t="s">
        <v>3</v>
      </c>
      <c r="L195" s="85">
        <f t="shared" si="9"/>
        <v>0</v>
      </c>
      <c r="M195" s="161">
        <f t="shared" si="10"/>
        <v>0</v>
      </c>
      <c r="N195" s="158">
        <v>1</v>
      </c>
      <c r="W195" s="121"/>
    </row>
    <row r="196" spans="1:23" ht="15" customHeight="1">
      <c r="D196" s="85" t="str">
        <f xml:space="preserve"> '2.1 Model setup'!K83</f>
        <v>6.2 Afskrivninger på netaktiver ekskl. målere og transformerstationer</v>
      </c>
      <c r="K196" s="5" t="s">
        <v>3</v>
      </c>
      <c r="L196" s="85">
        <f t="shared" si="9"/>
        <v>0</v>
      </c>
      <c r="M196" s="161">
        <f t="shared" si="10"/>
        <v>0</v>
      </c>
      <c r="N196" s="158">
        <v>1</v>
      </c>
      <c r="W196" s="121"/>
    </row>
    <row r="197" spans="1:23" ht="15" customHeight="1">
      <c r="D197" s="85" t="str">
        <f xml:space="preserve"> '2.1 Model setup'!K84</f>
        <v>6.3 Afskrivninger på målere</v>
      </c>
      <c r="K197" s="5" t="s">
        <v>3</v>
      </c>
      <c r="L197" s="85">
        <f t="shared" si="9"/>
        <v>0</v>
      </c>
      <c r="M197" s="161">
        <f t="shared" si="10"/>
        <v>0</v>
      </c>
      <c r="N197" s="158">
        <v>1</v>
      </c>
      <c r="W197" s="121"/>
    </row>
    <row r="198" spans="1:23" ht="15" customHeight="1">
      <c r="D198" s="85" t="str">
        <f xml:space="preserve"> '2.1 Model setup'!K85</f>
        <v>7.1 Transformerstationer (forrentning)</v>
      </c>
      <c r="K198" s="5" t="s">
        <v>3</v>
      </c>
      <c r="L198" s="85">
        <f t="shared" si="9"/>
        <v>0</v>
      </c>
      <c r="M198" s="161">
        <f t="shared" si="10"/>
        <v>0</v>
      </c>
      <c r="N198" s="158">
        <v>1</v>
      </c>
      <c r="W198" s="121"/>
    </row>
    <row r="199" spans="1:23" ht="15" customHeight="1">
      <c r="D199" s="85" t="str">
        <f xml:space="preserve"> '2.1 Model setup'!K86</f>
        <v>7.2 Netaktiver ekskl. målere og transformerstationer (forrentning)</v>
      </c>
      <c r="K199" s="5" t="s">
        <v>3</v>
      </c>
      <c r="L199" s="85">
        <f t="shared" si="9"/>
        <v>0</v>
      </c>
      <c r="M199" s="161">
        <f t="shared" si="10"/>
        <v>0</v>
      </c>
      <c r="N199" s="158">
        <v>1</v>
      </c>
      <c r="W199" s="121"/>
    </row>
    <row r="200" spans="1:23" ht="15" customHeight="1">
      <c r="D200" s="99" t="str">
        <f xml:space="preserve"> '2.1 Model setup'!K87</f>
        <v>7.3 Målere (forrentning)</v>
      </c>
      <c r="E200" s="27"/>
      <c r="F200" s="27"/>
      <c r="G200" s="27"/>
      <c r="H200" s="27"/>
      <c r="I200" s="27"/>
      <c r="J200" s="27"/>
      <c r="K200" s="32" t="s">
        <v>3</v>
      </c>
      <c r="L200" s="99">
        <f t="shared" si="9"/>
        <v>0</v>
      </c>
      <c r="M200" s="216">
        <f t="shared" si="10"/>
        <v>0</v>
      </c>
      <c r="N200" s="159">
        <v>1</v>
      </c>
      <c r="O200" s="27"/>
      <c r="P200" s="27"/>
      <c r="Q200" s="27"/>
      <c r="R200" s="27"/>
      <c r="S200" s="27"/>
      <c r="T200" s="27"/>
      <c r="U200" s="27"/>
      <c r="V200" s="27"/>
      <c r="W200" s="131"/>
    </row>
    <row r="201" spans="1:23" customFormat="1" ht="15" customHeight="1">
      <c r="A201" s="1"/>
      <c r="B201" s="1"/>
      <c r="C201" s="2"/>
      <c r="D201" s="85"/>
      <c r="E201" s="1"/>
      <c r="F201" s="86"/>
      <c r="G201" s="86"/>
      <c r="H201" s="86"/>
      <c r="I201" s="86"/>
      <c r="J201" s="86"/>
      <c r="K201" s="87"/>
      <c r="L201" s="85"/>
      <c r="M201" s="85"/>
      <c r="N201" s="86"/>
      <c r="O201" s="86"/>
      <c r="P201" s="86"/>
      <c r="Q201" s="86"/>
      <c r="R201" s="1"/>
      <c r="S201" s="1"/>
      <c r="T201" s="1"/>
      <c r="U201" s="1"/>
      <c r="V201" s="1"/>
      <c r="W201" s="1"/>
    </row>
    <row r="202" spans="1:23" ht="15" customHeight="1">
      <c r="D202" s="35" t="s">
        <v>266</v>
      </c>
      <c r="E202" s="27"/>
      <c r="F202" s="27"/>
      <c r="G202" s="27"/>
      <c r="H202" s="27"/>
      <c r="I202" s="27"/>
      <c r="J202" s="27"/>
      <c r="K202" s="32"/>
      <c r="L202" s="27"/>
      <c r="M202" s="27"/>
    </row>
    <row r="203" spans="1:23" ht="15" customHeight="1">
      <c r="D203" s="85" t="str">
        <f xml:space="preserve"> '2.1 Model setup'!K70</f>
        <v>1.1 Drift og vedligeholdelse af transformerstationer</v>
      </c>
      <c r="K203" s="5" t="s">
        <v>3</v>
      </c>
      <c r="L203" s="123">
        <f xml:space="preserve"> -- ( N203 &lt; 0 ) + -- ( COUNTIF( N203, "*" ) &gt; 0 )</f>
        <v>0</v>
      </c>
      <c r="M203" s="160">
        <f xml:space="preserve"> -- OR( N203 = "", INT( N203 ) &lt;&gt; N203 )</f>
        <v>0</v>
      </c>
      <c r="N203" s="157">
        <v>1</v>
      </c>
      <c r="O203" s="15"/>
      <c r="P203" s="15"/>
      <c r="Q203" s="15"/>
      <c r="R203" s="15"/>
      <c r="S203" s="15"/>
      <c r="T203" s="15"/>
      <c r="U203" s="15"/>
      <c r="V203" s="15"/>
      <c r="W203" s="150"/>
    </row>
    <row r="204" spans="1:23" ht="15" customHeight="1">
      <c r="D204" s="85" t="str">
        <f xml:space="preserve"> '2.1 Model setup'!K71</f>
        <v>1.2 Drift og vedligeholdelse af ledningsnet</v>
      </c>
      <c r="K204" s="5" t="s">
        <v>3</v>
      </c>
      <c r="L204" s="85">
        <f t="shared" ref="L204:L220" si="11" xml:space="preserve"> -- ( N204 &lt; 0 ) + -- ( COUNTIF( N204, "*" ) &gt; 0 )</f>
        <v>0</v>
      </c>
      <c r="M204" s="161">
        <f t="shared" ref="M204:M220" si="12" xml:space="preserve"> -- OR( N204 = "", INT( N204 ) &lt;&gt; N204 )</f>
        <v>0</v>
      </c>
      <c r="N204" s="158">
        <v>1</v>
      </c>
      <c r="W204" s="121"/>
    </row>
    <row r="205" spans="1:23" ht="15" customHeight="1">
      <c r="D205" s="85" t="str">
        <f xml:space="preserve"> '2.1 Model setup'!K72</f>
        <v>1.3 Øvrige omkostninger til drift, styring og kontrol af elnettet</v>
      </c>
      <c r="K205" s="5" t="s">
        <v>3</v>
      </c>
      <c r="L205" s="85">
        <f t="shared" si="11"/>
        <v>0</v>
      </c>
      <c r="M205" s="161">
        <f t="shared" si="12"/>
        <v>0</v>
      </c>
      <c r="N205" s="158">
        <v>1</v>
      </c>
      <c r="W205" s="121"/>
    </row>
    <row r="206" spans="1:23" ht="15" customHeight="1">
      <c r="D206" s="85" t="str">
        <f xml:space="preserve"> '2.1 Model setup'!K73</f>
        <v>1.4 Omkostninger vedrørende 132-150/30-60 kV-stationer</v>
      </c>
      <c r="K206" s="5" t="s">
        <v>3</v>
      </c>
      <c r="L206" s="85">
        <f xml:space="preserve"> -- ( N206 &lt; 0 ) + -- ( COUNTIF( N206, "*" ) &gt; 0 )</f>
        <v>0</v>
      </c>
      <c r="M206" s="161">
        <f xml:space="preserve"> -- OR( N206 = "", INT( N206 ) &lt;&gt; N206 )</f>
        <v>0</v>
      </c>
      <c r="N206" s="158">
        <v>0</v>
      </c>
      <c r="W206" s="121"/>
    </row>
    <row r="207" spans="1:23" ht="15" customHeight="1">
      <c r="D207" s="85" t="str">
        <f xml:space="preserve"> '2.1 Model setup'!K74</f>
        <v>2.1 Drift og vedligeholdelse af målere</v>
      </c>
      <c r="K207" s="5" t="s">
        <v>3</v>
      </c>
      <c r="L207" s="85">
        <f t="shared" si="11"/>
        <v>0</v>
      </c>
      <c r="M207" s="161">
        <f t="shared" si="12"/>
        <v>0</v>
      </c>
      <c r="N207" s="158">
        <v>1</v>
      </c>
      <c r="W207" s="121"/>
    </row>
    <row r="208" spans="1:23" ht="15" customHeight="1">
      <c r="D208" s="85" t="str">
        <f xml:space="preserve"> '2.1 Model setup'!K75</f>
        <v>2.2 Indhentning og validering af målerdata</v>
      </c>
      <c r="K208" s="5" t="s">
        <v>3</v>
      </c>
      <c r="L208" s="85">
        <f t="shared" si="11"/>
        <v>0</v>
      </c>
      <c r="M208" s="161">
        <f t="shared" si="12"/>
        <v>0</v>
      </c>
      <c r="N208" s="158">
        <v>1</v>
      </c>
      <c r="W208" s="121"/>
    </row>
    <row r="209" spans="1:23" ht="15" customHeight="1">
      <c r="D209" s="85" t="str">
        <f xml:space="preserve"> '2.1 Model setup'!K76</f>
        <v>2.3 Måleradministration og kundehåndtering</v>
      </c>
      <c r="K209" s="5" t="s">
        <v>3</v>
      </c>
      <c r="L209" s="85">
        <f t="shared" si="11"/>
        <v>0</v>
      </c>
      <c r="M209" s="161">
        <f t="shared" si="12"/>
        <v>0</v>
      </c>
      <c r="N209" s="158">
        <v>1</v>
      </c>
      <c r="W209" s="121"/>
    </row>
    <row r="210" spans="1:23" ht="15" customHeight="1">
      <c r="D210" s="85" t="str">
        <f xml:space="preserve"> '2.1 Model setup'!K77</f>
        <v>3.1 Generel administration</v>
      </c>
      <c r="K210" s="5" t="s">
        <v>3</v>
      </c>
      <c r="L210" s="85">
        <f t="shared" si="11"/>
        <v>0</v>
      </c>
      <c r="M210" s="161">
        <f t="shared" si="12"/>
        <v>0</v>
      </c>
      <c r="N210" s="158">
        <v>1</v>
      </c>
      <c r="W210" s="121"/>
    </row>
    <row r="211" spans="1:23" ht="15" customHeight="1">
      <c r="D211" s="85" t="str">
        <f xml:space="preserve"> '2.1 Model setup'!K78</f>
        <v>4.1 Omkostninger vedrørende nettab i transformerstationer</v>
      </c>
      <c r="K211" s="5" t="s">
        <v>3</v>
      </c>
      <c r="L211" s="85">
        <f t="shared" si="11"/>
        <v>0</v>
      </c>
      <c r="M211" s="161">
        <f t="shared" si="12"/>
        <v>0</v>
      </c>
      <c r="N211" s="158">
        <v>0</v>
      </c>
      <c r="W211" s="121"/>
    </row>
    <row r="212" spans="1:23" ht="15" customHeight="1">
      <c r="D212" s="85" t="str">
        <f xml:space="preserve"> '2.1 Model setup'!K79</f>
        <v>4.2 Omkostninger vedrørende nettab i ledningsnettet</v>
      </c>
      <c r="K212" s="5" t="s">
        <v>3</v>
      </c>
      <c r="L212" s="85">
        <f t="shared" si="11"/>
        <v>0</v>
      </c>
      <c r="M212" s="161">
        <f t="shared" si="12"/>
        <v>0</v>
      </c>
      <c r="N212" s="158">
        <v>0</v>
      </c>
      <c r="W212" s="121"/>
    </row>
    <row r="213" spans="1:23" ht="15" customHeight="1">
      <c r="D213" s="85" t="str">
        <f xml:space="preserve"> '2.1 Model setup'!K80</f>
        <v>5.1 Omkostninger til overliggende net ifm. forbrug</v>
      </c>
      <c r="K213" s="5" t="s">
        <v>3</v>
      </c>
      <c r="L213" s="85">
        <f xml:space="preserve"> -- ( N213 &lt; 0 ) + -- ( COUNTIF( N213, "*" ) &gt; 0 )</f>
        <v>0</v>
      </c>
      <c r="M213" s="161">
        <f xml:space="preserve"> -- OR( N213 = "", INT( N213 ) &lt;&gt; N213 )</f>
        <v>0</v>
      </c>
      <c r="N213" s="158">
        <v>1</v>
      </c>
      <c r="W213" s="121"/>
    </row>
    <row r="214" spans="1:23" ht="15" customHeight="1">
      <c r="D214" s="85" t="str">
        <f xml:space="preserve"> '2.1 Model setup'!K81</f>
        <v>5.2 Øvrige omkostninger</v>
      </c>
      <c r="K214" s="5" t="s">
        <v>3</v>
      </c>
      <c r="L214" s="85">
        <f t="shared" si="11"/>
        <v>0</v>
      </c>
      <c r="M214" s="161">
        <f t="shared" si="12"/>
        <v>0</v>
      </c>
      <c r="N214" s="158">
        <v>1</v>
      </c>
      <c r="W214" s="121"/>
    </row>
    <row r="215" spans="1:23" ht="15" customHeight="1">
      <c r="D215" s="85" t="str">
        <f xml:space="preserve"> '2.1 Model setup'!K82</f>
        <v>6.1 Afskrivninger på transformerstationer</v>
      </c>
      <c r="K215" s="5" t="s">
        <v>3</v>
      </c>
      <c r="L215" s="85">
        <f t="shared" si="11"/>
        <v>0</v>
      </c>
      <c r="M215" s="161">
        <f t="shared" si="12"/>
        <v>0</v>
      </c>
      <c r="N215" s="158">
        <v>1</v>
      </c>
      <c r="W215" s="121"/>
    </row>
    <row r="216" spans="1:23" ht="15" customHeight="1">
      <c r="D216" s="85" t="str">
        <f xml:space="preserve"> '2.1 Model setup'!K83</f>
        <v>6.2 Afskrivninger på netaktiver ekskl. målere og transformerstationer</v>
      </c>
      <c r="K216" s="5" t="s">
        <v>3</v>
      </c>
      <c r="L216" s="85">
        <f t="shared" si="11"/>
        <v>0</v>
      </c>
      <c r="M216" s="161">
        <f t="shared" si="12"/>
        <v>0</v>
      </c>
      <c r="N216" s="158">
        <v>1</v>
      </c>
      <c r="W216" s="121"/>
    </row>
    <row r="217" spans="1:23" ht="15" customHeight="1">
      <c r="D217" s="85" t="str">
        <f xml:space="preserve"> '2.1 Model setup'!K84</f>
        <v>6.3 Afskrivninger på målere</v>
      </c>
      <c r="K217" s="5" t="s">
        <v>3</v>
      </c>
      <c r="L217" s="85">
        <f t="shared" si="11"/>
        <v>0</v>
      </c>
      <c r="M217" s="161">
        <f t="shared" si="12"/>
        <v>0</v>
      </c>
      <c r="N217" s="158">
        <v>1</v>
      </c>
      <c r="W217" s="121"/>
    </row>
    <row r="218" spans="1:23" ht="15" customHeight="1">
      <c r="D218" s="85" t="str">
        <f xml:space="preserve"> '2.1 Model setup'!K85</f>
        <v>7.1 Transformerstationer (forrentning)</v>
      </c>
      <c r="K218" s="5" t="s">
        <v>3</v>
      </c>
      <c r="L218" s="85">
        <f t="shared" si="11"/>
        <v>0</v>
      </c>
      <c r="M218" s="161">
        <f t="shared" si="12"/>
        <v>0</v>
      </c>
      <c r="N218" s="158">
        <v>1</v>
      </c>
      <c r="W218" s="121"/>
    </row>
    <row r="219" spans="1:23" ht="15" customHeight="1">
      <c r="D219" s="85" t="str">
        <f xml:space="preserve"> '2.1 Model setup'!K86</f>
        <v>7.2 Netaktiver ekskl. målere og transformerstationer (forrentning)</v>
      </c>
      <c r="K219" s="5" t="s">
        <v>3</v>
      </c>
      <c r="L219" s="85">
        <f t="shared" si="11"/>
        <v>0</v>
      </c>
      <c r="M219" s="161">
        <f t="shared" si="12"/>
        <v>0</v>
      </c>
      <c r="N219" s="158">
        <v>1</v>
      </c>
      <c r="W219" s="121"/>
    </row>
    <row r="220" spans="1:23" ht="15" customHeight="1">
      <c r="D220" s="99" t="str">
        <f xml:space="preserve"> '2.1 Model setup'!K87</f>
        <v>7.3 Målere (forrentning)</v>
      </c>
      <c r="E220" s="27"/>
      <c r="F220" s="27"/>
      <c r="G220" s="27"/>
      <c r="H220" s="27"/>
      <c r="I220" s="27"/>
      <c r="J220" s="27"/>
      <c r="K220" s="32" t="s">
        <v>3</v>
      </c>
      <c r="L220" s="99">
        <f t="shared" si="11"/>
        <v>0</v>
      </c>
      <c r="M220" s="216">
        <f t="shared" si="12"/>
        <v>0</v>
      </c>
      <c r="N220" s="159">
        <v>1</v>
      </c>
      <c r="O220" s="27"/>
      <c r="P220" s="27"/>
      <c r="Q220" s="27"/>
      <c r="R220" s="27"/>
      <c r="S220" s="27"/>
      <c r="T220" s="27"/>
      <c r="U220" s="27"/>
      <c r="V220" s="27"/>
      <c r="W220" s="131"/>
    </row>
    <row r="221" spans="1:23" customFormat="1" ht="15" customHeight="1">
      <c r="A221" s="1"/>
      <c r="B221" s="1"/>
      <c r="C221" s="2"/>
      <c r="D221" s="85"/>
      <c r="E221" s="1"/>
      <c r="F221" s="86"/>
      <c r="G221" s="86"/>
      <c r="H221" s="86"/>
      <c r="I221" s="86"/>
      <c r="J221" s="86"/>
      <c r="K221" s="87"/>
      <c r="L221" s="85"/>
      <c r="M221" s="85"/>
      <c r="N221" s="86"/>
      <c r="O221" s="86"/>
      <c r="P221" s="86"/>
      <c r="Q221" s="86"/>
      <c r="R221" s="1"/>
      <c r="S221" s="1"/>
      <c r="T221" s="1"/>
      <c r="U221" s="1"/>
      <c r="V221" s="1"/>
      <c r="W221" s="1"/>
    </row>
    <row r="222" spans="1:23" customFormat="1" ht="15" customHeight="1">
      <c r="A222" s="1"/>
      <c r="B222" s="1"/>
      <c r="C222" s="2"/>
      <c r="D222" s="85"/>
      <c r="E222" s="1"/>
      <c r="F222" s="86"/>
      <c r="G222" s="86"/>
      <c r="H222" s="86"/>
      <c r="I222" s="86"/>
      <c r="J222" s="86"/>
      <c r="K222" s="87"/>
      <c r="L222" s="85"/>
      <c r="M222" s="85"/>
      <c r="N222" s="86"/>
      <c r="O222" s="86"/>
      <c r="P222" s="86"/>
      <c r="Q222" s="86"/>
      <c r="R222" s="1"/>
      <c r="S222" s="1"/>
      <c r="T222" s="1"/>
      <c r="U222" s="1"/>
      <c r="V222" s="1"/>
      <c r="W222" s="1"/>
    </row>
    <row r="223" spans="1:23" customFormat="1" ht="15" customHeight="1">
      <c r="A223" s="1"/>
      <c r="B223" s="1"/>
      <c r="C223" s="2"/>
      <c r="D223" s="85"/>
      <c r="E223" s="1"/>
      <c r="F223" s="86"/>
      <c r="G223" s="86"/>
      <c r="H223" s="86"/>
      <c r="I223" s="86"/>
      <c r="J223" s="86"/>
      <c r="K223" s="87"/>
      <c r="L223" s="85"/>
      <c r="M223" s="85"/>
      <c r="N223" s="86"/>
      <c r="O223" s="86"/>
      <c r="P223" s="86"/>
      <c r="Q223" s="86"/>
      <c r="R223" s="1"/>
      <c r="S223" s="1"/>
      <c r="T223" s="1"/>
      <c r="U223" s="1"/>
      <c r="V223" s="1"/>
      <c r="W223" s="1"/>
    </row>
    <row r="224" spans="1:23" s="475" customFormat="1" ht="15" customHeight="1">
      <c r="B224" s="479" t="str">
        <f xml:space="preserve"> COUNTA(B$10:B221) &amp; ") Byggeklodser - indfødningstarif"</f>
        <v>6) Byggeklodser - indfødningstarif</v>
      </c>
      <c r="C224" s="477"/>
      <c r="D224" s="478"/>
      <c r="K224" s="472"/>
    </row>
    <row r="225" spans="1:23" customFormat="1" ht="15" customHeight="1">
      <c r="A225" s="1"/>
      <c r="B225" s="1"/>
      <c r="C225" s="2"/>
      <c r="D225" s="85"/>
      <c r="E225" s="1"/>
      <c r="F225" s="86"/>
      <c r="G225" s="86"/>
      <c r="H225" s="86"/>
      <c r="I225" s="86"/>
      <c r="J225" s="86"/>
      <c r="K225" s="87"/>
      <c r="L225" s="85"/>
      <c r="M225" s="85"/>
      <c r="N225" s="86"/>
      <c r="O225" s="86"/>
      <c r="P225" s="86"/>
      <c r="Q225" s="86"/>
      <c r="R225" s="1"/>
      <c r="S225" s="1"/>
      <c r="T225" s="1"/>
      <c r="U225" s="1"/>
      <c r="V225" s="1"/>
      <c r="W225" s="1"/>
    </row>
    <row r="226" spans="1:23" ht="15" customHeight="1">
      <c r="D226" s="35" t="s">
        <v>586</v>
      </c>
      <c r="E226" s="27"/>
      <c r="F226" s="27"/>
      <c r="G226" s="27"/>
      <c r="H226" s="27"/>
      <c r="I226" s="27"/>
      <c r="J226" s="27"/>
      <c r="K226" s="32"/>
      <c r="L226" s="27"/>
      <c r="M226" s="27"/>
    </row>
    <row r="227" spans="1:23" ht="15" customHeight="1">
      <c r="D227" s="123" t="str">
        <f>'2.1 Model setup'!K70</f>
        <v>1.1 Drift og vedligeholdelse af transformerstationer</v>
      </c>
      <c r="E227" s="15"/>
      <c r="F227" s="15"/>
      <c r="G227" s="15"/>
      <c r="H227" s="15"/>
      <c r="I227" s="15"/>
      <c r="J227" s="15"/>
      <c r="K227" s="19" t="s">
        <v>3</v>
      </c>
      <c r="L227" s="123">
        <f xml:space="preserve"> -- ( N227 &lt; 0 ) + -- ( COUNTIF( N227, "*" ) &gt; 0 )</f>
        <v>0</v>
      </c>
      <c r="M227" s="160">
        <f xml:space="preserve"> -- OR( N227 = "", INT( N227 ) &lt;&gt; N227 )</f>
        <v>0</v>
      </c>
      <c r="N227" s="157">
        <v>1</v>
      </c>
      <c r="O227" s="15"/>
      <c r="P227" s="15"/>
      <c r="Q227" s="15"/>
      <c r="R227" s="15"/>
      <c r="S227" s="15"/>
      <c r="T227" s="15"/>
      <c r="U227" s="15"/>
      <c r="V227" s="15"/>
      <c r="W227" s="150"/>
    </row>
    <row r="228" spans="1:23" ht="15" customHeight="1">
      <c r="D228" s="85" t="str">
        <f>'2.1 Model setup'!K71</f>
        <v>1.2 Drift og vedligeholdelse af ledningsnet</v>
      </c>
      <c r="K228" s="5" t="s">
        <v>3</v>
      </c>
      <c r="L228" s="85">
        <f t="shared" ref="L228:L239" si="13" xml:space="preserve"> -- ( N228 &lt; 0 ) + -- ( COUNTIF( N228, "*" ) &gt; 0 )</f>
        <v>0</v>
      </c>
      <c r="M228" s="161">
        <f t="shared" ref="M228:M241" si="14" xml:space="preserve"> -- OR( N228 = "", INT( N228 ) &lt;&gt; N228 )</f>
        <v>0</v>
      </c>
      <c r="N228" s="158">
        <v>1</v>
      </c>
      <c r="W228" s="121"/>
    </row>
    <row r="229" spans="1:23" ht="15" customHeight="1">
      <c r="D229" s="85" t="str">
        <f>'2.1 Model setup'!K72</f>
        <v>1.3 Øvrige omkostninger til drift, styring og kontrol af elnettet</v>
      </c>
      <c r="K229" s="5" t="s">
        <v>3</v>
      </c>
      <c r="L229" s="85">
        <f t="shared" si="13"/>
        <v>0</v>
      </c>
      <c r="M229" s="161">
        <f t="shared" si="14"/>
        <v>0</v>
      </c>
      <c r="N229" s="158">
        <v>0</v>
      </c>
      <c r="W229" s="121"/>
    </row>
    <row r="230" spans="1:23" ht="15" customHeight="1">
      <c r="D230" s="85" t="str">
        <f>'2.1 Model setup'!K73</f>
        <v>1.4 Omkostninger vedrørende 132-150/30-60 kV-stationer</v>
      </c>
      <c r="K230" s="5" t="s">
        <v>3</v>
      </c>
      <c r="L230" s="85">
        <f t="shared" si="13"/>
        <v>0</v>
      </c>
      <c r="M230" s="161">
        <f t="shared" si="14"/>
        <v>0</v>
      </c>
      <c r="N230" s="158">
        <v>1</v>
      </c>
      <c r="W230" s="121"/>
    </row>
    <row r="231" spans="1:23" ht="15" customHeight="1">
      <c r="D231" s="85" t="str">
        <f>'2.1 Model setup'!K74</f>
        <v>2.1 Drift og vedligeholdelse af målere</v>
      </c>
      <c r="K231" s="5" t="s">
        <v>3</v>
      </c>
      <c r="L231" s="85">
        <f t="shared" si="13"/>
        <v>0</v>
      </c>
      <c r="M231" s="161">
        <f t="shared" si="14"/>
        <v>0</v>
      </c>
      <c r="N231" s="158">
        <v>0</v>
      </c>
      <c r="W231" s="121"/>
    </row>
    <row r="232" spans="1:23" ht="15" customHeight="1">
      <c r="D232" s="85" t="str">
        <f>'2.1 Model setup'!K75</f>
        <v>2.2 Indhentning og validering af målerdata</v>
      </c>
      <c r="K232" s="5" t="s">
        <v>3</v>
      </c>
      <c r="L232" s="85">
        <f t="shared" si="13"/>
        <v>0</v>
      </c>
      <c r="M232" s="161">
        <f t="shared" si="14"/>
        <v>0</v>
      </c>
      <c r="N232" s="158">
        <v>0</v>
      </c>
      <c r="W232" s="121"/>
    </row>
    <row r="233" spans="1:23" ht="15" customHeight="1">
      <c r="D233" s="85" t="str">
        <f>'2.1 Model setup'!K76</f>
        <v>2.3 Måleradministration og kundehåndtering</v>
      </c>
      <c r="K233" s="5" t="s">
        <v>3</v>
      </c>
      <c r="L233" s="85">
        <f t="shared" si="13"/>
        <v>0</v>
      </c>
      <c r="M233" s="161">
        <f t="shared" si="14"/>
        <v>0</v>
      </c>
      <c r="N233" s="158">
        <v>0</v>
      </c>
      <c r="W233" s="121"/>
    </row>
    <row r="234" spans="1:23" ht="15" customHeight="1">
      <c r="D234" s="85" t="str">
        <f>'2.1 Model setup'!K77</f>
        <v>3.1 Generel administration</v>
      </c>
      <c r="K234" s="5" t="s">
        <v>3</v>
      </c>
      <c r="L234" s="85">
        <f t="shared" si="13"/>
        <v>0</v>
      </c>
      <c r="M234" s="161">
        <f t="shared" si="14"/>
        <v>0</v>
      </c>
      <c r="N234" s="158">
        <v>0</v>
      </c>
      <c r="W234" s="121"/>
    </row>
    <row r="235" spans="1:23" ht="15" customHeight="1">
      <c r="D235" s="85" t="str">
        <f>'2.1 Model setup'!K78</f>
        <v>4.1 Omkostninger vedrørende nettab i transformerstationer</v>
      </c>
      <c r="K235" s="5" t="s">
        <v>3</v>
      </c>
      <c r="L235" s="85">
        <f t="shared" si="13"/>
        <v>0</v>
      </c>
      <c r="M235" s="161">
        <f t="shared" si="14"/>
        <v>0</v>
      </c>
      <c r="N235" s="158">
        <v>1</v>
      </c>
      <c r="W235" s="121"/>
    </row>
    <row r="236" spans="1:23" ht="15" customHeight="1">
      <c r="D236" s="85" t="str">
        <f>'2.1 Model setup'!K79</f>
        <v>4.2 Omkostninger vedrørende nettab i ledningsnettet</v>
      </c>
      <c r="K236" s="5" t="s">
        <v>3</v>
      </c>
      <c r="L236" s="85">
        <f t="shared" si="13"/>
        <v>0</v>
      </c>
      <c r="M236" s="161">
        <f t="shared" si="14"/>
        <v>0</v>
      </c>
      <c r="N236" s="158">
        <v>1</v>
      </c>
      <c r="W236" s="121"/>
    </row>
    <row r="237" spans="1:23" ht="15" customHeight="1">
      <c r="D237" s="85" t="str">
        <f>'2.1 Model setup'!K88</f>
        <v>5.1 Omkostninger til overliggende net ifm. indfødning</v>
      </c>
      <c r="K237" s="5" t="s">
        <v>3</v>
      </c>
      <c r="L237" s="85">
        <f t="shared" si="13"/>
        <v>0</v>
      </c>
      <c r="M237" s="161">
        <f t="shared" si="14"/>
        <v>0</v>
      </c>
      <c r="N237" s="158">
        <v>1</v>
      </c>
      <c r="W237" s="121"/>
    </row>
    <row r="238" spans="1:23" ht="15" customHeight="1">
      <c r="D238" s="85" t="str">
        <f>'2.1 Model setup'!K81</f>
        <v>5.2 Øvrige omkostninger</v>
      </c>
      <c r="K238" s="5" t="s">
        <v>3</v>
      </c>
      <c r="L238" s="85">
        <f t="shared" si="13"/>
        <v>0</v>
      </c>
      <c r="M238" s="161">
        <f t="shared" si="14"/>
        <v>0</v>
      </c>
      <c r="N238" s="158">
        <v>0</v>
      </c>
      <c r="W238" s="121"/>
    </row>
    <row r="239" spans="1:23" ht="15" customHeight="1">
      <c r="D239" s="85" t="str">
        <f>'2.1 Model setup'!K82</f>
        <v>6.1 Afskrivninger på transformerstationer</v>
      </c>
      <c r="K239" s="5" t="s">
        <v>3</v>
      </c>
      <c r="L239" s="85">
        <f t="shared" si="13"/>
        <v>0</v>
      </c>
      <c r="M239" s="161">
        <f t="shared" si="14"/>
        <v>0</v>
      </c>
      <c r="N239" s="158">
        <v>0</v>
      </c>
      <c r="W239" s="121"/>
    </row>
    <row r="240" spans="1:23" ht="15" customHeight="1">
      <c r="D240" s="85" t="str">
        <f>'2.1 Model setup'!K83</f>
        <v>6.2 Afskrivninger på netaktiver ekskl. målere og transformerstationer</v>
      </c>
      <c r="K240" s="5" t="s">
        <v>3</v>
      </c>
      <c r="L240" s="85">
        <f xml:space="preserve"> -- ( N240 &lt; 0 ) + -- ( COUNTIF( N240, "*" ) &gt; 0 )</f>
        <v>0</v>
      </c>
      <c r="M240" s="161">
        <f xml:space="preserve"> -- OR( N240 = "", INT( N240 ) &lt;&gt; N240 )</f>
        <v>0</v>
      </c>
      <c r="N240" s="158">
        <v>0</v>
      </c>
      <c r="W240" s="121"/>
    </row>
    <row r="241" spans="1:23" ht="15" customHeight="1">
      <c r="D241" s="99" t="str">
        <f>'2.1 Model setup'!K84</f>
        <v>6.3 Afskrivninger på målere</v>
      </c>
      <c r="E241" s="27"/>
      <c r="F241" s="27"/>
      <c r="G241" s="27"/>
      <c r="H241" s="27"/>
      <c r="I241" s="27"/>
      <c r="J241" s="27"/>
      <c r="K241" s="32" t="s">
        <v>3</v>
      </c>
      <c r="L241" s="99">
        <f xml:space="preserve"> -- ( N241 &lt; 0 ) + -- ( COUNTIF( N241, "*" ) &gt; 0 )</f>
        <v>0</v>
      </c>
      <c r="M241" s="216">
        <f t="shared" si="14"/>
        <v>0</v>
      </c>
      <c r="N241" s="159">
        <v>0</v>
      </c>
      <c r="O241" s="27"/>
      <c r="P241" s="27"/>
      <c r="Q241" s="27"/>
      <c r="R241" s="27"/>
      <c r="S241" s="27"/>
      <c r="T241" s="27"/>
      <c r="U241" s="27"/>
      <c r="V241" s="27"/>
      <c r="W241" s="131"/>
    </row>
    <row r="242" spans="1:23" customFormat="1" ht="15" customHeight="1">
      <c r="A242" s="1"/>
      <c r="B242" s="1"/>
      <c r="C242" s="2"/>
      <c r="D242" s="85"/>
      <c r="E242" s="1"/>
      <c r="F242" s="86"/>
      <c r="G242" s="86"/>
      <c r="H242" s="86"/>
      <c r="I242" s="86"/>
      <c r="J242" s="86"/>
      <c r="K242" s="87"/>
      <c r="L242" s="85"/>
      <c r="M242" s="85"/>
      <c r="N242" s="86"/>
      <c r="O242" s="86"/>
      <c r="P242" s="86"/>
      <c r="Q242" s="86"/>
      <c r="R242" s="1"/>
      <c r="S242" s="1"/>
      <c r="T242" s="1"/>
      <c r="U242" s="1"/>
      <c r="V242" s="1"/>
      <c r="W242" s="1"/>
    </row>
    <row r="243" spans="1:23" customFormat="1" ht="15" customHeight="1">
      <c r="A243" s="1"/>
      <c r="B243" s="1"/>
      <c r="C243" s="2"/>
      <c r="D243" s="85"/>
      <c r="E243" s="1"/>
      <c r="F243" s="86"/>
      <c r="G243" s="86"/>
      <c r="H243" s="86"/>
      <c r="I243" s="86"/>
      <c r="J243" s="86"/>
      <c r="K243" s="87"/>
      <c r="L243" s="85"/>
      <c r="M243" s="85"/>
      <c r="N243" s="86"/>
      <c r="O243" s="86"/>
      <c r="P243" s="86"/>
      <c r="Q243" s="86"/>
      <c r="R243" s="1"/>
      <c r="S243" s="1"/>
      <c r="T243" s="1"/>
      <c r="U243" s="1"/>
      <c r="V243" s="1"/>
      <c r="W243" s="1"/>
    </row>
    <row r="244" spans="1:23" customFormat="1" ht="15" customHeight="1">
      <c r="A244" s="1"/>
      <c r="B244" s="1"/>
      <c r="C244" s="2"/>
      <c r="D244" s="85"/>
      <c r="E244" s="1"/>
      <c r="F244" s="86"/>
      <c r="G244" s="86"/>
      <c r="H244" s="86"/>
      <c r="I244" s="86"/>
      <c r="J244" s="86"/>
      <c r="K244" s="87"/>
      <c r="L244" s="85"/>
      <c r="M244" s="85"/>
      <c r="N244" s="86"/>
      <c r="O244" s="86"/>
      <c r="P244" s="86"/>
      <c r="Q244" s="86"/>
      <c r="R244" s="1"/>
      <c r="S244" s="1"/>
      <c r="T244" s="1"/>
      <c r="U244" s="1"/>
      <c r="V244" s="1"/>
      <c r="W244" s="1"/>
    </row>
    <row r="245" spans="1:23" s="475" customFormat="1" ht="15" customHeight="1">
      <c r="B245" s="479" t="str">
        <f xml:space="preserve"> COUNTA(B$10:B242) &amp; ") Omkostningspost anvendt i indfødningtarif, hjælpeflag"</f>
        <v>7) Omkostningspost anvendt i indfødningtarif, hjælpeflag</v>
      </c>
      <c r="C245" s="477"/>
      <c r="D245" s="478"/>
      <c r="K245" s="472"/>
    </row>
    <row r="246" spans="1:23" customFormat="1" ht="15" customHeight="1">
      <c r="A246" s="1"/>
      <c r="B246" s="1"/>
      <c r="C246" s="2"/>
      <c r="D246" s="85"/>
      <c r="E246" s="1"/>
      <c r="F246" s="86"/>
      <c r="G246" s="86"/>
      <c r="H246" s="86"/>
      <c r="I246" s="86"/>
      <c r="J246" s="86"/>
      <c r="K246" s="87"/>
      <c r="L246" s="85"/>
      <c r="M246" s="85"/>
      <c r="N246" s="86"/>
      <c r="O246" s="86"/>
      <c r="P246" s="86"/>
      <c r="Q246" s="86"/>
      <c r="R246" s="1"/>
      <c r="S246" s="1"/>
      <c r="T246" s="1"/>
      <c r="U246" s="1"/>
      <c r="V246" s="1"/>
      <c r="W246" s="1"/>
    </row>
    <row r="247" spans="1:23" ht="15" customHeight="1">
      <c r="D247" s="88" t="s">
        <v>590</v>
      </c>
      <c r="L247" s="231"/>
      <c r="W247" s="89"/>
    </row>
    <row r="248" spans="1:23" ht="15" customHeight="1">
      <c r="D248" s="15" t="str">
        <f>'2.1 Model setup'!K70</f>
        <v>1.1 Drift og vedligeholdelse af transformerstationer</v>
      </c>
      <c r="E248" s="15"/>
      <c r="F248" s="150"/>
      <c r="G248" s="150"/>
      <c r="H248" s="150"/>
      <c r="I248" s="150"/>
      <c r="J248" s="150"/>
      <c r="K248" s="19" t="s">
        <v>41</v>
      </c>
      <c r="L248" s="537"/>
      <c r="M248" s="15"/>
      <c r="N248" s="15"/>
      <c r="O248" s="157">
        <v>0</v>
      </c>
      <c r="P248" s="157">
        <v>0</v>
      </c>
      <c r="Q248" s="561"/>
      <c r="R248" s="157">
        <v>1</v>
      </c>
      <c r="S248" s="157">
        <v>1</v>
      </c>
      <c r="T248" s="157">
        <v>1</v>
      </c>
      <c r="U248" s="157">
        <v>1</v>
      </c>
      <c r="V248" s="157">
        <v>1</v>
      </c>
      <c r="W248" s="18"/>
    </row>
    <row r="249" spans="1:23" ht="15" customHeight="1">
      <c r="D249" s="1" t="str">
        <f>'2.1 Model setup'!K71</f>
        <v>1.2 Drift og vedligeholdelse af ledningsnet</v>
      </c>
      <c r="F249" s="121"/>
      <c r="G249" s="121"/>
      <c r="H249" s="121"/>
      <c r="I249" s="121"/>
      <c r="J249" s="121"/>
      <c r="K249" s="5" t="s">
        <v>41</v>
      </c>
      <c r="L249" s="231"/>
      <c r="O249" s="158">
        <v>0</v>
      </c>
      <c r="P249" s="158">
        <v>0</v>
      </c>
      <c r="Q249" s="562"/>
      <c r="R249" s="158">
        <v>1</v>
      </c>
      <c r="S249" s="158">
        <v>1</v>
      </c>
      <c r="T249" s="158">
        <v>1</v>
      </c>
      <c r="U249" s="158">
        <v>1</v>
      </c>
      <c r="V249" s="158">
        <v>1</v>
      </c>
      <c r="W249" s="4"/>
    </row>
    <row r="250" spans="1:23" ht="15" customHeight="1">
      <c r="D250" s="1" t="str">
        <f>'2.1 Model setup'!K72</f>
        <v>1.3 Øvrige omkostninger til drift, styring og kontrol af elnettet</v>
      </c>
      <c r="F250" s="121"/>
      <c r="G250" s="121"/>
      <c r="H250" s="121"/>
      <c r="I250" s="121"/>
      <c r="J250" s="121"/>
      <c r="K250" s="5" t="s">
        <v>41</v>
      </c>
      <c r="L250" s="231"/>
      <c r="O250" s="158">
        <v>0</v>
      </c>
      <c r="P250" s="158">
        <v>0</v>
      </c>
      <c r="Q250" s="562"/>
      <c r="R250" s="158">
        <v>0</v>
      </c>
      <c r="S250" s="158">
        <v>0</v>
      </c>
      <c r="T250" s="158">
        <v>0</v>
      </c>
      <c r="U250" s="158">
        <v>0</v>
      </c>
      <c r="V250" s="158">
        <v>0</v>
      </c>
      <c r="W250" s="4"/>
    </row>
    <row r="251" spans="1:23" ht="15" customHeight="1">
      <c r="D251" s="1" t="str">
        <f>'2.1 Model setup'!K73</f>
        <v>1.4 Omkostninger vedrørende 132-150/30-60 kV-stationer</v>
      </c>
      <c r="F251" s="121"/>
      <c r="G251" s="121"/>
      <c r="H251" s="121"/>
      <c r="I251" s="121"/>
      <c r="J251" s="121"/>
      <c r="K251" s="5" t="s">
        <v>41</v>
      </c>
      <c r="L251" s="231"/>
      <c r="O251" s="158">
        <v>1</v>
      </c>
      <c r="P251" s="158">
        <v>1</v>
      </c>
      <c r="Q251" s="562"/>
      <c r="R251" s="158">
        <v>0</v>
      </c>
      <c r="S251" s="158">
        <v>0</v>
      </c>
      <c r="T251" s="158">
        <v>0</v>
      </c>
      <c r="U251" s="158">
        <v>0</v>
      </c>
      <c r="V251" s="158">
        <v>0</v>
      </c>
      <c r="W251" s="4"/>
    </row>
    <row r="252" spans="1:23" ht="15" customHeight="1">
      <c r="D252" s="1" t="str">
        <f>'2.1 Model setup'!K74</f>
        <v>2.1 Drift og vedligeholdelse af målere</v>
      </c>
      <c r="F252" s="121"/>
      <c r="G252" s="121"/>
      <c r="H252" s="121"/>
      <c r="I252" s="121"/>
      <c r="J252" s="121"/>
      <c r="K252" s="5" t="s">
        <v>41</v>
      </c>
      <c r="L252" s="231"/>
      <c r="O252" s="158">
        <v>0</v>
      </c>
      <c r="P252" s="158">
        <v>0</v>
      </c>
      <c r="Q252" s="562"/>
      <c r="R252" s="158">
        <v>0</v>
      </c>
      <c r="S252" s="158">
        <v>0</v>
      </c>
      <c r="T252" s="158">
        <v>0</v>
      </c>
      <c r="U252" s="158">
        <v>0</v>
      </c>
      <c r="V252" s="158">
        <v>0</v>
      </c>
      <c r="W252" s="4"/>
    </row>
    <row r="253" spans="1:23" ht="15" customHeight="1">
      <c r="D253" s="1" t="str">
        <f>'2.1 Model setup'!K75</f>
        <v>2.2 Indhentning og validering af målerdata</v>
      </c>
      <c r="F253" s="121"/>
      <c r="G253" s="121"/>
      <c r="H253" s="121"/>
      <c r="I253" s="121"/>
      <c r="J253" s="121"/>
      <c r="K253" s="5" t="s">
        <v>41</v>
      </c>
      <c r="L253" s="231"/>
      <c r="O253" s="158">
        <v>0</v>
      </c>
      <c r="P253" s="158">
        <v>0</v>
      </c>
      <c r="Q253" s="562"/>
      <c r="R253" s="158">
        <v>0</v>
      </c>
      <c r="S253" s="158">
        <v>0</v>
      </c>
      <c r="T253" s="158">
        <v>0</v>
      </c>
      <c r="U253" s="158">
        <v>0</v>
      </c>
      <c r="V253" s="158">
        <v>0</v>
      </c>
      <c r="W253" s="4"/>
    </row>
    <row r="254" spans="1:23" ht="15" customHeight="1">
      <c r="D254" s="1" t="str">
        <f>'2.1 Model setup'!K76</f>
        <v>2.3 Måleradministration og kundehåndtering</v>
      </c>
      <c r="F254" s="121"/>
      <c r="G254" s="121"/>
      <c r="H254" s="121"/>
      <c r="I254" s="121"/>
      <c r="J254" s="121"/>
      <c r="K254" s="5" t="s">
        <v>41</v>
      </c>
      <c r="L254" s="231"/>
      <c r="O254" s="158">
        <v>0</v>
      </c>
      <c r="P254" s="158">
        <v>0</v>
      </c>
      <c r="Q254" s="562"/>
      <c r="R254" s="158">
        <v>0</v>
      </c>
      <c r="S254" s="158">
        <v>0</v>
      </c>
      <c r="T254" s="158">
        <v>0</v>
      </c>
      <c r="U254" s="158">
        <v>0</v>
      </c>
      <c r="V254" s="158">
        <v>0</v>
      </c>
      <c r="W254" s="4"/>
    </row>
    <row r="255" spans="1:23" ht="15" customHeight="1">
      <c r="D255" s="1" t="str">
        <f>'2.1 Model setup'!K77</f>
        <v>3.1 Generel administration</v>
      </c>
      <c r="F255" s="121"/>
      <c r="G255" s="121"/>
      <c r="H255" s="121"/>
      <c r="I255" s="121"/>
      <c r="J255" s="121"/>
      <c r="K255" s="5" t="s">
        <v>41</v>
      </c>
      <c r="L255" s="231"/>
      <c r="O255" s="158">
        <v>0</v>
      </c>
      <c r="P255" s="158">
        <v>0</v>
      </c>
      <c r="Q255" s="562"/>
      <c r="R255" s="158">
        <v>0</v>
      </c>
      <c r="S255" s="158">
        <v>0</v>
      </c>
      <c r="T255" s="158">
        <v>0</v>
      </c>
      <c r="U255" s="158">
        <v>0</v>
      </c>
      <c r="V255" s="158">
        <v>0</v>
      </c>
      <c r="W255" s="4"/>
    </row>
    <row r="256" spans="1:23" ht="15" customHeight="1">
      <c r="D256" s="1" t="str">
        <f>'2.1 Model setup'!K78</f>
        <v>4.1 Omkostninger vedrørende nettab i transformerstationer</v>
      </c>
      <c r="F256" s="121"/>
      <c r="G256" s="121"/>
      <c r="H256" s="121"/>
      <c r="I256" s="121"/>
      <c r="J256" s="121"/>
      <c r="K256" s="5" t="s">
        <v>41</v>
      </c>
      <c r="L256" s="231"/>
      <c r="O256" s="158">
        <v>0</v>
      </c>
      <c r="P256" s="158">
        <v>0</v>
      </c>
      <c r="Q256" s="562"/>
      <c r="R256" s="158">
        <v>1</v>
      </c>
      <c r="S256" s="158">
        <v>1</v>
      </c>
      <c r="T256" s="158">
        <v>1</v>
      </c>
      <c r="U256" s="158">
        <v>1</v>
      </c>
      <c r="V256" s="158">
        <v>1</v>
      </c>
      <c r="W256" s="4"/>
    </row>
    <row r="257" spans="1:23" ht="15" customHeight="1">
      <c r="D257" s="1" t="str">
        <f>'2.1 Model setup'!K79</f>
        <v>4.2 Omkostninger vedrørende nettab i ledningsnettet</v>
      </c>
      <c r="F257" s="121"/>
      <c r="G257" s="121"/>
      <c r="H257" s="121"/>
      <c r="I257" s="121"/>
      <c r="J257" s="121"/>
      <c r="K257" s="5" t="s">
        <v>41</v>
      </c>
      <c r="L257" s="231"/>
      <c r="O257" s="158">
        <v>0</v>
      </c>
      <c r="P257" s="158">
        <v>0</v>
      </c>
      <c r="Q257" s="562"/>
      <c r="R257" s="158">
        <v>1</v>
      </c>
      <c r="S257" s="158">
        <v>1</v>
      </c>
      <c r="T257" s="158">
        <v>1</v>
      </c>
      <c r="U257" s="158">
        <v>1</v>
      </c>
      <c r="V257" s="158">
        <v>1</v>
      </c>
      <c r="W257" s="4"/>
    </row>
    <row r="258" spans="1:23" ht="15" customHeight="1">
      <c r="D258" s="1" t="str">
        <f>'2.1 Model setup'!K88</f>
        <v>5.1 Omkostninger til overliggende net ifm. indfødning</v>
      </c>
      <c r="F258" s="121"/>
      <c r="G258" s="121"/>
      <c r="H258" s="121"/>
      <c r="I258" s="121"/>
      <c r="J258" s="121"/>
      <c r="K258" s="5" t="s">
        <v>41</v>
      </c>
      <c r="L258" s="231"/>
      <c r="O258" s="158">
        <v>1</v>
      </c>
      <c r="P258" s="158">
        <v>1</v>
      </c>
      <c r="Q258" s="562"/>
      <c r="R258" s="158">
        <v>1</v>
      </c>
      <c r="S258" s="158">
        <v>1</v>
      </c>
      <c r="T258" s="158">
        <v>1</v>
      </c>
      <c r="U258" s="158">
        <v>1</v>
      </c>
      <c r="V258" s="158">
        <v>1</v>
      </c>
      <c r="W258" s="4"/>
    </row>
    <row r="259" spans="1:23" ht="15" customHeight="1">
      <c r="D259" s="1" t="str">
        <f>'2.1 Model setup'!K81</f>
        <v>5.2 Øvrige omkostninger</v>
      </c>
      <c r="F259" s="121"/>
      <c r="G259" s="121"/>
      <c r="H259" s="121"/>
      <c r="I259" s="121"/>
      <c r="J259" s="121"/>
      <c r="K259" s="5" t="s">
        <v>41</v>
      </c>
      <c r="L259" s="231"/>
      <c r="O259" s="158">
        <v>0</v>
      </c>
      <c r="P259" s="158">
        <v>0</v>
      </c>
      <c r="Q259" s="562"/>
      <c r="R259" s="158">
        <v>0</v>
      </c>
      <c r="S259" s="158">
        <v>0</v>
      </c>
      <c r="T259" s="158">
        <v>0</v>
      </c>
      <c r="U259" s="158">
        <v>0</v>
      </c>
      <c r="V259" s="158">
        <v>0</v>
      </c>
      <c r="W259" s="4"/>
    </row>
    <row r="260" spans="1:23" ht="15" customHeight="1">
      <c r="D260" s="1" t="str">
        <f>'2.1 Model setup'!K82</f>
        <v>6.1 Afskrivninger på transformerstationer</v>
      </c>
      <c r="F260" s="121"/>
      <c r="G260" s="121"/>
      <c r="H260" s="121"/>
      <c r="I260" s="121"/>
      <c r="J260" s="121"/>
      <c r="K260" s="5" t="s">
        <v>41</v>
      </c>
      <c r="L260" s="231"/>
      <c r="O260" s="158">
        <v>0</v>
      </c>
      <c r="P260" s="158">
        <v>0</v>
      </c>
      <c r="Q260" s="562"/>
      <c r="R260" s="158">
        <v>0</v>
      </c>
      <c r="S260" s="158">
        <v>0</v>
      </c>
      <c r="T260" s="158">
        <v>0</v>
      </c>
      <c r="U260" s="158">
        <v>0</v>
      </c>
      <c r="V260" s="158">
        <v>0</v>
      </c>
      <c r="W260" s="4"/>
    </row>
    <row r="261" spans="1:23" ht="15" customHeight="1">
      <c r="D261" s="1" t="str">
        <f>'2.1 Model setup'!K83</f>
        <v>6.2 Afskrivninger på netaktiver ekskl. målere og transformerstationer</v>
      </c>
      <c r="F261" s="121"/>
      <c r="G261" s="121"/>
      <c r="H261" s="121"/>
      <c r="I261" s="121"/>
      <c r="J261" s="121"/>
      <c r="K261" s="5" t="s">
        <v>41</v>
      </c>
      <c r="L261" s="231"/>
      <c r="O261" s="158">
        <v>0</v>
      </c>
      <c r="P261" s="158">
        <v>0</v>
      </c>
      <c r="Q261" s="562"/>
      <c r="R261" s="158">
        <v>0</v>
      </c>
      <c r="S261" s="158">
        <v>0</v>
      </c>
      <c r="T261" s="158">
        <v>0</v>
      </c>
      <c r="U261" s="158">
        <v>0</v>
      </c>
      <c r="V261" s="158">
        <v>0</v>
      </c>
      <c r="W261" s="4"/>
    </row>
    <row r="262" spans="1:23" ht="15" customHeight="1">
      <c r="D262" s="27" t="str">
        <f>'2.1 Model setup'!K84</f>
        <v>6.3 Afskrivninger på målere</v>
      </c>
      <c r="E262" s="27"/>
      <c r="F262" s="131"/>
      <c r="G262" s="131"/>
      <c r="H262" s="131"/>
      <c r="I262" s="131"/>
      <c r="J262" s="131"/>
      <c r="K262" s="32" t="s">
        <v>41</v>
      </c>
      <c r="L262" s="27"/>
      <c r="M262" s="27"/>
      <c r="N262" s="27"/>
      <c r="O262" s="159">
        <v>0</v>
      </c>
      <c r="P262" s="159">
        <v>0</v>
      </c>
      <c r="Q262" s="563"/>
      <c r="R262" s="159">
        <v>0</v>
      </c>
      <c r="S262" s="159">
        <v>0</v>
      </c>
      <c r="T262" s="159">
        <v>0</v>
      </c>
      <c r="U262" s="159">
        <v>0</v>
      </c>
      <c r="V262" s="159">
        <v>0</v>
      </c>
      <c r="W262" s="35"/>
    </row>
    <row r="263" spans="1:23" customFormat="1" ht="15" customHeight="1">
      <c r="A263" s="1"/>
      <c r="B263" s="1"/>
      <c r="C263" s="2"/>
      <c r="D263" s="85"/>
      <c r="E263" s="1"/>
      <c r="F263" s="86"/>
      <c r="G263" s="86"/>
      <c r="H263" s="86"/>
      <c r="I263" s="86"/>
      <c r="J263" s="86"/>
      <c r="K263" s="87"/>
      <c r="L263" s="85"/>
      <c r="M263" s="85"/>
      <c r="N263" s="86"/>
      <c r="O263" s="86"/>
      <c r="P263" s="86"/>
      <c r="Q263" s="86"/>
      <c r="R263" s="86"/>
      <c r="S263" s="1"/>
      <c r="T263" s="1"/>
      <c r="U263" s="1"/>
      <c r="V263" s="1"/>
      <c r="W263" s="1"/>
    </row>
    <row r="264" spans="1:23" customFormat="1" ht="15" customHeight="1">
      <c r="A264" s="1"/>
      <c r="B264" s="1"/>
      <c r="C264" s="2"/>
      <c r="D264" s="85"/>
      <c r="E264" s="1"/>
      <c r="F264" s="86"/>
      <c r="G264" s="86"/>
      <c r="H264" s="86"/>
      <c r="I264" s="86"/>
      <c r="J264" s="86"/>
      <c r="K264" s="87"/>
      <c r="L264" s="85"/>
      <c r="M264" s="85"/>
      <c r="N264" s="86"/>
      <c r="O264" s="86"/>
      <c r="P264" s="86"/>
      <c r="Q264" s="86"/>
      <c r="R264" s="86"/>
      <c r="S264" s="1"/>
      <c r="T264" s="1"/>
      <c r="U264" s="1"/>
      <c r="V264" s="1"/>
      <c r="W264" s="1"/>
    </row>
    <row r="265" spans="1:23" customFormat="1" ht="15" customHeight="1">
      <c r="A265" s="1"/>
      <c r="B265" s="1"/>
      <c r="C265" s="2"/>
      <c r="D265" s="85"/>
      <c r="E265" s="1"/>
      <c r="F265" s="86"/>
      <c r="G265" s="86"/>
      <c r="H265" s="86"/>
      <c r="I265" s="86"/>
      <c r="J265" s="86"/>
      <c r="K265" s="87"/>
      <c r="L265" s="85"/>
      <c r="M265" s="85"/>
      <c r="N265" s="86"/>
      <c r="O265" s="86"/>
      <c r="P265" s="86"/>
      <c r="Q265" s="86"/>
      <c r="R265" s="86"/>
      <c r="S265" s="1"/>
      <c r="T265" s="1"/>
      <c r="U265" s="1"/>
      <c r="V265" s="1"/>
      <c r="W265" s="1"/>
    </row>
    <row r="266" spans="1:23" s="475" customFormat="1" ht="15" customHeight="1">
      <c r="B266" s="479" t="str">
        <f xml:space="preserve"> COUNTA(B$10:B263) &amp; ") Allokeringsmæssig differentiering (både forbrug, rådighed og indfødning)"</f>
        <v>8) Allokeringsmæssig differentiering (både forbrug, rådighed og indfødning)</v>
      </c>
      <c r="C266" s="477"/>
      <c r="D266" s="478"/>
      <c r="K266" s="472"/>
    </row>
    <row r="267" spans="1:23" customFormat="1" ht="15" customHeight="1">
      <c r="A267" s="1"/>
      <c r="B267" s="1"/>
      <c r="C267" s="2"/>
      <c r="D267" s="85"/>
      <c r="E267" s="1"/>
      <c r="F267" s="86"/>
      <c r="G267" s="86"/>
      <c r="H267" s="86"/>
      <c r="I267" s="86"/>
      <c r="J267" s="86"/>
      <c r="K267" s="87"/>
      <c r="L267" s="85"/>
      <c r="M267" s="85"/>
      <c r="N267" s="86"/>
      <c r="O267" s="86"/>
      <c r="P267" s="86"/>
      <c r="Q267" s="86"/>
      <c r="R267" s="1"/>
      <c r="S267" s="1"/>
      <c r="T267" s="1"/>
      <c r="U267" s="1"/>
      <c r="V267" s="1"/>
      <c r="W267" s="1"/>
    </row>
    <row r="268" spans="1:23" customFormat="1" ht="15" customHeight="1">
      <c r="A268" s="1"/>
      <c r="B268" s="1"/>
      <c r="C268" s="2"/>
      <c r="D268" s="97" t="s">
        <v>43</v>
      </c>
      <c r="E268" s="27"/>
      <c r="F268" s="156"/>
      <c r="G268" s="156"/>
      <c r="H268" s="156"/>
      <c r="I268" s="156"/>
      <c r="J268" s="156"/>
      <c r="K268" s="98"/>
      <c r="L268" s="99"/>
      <c r="M268" s="99"/>
      <c r="N268" s="86"/>
      <c r="O268" s="86"/>
      <c r="P268" s="86"/>
      <c r="Q268" s="86"/>
      <c r="R268" s="27"/>
      <c r="S268" s="27"/>
      <c r="T268" s="27"/>
      <c r="U268" s="27"/>
      <c r="V268" s="27"/>
      <c r="W268" s="27"/>
    </row>
    <row r="269" spans="1:23" customFormat="1" ht="15" customHeight="1">
      <c r="A269" s="1"/>
      <c r="B269" s="1"/>
      <c r="C269" s="2"/>
      <c r="D269" s="85" t="str">
        <f xml:space="preserve"> '2.1 Model setup'!K70</f>
        <v>1.1 Drift og vedligeholdelse af transformerstationer</v>
      </c>
      <c r="E269" s="1"/>
      <c r="F269" s="56"/>
      <c r="G269" s="56"/>
      <c r="H269" s="56"/>
      <c r="I269" s="56"/>
      <c r="J269" s="56"/>
      <c r="K269" s="87" t="s">
        <v>41</v>
      </c>
      <c r="L269" s="85"/>
      <c r="M269" s="160">
        <f xml:space="preserve"> -- ( OR( ( N55 = '2.1 Model setup'!$K$46 ) * ( N269 &lt;&gt; '2.1 Model setup'!$K$52 ), ( N55 &lt;&gt; '2.1 Model setup'!$K$46 ) * ( N269 =  '2.1 Model setup'!$K$52 ) ) )</f>
        <v>0</v>
      </c>
      <c r="N269" s="152" t="s">
        <v>46</v>
      </c>
      <c r="O269" s="15"/>
      <c r="P269" s="15"/>
      <c r="Q269" s="15"/>
      <c r="R269" s="15"/>
      <c r="S269" s="15"/>
      <c r="T269" s="15"/>
      <c r="U269" s="15"/>
      <c r="V269" s="15"/>
    </row>
    <row r="270" spans="1:23" customFormat="1" ht="15" customHeight="1">
      <c r="A270" s="1"/>
      <c r="B270" s="1"/>
      <c r="C270" s="2"/>
      <c r="D270" s="85" t="str">
        <f xml:space="preserve"> '2.1 Model setup'!K71</f>
        <v>1.2 Drift og vedligeholdelse af ledningsnet</v>
      </c>
      <c r="E270" s="1"/>
      <c r="K270" s="87" t="s">
        <v>41</v>
      </c>
      <c r="L270" s="85"/>
      <c r="M270" s="161">
        <f xml:space="preserve"> -- ( OR( ( N56 = '2.1 Model setup'!$K$46 ) * ( N270 &lt;&gt; '2.1 Model setup'!$K$52 ), ( N56 &lt;&gt; '2.1 Model setup'!$K$46 ) * ( N270 =  '2.1 Model setup'!$K$52 ) ) )</f>
        <v>0</v>
      </c>
      <c r="N270" s="153" t="s">
        <v>45</v>
      </c>
      <c r="O270" s="1"/>
      <c r="P270" s="1"/>
      <c r="Q270" s="1"/>
      <c r="R270" s="1"/>
      <c r="S270" s="1"/>
      <c r="T270" s="1"/>
      <c r="U270" s="1"/>
      <c r="V270" s="1"/>
    </row>
    <row r="271" spans="1:23" customFormat="1" ht="15" customHeight="1">
      <c r="A271" s="1"/>
      <c r="B271" s="1"/>
      <c r="C271" s="2"/>
      <c r="D271" s="85" t="str">
        <f xml:space="preserve"> '2.1 Model setup'!K72</f>
        <v>1.3 Øvrige omkostninger til drift, styring og kontrol af elnettet</v>
      </c>
      <c r="E271" s="1"/>
      <c r="K271" s="87" t="s">
        <v>41</v>
      </c>
      <c r="L271" s="85"/>
      <c r="M271" s="161">
        <f xml:space="preserve"> -- ( OR( ( N57 = '2.1 Model setup'!$K$46 ) * ( N271 &lt;&gt; '2.1 Model setup'!$K$52 ), ( N57 &lt;&gt; '2.1 Model setup'!$K$46 ) * ( N271 =  '2.1 Model setup'!$K$52 ) ) )</f>
        <v>0</v>
      </c>
      <c r="N271" s="153" t="s">
        <v>45</v>
      </c>
      <c r="O271" s="1"/>
      <c r="P271" s="1"/>
      <c r="Q271" s="1"/>
      <c r="R271" s="1"/>
      <c r="S271" s="1"/>
      <c r="T271" s="1"/>
      <c r="U271" s="1"/>
      <c r="V271" s="1"/>
    </row>
    <row r="272" spans="1:23" customFormat="1" ht="15" customHeight="1">
      <c r="A272" s="1"/>
      <c r="B272" s="1"/>
      <c r="C272" s="2"/>
      <c r="D272" s="85" t="str">
        <f xml:space="preserve"> '2.1 Model setup'!K73</f>
        <v>1.4 Omkostninger vedrørende 132-150/30-60 kV-stationer</v>
      </c>
      <c r="E272" s="1"/>
      <c r="K272" s="87" t="s">
        <v>41</v>
      </c>
      <c r="L272" s="1"/>
      <c r="M272" s="161"/>
      <c r="N272" s="153" t="s">
        <v>235</v>
      </c>
      <c r="O272" s="1"/>
      <c r="P272" s="1"/>
      <c r="Q272" s="1"/>
      <c r="R272" s="1"/>
      <c r="S272" s="1"/>
      <c r="T272" s="1"/>
      <c r="U272" s="1"/>
      <c r="V272" s="1"/>
    </row>
    <row r="273" spans="1:23" customFormat="1" ht="15" customHeight="1">
      <c r="A273" s="1"/>
      <c r="B273" s="1"/>
      <c r="C273" s="2"/>
      <c r="D273" s="85" t="str">
        <f xml:space="preserve"> '2.1 Model setup'!K74</f>
        <v>2.1 Drift og vedligeholdelse af målere</v>
      </c>
      <c r="E273" s="1"/>
      <c r="K273" s="87" t="s">
        <v>41</v>
      </c>
      <c r="L273" s="85"/>
      <c r="M273" s="161">
        <f xml:space="preserve"> -- ( OR( ( N59 = '2.1 Model setup'!$K$46 ) * ( N273 &lt;&gt; '2.1 Model setup'!$K$52 ), ( N59 &lt;&gt; '2.1 Model setup'!$K$46 ) * ( N273 =  '2.1 Model setup'!$K$52 ) ) )</f>
        <v>0</v>
      </c>
      <c r="N273" s="153" t="s">
        <v>235</v>
      </c>
      <c r="O273" s="1"/>
      <c r="P273" s="1"/>
      <c r="Q273" s="1"/>
      <c r="R273" s="1"/>
      <c r="S273" s="1"/>
      <c r="T273" s="1"/>
      <c r="U273" s="1"/>
      <c r="V273" s="1"/>
    </row>
    <row r="274" spans="1:23" customFormat="1" ht="15" customHeight="1">
      <c r="A274" s="1"/>
      <c r="B274" s="1"/>
      <c r="C274" s="2"/>
      <c r="D274" s="85" t="str">
        <f xml:space="preserve"> '2.1 Model setup'!K75</f>
        <v>2.2 Indhentning og validering af målerdata</v>
      </c>
      <c r="E274" s="1"/>
      <c r="K274" s="87" t="s">
        <v>41</v>
      </c>
      <c r="L274" s="85"/>
      <c r="M274" s="161">
        <f xml:space="preserve"> -- ( OR( ( N60 = '2.1 Model setup'!$K$46 ) * ( N274 &lt;&gt; '2.1 Model setup'!$K$52 ), ( N60 &lt;&gt; '2.1 Model setup'!$K$46 ) * ( N274 =  '2.1 Model setup'!$K$52 ) ) )</f>
        <v>0</v>
      </c>
      <c r="N274" s="153" t="s">
        <v>235</v>
      </c>
      <c r="O274" s="1"/>
      <c r="P274" s="1"/>
      <c r="Q274" s="1"/>
      <c r="R274" s="1"/>
      <c r="S274" s="1"/>
      <c r="T274" s="1"/>
      <c r="U274" s="1"/>
      <c r="V274" s="1"/>
    </row>
    <row r="275" spans="1:23" customFormat="1" ht="15" customHeight="1">
      <c r="A275" s="1"/>
      <c r="B275" s="1"/>
      <c r="C275" s="2"/>
      <c r="D275" s="85" t="str">
        <f xml:space="preserve"> '2.1 Model setup'!K76</f>
        <v>2.3 Måleradministration og kundehåndtering</v>
      </c>
      <c r="E275" s="1"/>
      <c r="K275" s="87" t="s">
        <v>41</v>
      </c>
      <c r="L275" s="85"/>
      <c r="M275" s="161">
        <f xml:space="preserve"> -- ( OR( ( N61 = '2.1 Model setup'!$K$46 ) * ( N275 &lt;&gt; '2.1 Model setup'!$K$52 ), ( N61 &lt;&gt; '2.1 Model setup'!$K$46 ) * ( N275 =  '2.1 Model setup'!$K$52 ) ) )</f>
        <v>0</v>
      </c>
      <c r="N275" s="153" t="s">
        <v>235</v>
      </c>
      <c r="O275" s="1"/>
      <c r="P275" s="1"/>
      <c r="Q275" s="1"/>
      <c r="R275" s="1"/>
      <c r="S275" s="1"/>
      <c r="T275" s="1"/>
      <c r="U275" s="1"/>
      <c r="V275" s="1"/>
    </row>
    <row r="276" spans="1:23" customFormat="1" ht="15" customHeight="1">
      <c r="A276" s="1"/>
      <c r="B276" s="1"/>
      <c r="C276" s="2"/>
      <c r="D276" s="85" t="str">
        <f xml:space="preserve"> '2.1 Model setup'!K77</f>
        <v>3.1 Generel administration</v>
      </c>
      <c r="E276" s="1"/>
      <c r="K276" s="87" t="s">
        <v>41</v>
      </c>
      <c r="L276" s="85"/>
      <c r="M276" s="161">
        <f xml:space="preserve"> -- ( OR( ( N62 = '2.1 Model setup'!$K$46 ) * ( N276 &lt;&gt; '2.1 Model setup'!$K$52 ), ( N62 &lt;&gt; '2.1 Model setup'!$K$46 ) * ( N276 =  '2.1 Model setup'!$K$52 ) ) )</f>
        <v>0</v>
      </c>
      <c r="N276" s="153" t="s">
        <v>235</v>
      </c>
      <c r="O276" s="1"/>
      <c r="P276" s="1"/>
      <c r="Q276" s="1"/>
      <c r="R276" s="1"/>
      <c r="S276" s="1"/>
      <c r="T276" s="1"/>
      <c r="U276" s="1"/>
      <c r="V276" s="1"/>
    </row>
    <row r="277" spans="1:23" customFormat="1" ht="15" customHeight="1">
      <c r="A277" s="1"/>
      <c r="B277" s="1"/>
      <c r="C277" s="2"/>
      <c r="D277" s="85" t="str">
        <f xml:space="preserve"> '2.1 Model setup'!K78</f>
        <v>4.1 Omkostninger vedrørende nettab i transformerstationer</v>
      </c>
      <c r="E277" s="1"/>
      <c r="K277" s="87" t="s">
        <v>41</v>
      </c>
      <c r="L277" s="85"/>
      <c r="M277" s="161">
        <f xml:space="preserve"> -- ( OR( ( N63 = '2.1 Model setup'!$K$46 ) * ( N277 &lt;&gt; '2.1 Model setup'!$K$52 ), ( N63 &lt;&gt; '2.1 Model setup'!$K$46 ) * ( N277 =  '2.1 Model setup'!$K$52 ) ) )</f>
        <v>0</v>
      </c>
      <c r="N277" s="153" t="s">
        <v>46</v>
      </c>
      <c r="O277" s="1"/>
      <c r="P277" s="1"/>
      <c r="Q277" s="1"/>
      <c r="R277" s="1"/>
      <c r="S277" s="1"/>
      <c r="T277" s="1"/>
      <c r="U277" s="1"/>
      <c r="V277" s="1"/>
    </row>
    <row r="278" spans="1:23" customFormat="1" ht="15" customHeight="1">
      <c r="A278" s="1"/>
      <c r="B278" s="1"/>
      <c r="C278" s="2"/>
      <c r="D278" s="85" t="str">
        <f xml:space="preserve"> '2.1 Model setup'!K79</f>
        <v>4.2 Omkostninger vedrørende nettab i ledningsnettet</v>
      </c>
      <c r="E278" s="1"/>
      <c r="K278" s="87" t="s">
        <v>41</v>
      </c>
      <c r="L278" s="85"/>
      <c r="M278" s="161">
        <f xml:space="preserve"> -- ( OR( ( N64 = '2.1 Model setup'!$K$46 ) * ( N278 &lt;&gt; '2.1 Model setup'!$K$52 ), ( N64 &lt;&gt; '2.1 Model setup'!$K$46 ) * ( N278 =  '2.1 Model setup'!$K$52 ) ) )</f>
        <v>0</v>
      </c>
      <c r="N278" s="153" t="s">
        <v>45</v>
      </c>
      <c r="O278" s="1"/>
      <c r="P278" s="1"/>
      <c r="Q278" s="1"/>
      <c r="R278" s="1"/>
      <c r="S278" s="1"/>
      <c r="T278" s="1"/>
      <c r="U278" s="1"/>
      <c r="V278" s="1"/>
    </row>
    <row r="279" spans="1:23" customFormat="1" ht="15" customHeight="1">
      <c r="A279" s="1"/>
      <c r="B279" s="1"/>
      <c r="C279" s="2"/>
      <c r="D279" s="85" t="str">
        <f xml:space="preserve"> '2.1 Model setup'!K80</f>
        <v>5.1 Omkostninger til overliggende net ifm. forbrug</v>
      </c>
      <c r="E279" s="1"/>
      <c r="K279" s="87" t="s">
        <v>41</v>
      </c>
      <c r="L279" s="85"/>
      <c r="M279" s="161">
        <f xml:space="preserve"> -- ( OR( ( N65 = '2.1 Model setup'!$K$46 ) * ( N279 &lt;&gt; '2.1 Model setup'!$K$52 ), ( N65 &lt;&gt; '2.1 Model setup'!$K$46 ) * ( N279 =  '2.1 Model setup'!$K$52 ) ) )</f>
        <v>0</v>
      </c>
      <c r="N279" s="153" t="s">
        <v>45</v>
      </c>
      <c r="O279" s="1"/>
      <c r="P279" s="1"/>
      <c r="Q279" s="1"/>
      <c r="R279" s="1"/>
      <c r="S279" s="1"/>
      <c r="T279" s="1"/>
      <c r="U279" s="1"/>
      <c r="V279" s="1"/>
    </row>
    <row r="280" spans="1:23" customFormat="1" ht="15" customHeight="1">
      <c r="A280" s="1"/>
      <c r="B280" s="1"/>
      <c r="C280" s="2"/>
      <c r="D280" s="85" t="str">
        <f xml:space="preserve"> '2.1 Model setup'!K88</f>
        <v>5.1 Omkostninger til overliggende net ifm. indfødning</v>
      </c>
      <c r="E280" s="1"/>
      <c r="K280" s="87" t="s">
        <v>41</v>
      </c>
      <c r="L280" s="85"/>
      <c r="M280" s="161"/>
      <c r="N280" s="153" t="s">
        <v>45</v>
      </c>
      <c r="O280" s="1"/>
      <c r="P280" s="1"/>
      <c r="Q280" s="1"/>
      <c r="R280" s="1"/>
      <c r="S280" s="1"/>
      <c r="T280" s="1"/>
      <c r="U280" s="1"/>
      <c r="V280" s="1"/>
    </row>
    <row r="281" spans="1:23" customFormat="1" ht="15" customHeight="1">
      <c r="A281" s="1"/>
      <c r="B281" s="1"/>
      <c r="C281" s="2"/>
      <c r="D281" s="85" t="str">
        <f xml:space="preserve"> '2.1 Model setup'!K81</f>
        <v>5.2 Øvrige omkostninger</v>
      </c>
      <c r="E281" s="1"/>
      <c r="K281" s="87" t="s">
        <v>41</v>
      </c>
      <c r="L281" s="85"/>
      <c r="N281" s="257"/>
      <c r="O281" s="1"/>
      <c r="P281" s="1"/>
      <c r="Q281" s="1"/>
      <c r="R281" s="1"/>
      <c r="S281" s="1"/>
      <c r="T281" s="1"/>
      <c r="U281" s="1"/>
      <c r="V281" s="1"/>
    </row>
    <row r="282" spans="1:23" customFormat="1" ht="15" customHeight="1">
      <c r="A282" s="1"/>
      <c r="B282" s="1"/>
      <c r="C282" s="2"/>
      <c r="D282" s="85" t="str">
        <f xml:space="preserve"> '2.1 Model setup'!K82</f>
        <v>6.1 Afskrivninger på transformerstationer</v>
      </c>
      <c r="E282" s="1"/>
      <c r="K282" s="87" t="s">
        <v>41</v>
      </c>
      <c r="L282" s="85"/>
      <c r="M282" s="161">
        <f xml:space="preserve"> -- ( OR( ( N67 = '2.1 Model setup'!$K$46 ) * ( N282 &lt;&gt; '2.1 Model setup'!$K$52 ), ( N67 &lt;&gt; '2.1 Model setup'!$K$46 ) * ( N282 =  '2.1 Model setup'!$K$52 ) ) )</f>
        <v>0</v>
      </c>
      <c r="N282" s="153" t="s">
        <v>46</v>
      </c>
      <c r="O282" s="1"/>
      <c r="P282" s="1"/>
      <c r="Q282" s="1"/>
      <c r="R282" s="1"/>
      <c r="S282" s="1"/>
      <c r="T282" s="1"/>
      <c r="U282" s="1"/>
      <c r="V282" s="1"/>
    </row>
    <row r="283" spans="1:23" customFormat="1" ht="15" customHeight="1">
      <c r="A283" s="1"/>
      <c r="B283" s="1"/>
      <c r="C283" s="2"/>
      <c r="D283" s="85" t="str">
        <f xml:space="preserve"> '2.1 Model setup'!K83</f>
        <v>6.2 Afskrivninger på netaktiver ekskl. målere og transformerstationer</v>
      </c>
      <c r="E283" s="1"/>
      <c r="K283" s="87" t="s">
        <v>41</v>
      </c>
      <c r="L283" s="85"/>
      <c r="M283" s="161">
        <f xml:space="preserve"> -- ( OR( ( N68 = '2.1 Model setup'!$K$46 ) * ( N283 &lt;&gt; '2.1 Model setup'!$K$52 ), ( N68 &lt;&gt; '2.1 Model setup'!$K$46 ) * ( N283 =  '2.1 Model setup'!$K$52 ) ) )</f>
        <v>0</v>
      </c>
      <c r="N283" s="153" t="s">
        <v>45</v>
      </c>
      <c r="O283" s="1"/>
      <c r="P283" s="1"/>
      <c r="Q283" s="1"/>
      <c r="R283" s="1"/>
      <c r="S283" s="1"/>
      <c r="T283" s="1"/>
      <c r="U283" s="1"/>
      <c r="V283" s="1"/>
    </row>
    <row r="284" spans="1:23" customFormat="1" ht="15" customHeight="1">
      <c r="A284" s="1"/>
      <c r="B284" s="1"/>
      <c r="C284" s="2"/>
      <c r="D284" s="99" t="str">
        <f xml:space="preserve"> '2.1 Model setup'!K84</f>
        <v>6.3 Afskrivninger på målere</v>
      </c>
      <c r="E284" s="27"/>
      <c r="F284" s="60"/>
      <c r="G284" s="60"/>
      <c r="H284" s="60"/>
      <c r="I284" s="60"/>
      <c r="J284" s="60"/>
      <c r="K284" s="98" t="s">
        <v>41</v>
      </c>
      <c r="L284" s="99"/>
      <c r="M284" s="216">
        <f xml:space="preserve"> -- ( OR( ( N69 = '2.1 Model setup'!$K$46 ) * ( N284 &lt;&gt; '2.1 Model setup'!$K$52 ), ( N69 &lt;&gt; '2.1 Model setup'!$K$46 ) * ( N284 =  '2.1 Model setup'!$K$52 ) ) )</f>
        <v>0</v>
      </c>
      <c r="N284" s="154" t="s">
        <v>235</v>
      </c>
      <c r="O284" s="27"/>
      <c r="P284" s="27"/>
      <c r="Q284" s="27"/>
      <c r="R284" s="27"/>
      <c r="S284" s="27"/>
      <c r="T284" s="27"/>
      <c r="U284" s="27"/>
      <c r="V284" s="27"/>
      <c r="W284" s="60"/>
    </row>
    <row r="285" spans="1:23" customFormat="1" ht="15" customHeight="1">
      <c r="A285" s="1"/>
      <c r="B285" s="1"/>
      <c r="C285" s="2"/>
      <c r="D285" s="85"/>
      <c r="E285" s="1"/>
      <c r="F285" s="86"/>
      <c r="G285" s="86"/>
      <c r="H285" s="86"/>
      <c r="I285" s="86"/>
      <c r="J285" s="86"/>
      <c r="K285" s="87"/>
      <c r="L285" s="85"/>
      <c r="M285" s="85"/>
      <c r="N285" s="86"/>
      <c r="O285" s="86"/>
      <c r="P285" s="86"/>
      <c r="Q285" s="86"/>
      <c r="R285" s="1"/>
      <c r="S285" s="1"/>
      <c r="T285" s="1"/>
      <c r="U285" s="1"/>
      <c r="V285" s="1"/>
      <c r="W285" s="1"/>
    </row>
    <row r="286" spans="1:23" customFormat="1" ht="15" customHeight="1">
      <c r="A286" s="1"/>
      <c r="B286" s="1"/>
      <c r="C286" s="2"/>
      <c r="D286" s="85"/>
      <c r="E286" s="1"/>
      <c r="F286" s="86"/>
      <c r="G286" s="86"/>
      <c r="H286" s="86"/>
      <c r="I286" s="86"/>
      <c r="J286" s="86"/>
      <c r="K286" s="87"/>
      <c r="L286" s="85"/>
      <c r="M286" s="85"/>
      <c r="N286" s="86"/>
      <c r="O286" s="86"/>
      <c r="P286" s="86"/>
      <c r="Q286" s="86"/>
      <c r="R286" s="1"/>
      <c r="S286" s="1"/>
      <c r="T286" s="1"/>
      <c r="U286" s="1"/>
      <c r="V286" s="1"/>
      <c r="W286" s="1"/>
    </row>
    <row r="287" spans="1:23" customFormat="1" ht="15" customHeight="1">
      <c r="A287" s="1"/>
      <c r="B287" s="1"/>
      <c r="C287" s="2"/>
      <c r="D287" s="85"/>
      <c r="E287" s="1"/>
      <c r="F287" s="86"/>
      <c r="G287" s="86"/>
      <c r="H287" s="86"/>
      <c r="I287" s="86"/>
      <c r="J287" s="86"/>
      <c r="K287" s="87"/>
      <c r="L287" s="85"/>
      <c r="M287" s="85"/>
      <c r="N287" s="86"/>
      <c r="O287" s="86"/>
      <c r="P287" s="86"/>
      <c r="Q287" s="86"/>
      <c r="R287" s="1"/>
      <c r="S287" s="1"/>
      <c r="T287" s="1"/>
      <c r="U287" s="1"/>
      <c r="V287" s="1"/>
      <c r="W287" s="1"/>
    </row>
    <row r="288" spans="1:23" s="475" customFormat="1" ht="15" customHeight="1">
      <c r="B288" s="479" t="str">
        <f xml:space="preserve"> COUNTA(B$10:B285) &amp; ") Vandfald for forbrug"</f>
        <v>9) Vandfald for forbrug</v>
      </c>
      <c r="C288" s="477"/>
      <c r="D288" s="478"/>
      <c r="K288" s="472"/>
    </row>
    <row r="289" spans="1:23" customFormat="1" ht="15" customHeight="1">
      <c r="A289" s="1"/>
      <c r="B289" s="1"/>
      <c r="C289" s="2"/>
      <c r="D289" s="85"/>
      <c r="E289" s="1"/>
      <c r="F289" s="86"/>
      <c r="G289" s="86"/>
      <c r="H289" s="86"/>
      <c r="I289" s="86"/>
      <c r="J289" s="86"/>
      <c r="K289" s="87"/>
      <c r="L289" s="85"/>
      <c r="M289" s="85"/>
      <c r="N289" s="86"/>
      <c r="O289" s="86"/>
      <c r="P289" s="86"/>
      <c r="Q289" s="86"/>
      <c r="R289" s="1"/>
      <c r="S289" s="1"/>
      <c r="T289" s="1"/>
      <c r="U289" s="1"/>
      <c r="V289" s="1"/>
      <c r="W289" s="1"/>
    </row>
    <row r="290" spans="1:23" customFormat="1" ht="15" customHeight="1">
      <c r="A290" s="1"/>
      <c r="B290" s="1"/>
      <c r="C290" s="2"/>
      <c r="D290" s="97" t="s">
        <v>105</v>
      </c>
      <c r="E290" s="27"/>
      <c r="F290" s="156"/>
      <c r="G290" s="156"/>
      <c r="H290" s="156"/>
      <c r="I290" s="156"/>
      <c r="J290" s="156"/>
      <c r="K290" s="98"/>
      <c r="L290" s="99"/>
      <c r="M290" s="99"/>
      <c r="N290" s="86"/>
      <c r="O290" s="86"/>
      <c r="P290" s="86"/>
      <c r="Q290" s="86"/>
      <c r="R290" s="27"/>
      <c r="S290" s="27"/>
      <c r="T290" s="27"/>
      <c r="U290" s="27"/>
      <c r="V290" s="27"/>
      <c r="W290" s="27"/>
    </row>
    <row r="291" spans="1:23" customFormat="1" ht="15" customHeight="1">
      <c r="A291" s="1"/>
      <c r="B291" s="1"/>
      <c r="C291" s="2"/>
      <c r="D291" s="85" t="str">
        <f xml:space="preserve"> '2.1 Model setup'!K70</f>
        <v>1.1 Drift og vedligeholdelse af transformerstationer</v>
      </c>
      <c r="E291" s="1"/>
      <c r="F291" s="56"/>
      <c r="G291" s="56"/>
      <c r="H291" s="56"/>
      <c r="I291" s="56"/>
      <c r="J291" s="56"/>
      <c r="K291" s="87" t="s">
        <v>41</v>
      </c>
      <c r="L291" s="85"/>
      <c r="M291" s="161">
        <f xml:space="preserve"> -- ( OR( ( N55 = '2.1 Model setup'!$K$46 ) * ( N291 = '2.1 Model setup'!$K$41 ), ( N55 &lt;&gt; '2.1 Model setup'!$K$46 ) * ( N291 &lt;&gt; '2.1 Model setup'!$K$41 ) ) )</f>
        <v>0</v>
      </c>
      <c r="N291" s="152" t="s">
        <v>5</v>
      </c>
      <c r="O291" s="15"/>
      <c r="P291" s="15"/>
      <c r="Q291" s="15"/>
      <c r="R291" s="15"/>
      <c r="S291" s="15"/>
      <c r="T291" s="15"/>
      <c r="U291" s="15"/>
      <c r="V291" s="15"/>
    </row>
    <row r="292" spans="1:23" customFormat="1" ht="15" customHeight="1">
      <c r="A292" s="1"/>
      <c r="B292" s="1"/>
      <c r="C292" s="2"/>
      <c r="D292" s="85" t="str">
        <f xml:space="preserve"> '2.1 Model setup'!K71</f>
        <v>1.2 Drift og vedligeholdelse af ledningsnet</v>
      </c>
      <c r="E292" s="1"/>
      <c r="K292" s="87" t="s">
        <v>41</v>
      </c>
      <c r="L292" s="85"/>
      <c r="M292" s="161">
        <f xml:space="preserve"> -- ( OR( ( N56 = '2.1 Model setup'!$K$46 ) * ( N292 = '2.1 Model setup'!$K$41 ), ( N56 &lt;&gt; '2.1 Model setup'!$K$46 ) * ( N292 &lt;&gt; '2.1 Model setup'!$K$41 ) ) )</f>
        <v>0</v>
      </c>
      <c r="N292" s="153" t="s">
        <v>5</v>
      </c>
      <c r="O292" s="1"/>
      <c r="P292" s="1"/>
      <c r="Q292" s="1"/>
      <c r="R292" s="1"/>
      <c r="S292" s="1"/>
      <c r="T292" s="1"/>
      <c r="U292" s="1"/>
      <c r="V292" s="1"/>
    </row>
    <row r="293" spans="1:23" customFormat="1" ht="15" customHeight="1">
      <c r="A293" s="1"/>
      <c r="B293" s="1"/>
      <c r="C293" s="2"/>
      <c r="D293" s="85" t="str">
        <f xml:space="preserve"> '2.1 Model setup'!K72</f>
        <v>1.3 Øvrige omkostninger til drift, styring og kontrol af elnettet</v>
      </c>
      <c r="E293" s="1"/>
      <c r="K293" s="87" t="s">
        <v>41</v>
      </c>
      <c r="L293" s="85"/>
      <c r="M293" s="161">
        <f xml:space="preserve"> -- ( OR( ( N57 = '2.1 Model setup'!$K$46 ) * ( N293 = '2.1 Model setup'!$K$41 ), ( N57 &lt;&gt; '2.1 Model setup'!$K$46 ) * ( N293 &lt;&gt; '2.1 Model setup'!$K$41 ) ) )</f>
        <v>0</v>
      </c>
      <c r="N293" s="153" t="s">
        <v>5</v>
      </c>
      <c r="O293" s="1"/>
      <c r="P293" s="1"/>
      <c r="Q293" s="1"/>
      <c r="R293" s="1"/>
      <c r="S293" s="1"/>
      <c r="T293" s="1"/>
      <c r="U293" s="1"/>
      <c r="V293" s="1"/>
    </row>
    <row r="294" spans="1:23" customFormat="1" ht="15" customHeight="1">
      <c r="A294" s="1"/>
      <c r="B294" s="1"/>
      <c r="C294" s="2"/>
      <c r="D294" s="85" t="str">
        <f xml:space="preserve"> '2.1 Model setup'!K73</f>
        <v>1.4 Omkostninger vedrørende 132-150/30-60 kV-stationer</v>
      </c>
      <c r="E294" s="1"/>
      <c r="K294" s="87" t="s">
        <v>41</v>
      </c>
      <c r="L294" s="1"/>
      <c r="M294" s="1"/>
      <c r="N294" s="509"/>
      <c r="O294" s="1"/>
      <c r="P294" s="1"/>
      <c r="Q294" s="1"/>
      <c r="R294" s="1"/>
      <c r="S294" s="1"/>
      <c r="T294" s="1"/>
      <c r="U294" s="1"/>
      <c r="V294" s="1"/>
    </row>
    <row r="295" spans="1:23" customFormat="1" ht="15" customHeight="1">
      <c r="A295" s="1"/>
      <c r="B295" s="1"/>
      <c r="C295" s="2"/>
      <c r="D295" s="85" t="str">
        <f xml:space="preserve"> '2.1 Model setup'!K74</f>
        <v>2.1 Drift og vedligeholdelse af målere</v>
      </c>
      <c r="E295" s="1"/>
      <c r="K295" s="87" t="s">
        <v>41</v>
      </c>
      <c r="L295" s="85"/>
      <c r="M295" s="161">
        <f xml:space="preserve"> -- ( OR( ( N59 = '2.1 Model setup'!$K$46 ) * ( N295 = '2.1 Model setup'!$K$41 ), ( N59 &lt;&gt; '2.1 Model setup'!$K$46 ) * ( N295 &lt;&gt; '2.1 Model setup'!$K$41 ) ) )</f>
        <v>0</v>
      </c>
      <c r="N295" s="153" t="s">
        <v>6</v>
      </c>
      <c r="O295" s="1"/>
      <c r="P295" s="1"/>
      <c r="Q295" s="1"/>
      <c r="R295" s="1"/>
      <c r="S295" s="1"/>
      <c r="T295" s="1"/>
      <c r="U295" s="1"/>
      <c r="V295" s="1"/>
    </row>
    <row r="296" spans="1:23" customFormat="1" ht="15" customHeight="1">
      <c r="A296" s="1"/>
      <c r="B296" s="1"/>
      <c r="C296" s="2"/>
      <c r="D296" s="85" t="str">
        <f xml:space="preserve"> '2.1 Model setup'!K75</f>
        <v>2.2 Indhentning og validering af målerdata</v>
      </c>
      <c r="E296" s="1"/>
      <c r="K296" s="87" t="s">
        <v>41</v>
      </c>
      <c r="L296" s="85"/>
      <c r="M296" s="161">
        <f xml:space="preserve"> -- ( OR( ( N60 = '2.1 Model setup'!$K$46 ) * ( N296 = '2.1 Model setup'!$K$41 ), ( N60 &lt;&gt; '2.1 Model setup'!$K$46 ) * ( N296 &lt;&gt; '2.1 Model setup'!$K$41 ) ) )</f>
        <v>0</v>
      </c>
      <c r="N296" s="153" t="s">
        <v>6</v>
      </c>
      <c r="O296" s="1"/>
      <c r="P296" s="1"/>
      <c r="Q296" s="1"/>
      <c r="R296" s="1"/>
      <c r="S296" s="1"/>
      <c r="T296" s="1"/>
      <c r="U296" s="1"/>
      <c r="V296" s="1"/>
    </row>
    <row r="297" spans="1:23" customFormat="1" ht="15" customHeight="1">
      <c r="A297" s="1"/>
      <c r="B297" s="1"/>
      <c r="C297" s="2"/>
      <c r="D297" s="85" t="str">
        <f xml:space="preserve"> '2.1 Model setup'!K76</f>
        <v>2.3 Måleradministration og kundehåndtering</v>
      </c>
      <c r="E297" s="1"/>
      <c r="K297" s="87" t="s">
        <v>41</v>
      </c>
      <c r="L297" s="85"/>
      <c r="M297" s="161">
        <f xml:space="preserve"> -- ( OR( ( N61 = '2.1 Model setup'!$K$46 ) * ( N297 = '2.1 Model setup'!$K$41 ), ( N61 &lt;&gt; '2.1 Model setup'!$K$46 ) * ( N297 &lt;&gt; '2.1 Model setup'!$K$41 ) ) )</f>
        <v>0</v>
      </c>
      <c r="N297" s="153" t="s">
        <v>6</v>
      </c>
      <c r="O297" s="1"/>
      <c r="P297" s="1"/>
      <c r="Q297" s="1"/>
      <c r="R297" s="1"/>
      <c r="S297" s="1"/>
      <c r="T297" s="1"/>
      <c r="U297" s="1"/>
      <c r="V297" s="1"/>
    </row>
    <row r="298" spans="1:23" customFormat="1" ht="15" customHeight="1">
      <c r="A298" s="1"/>
      <c r="B298" s="1"/>
      <c r="C298" s="2"/>
      <c r="D298" s="85" t="str">
        <f xml:space="preserve"> '2.1 Model setup'!K77</f>
        <v>3.1 Generel administration</v>
      </c>
      <c r="E298" s="1"/>
      <c r="K298" s="87" t="s">
        <v>41</v>
      </c>
      <c r="L298" s="85"/>
      <c r="M298" s="161">
        <f xml:space="preserve"> -- ( OR( ( N62 = '2.1 Model setup'!$K$46 ) * ( N298 = '2.1 Model setup'!$K$41 ), ( N62 &lt;&gt; '2.1 Model setup'!$K$46 ) * ( N298 &lt;&gt; '2.1 Model setup'!$K$41 ) ) )</f>
        <v>0</v>
      </c>
      <c r="N298" s="153" t="s">
        <v>6</v>
      </c>
      <c r="O298" s="1"/>
      <c r="P298" s="1"/>
      <c r="Q298" s="1"/>
      <c r="R298" s="1"/>
      <c r="S298" s="1"/>
      <c r="T298" s="1"/>
      <c r="U298" s="1"/>
      <c r="V298" s="1"/>
    </row>
    <row r="299" spans="1:23" customFormat="1" ht="15" customHeight="1">
      <c r="A299" s="1"/>
      <c r="B299" s="1"/>
      <c r="C299" s="2"/>
      <c r="D299" s="85" t="str">
        <f xml:space="preserve"> '2.1 Model setup'!K78</f>
        <v>4.1 Omkostninger vedrørende nettab i transformerstationer</v>
      </c>
      <c r="E299" s="1"/>
      <c r="K299" s="87" t="s">
        <v>41</v>
      </c>
      <c r="L299" s="85"/>
      <c r="M299" s="161">
        <f xml:space="preserve"> -- ( OR( ( N63 = '2.1 Model setup'!$K$46 ) * ( N299 = '2.1 Model setup'!$K$41 ), ( N63 &lt;&gt; '2.1 Model setup'!$K$46 ) * ( N299 &lt;&gt; '2.1 Model setup'!$K$41 ) ) )</f>
        <v>0</v>
      </c>
      <c r="N299" s="153" t="s">
        <v>5</v>
      </c>
      <c r="O299" s="1"/>
      <c r="P299" s="1"/>
      <c r="Q299" s="1"/>
      <c r="R299" s="1"/>
      <c r="S299" s="1"/>
      <c r="T299" s="1"/>
      <c r="U299" s="1"/>
      <c r="V299" s="1"/>
    </row>
    <row r="300" spans="1:23" customFormat="1" ht="15" customHeight="1">
      <c r="A300" s="1"/>
      <c r="B300" s="1"/>
      <c r="C300" s="2"/>
      <c r="D300" s="85" t="str">
        <f xml:space="preserve"> '2.1 Model setup'!K79</f>
        <v>4.2 Omkostninger vedrørende nettab i ledningsnettet</v>
      </c>
      <c r="E300" s="1"/>
      <c r="K300" s="87" t="s">
        <v>41</v>
      </c>
      <c r="L300" s="85"/>
      <c r="M300" s="161">
        <f xml:space="preserve"> -- ( OR( ( N64 = '2.1 Model setup'!$K$46 ) * ( N300 = '2.1 Model setup'!$K$41 ), ( N64 &lt;&gt; '2.1 Model setup'!$K$46 ) * ( N300 &lt;&gt; '2.1 Model setup'!$K$41 ) ) )</f>
        <v>0</v>
      </c>
      <c r="N300" s="153" t="s">
        <v>5</v>
      </c>
      <c r="O300" s="1"/>
      <c r="P300" s="1"/>
      <c r="Q300" s="1"/>
      <c r="R300" s="1"/>
      <c r="S300" s="1"/>
      <c r="T300" s="1"/>
      <c r="U300" s="1"/>
      <c r="V300" s="1"/>
    </row>
    <row r="301" spans="1:23" customFormat="1" ht="15" customHeight="1">
      <c r="A301" s="1"/>
      <c r="B301" s="1"/>
      <c r="C301" s="2"/>
      <c r="D301" s="85" t="str">
        <f xml:space="preserve"> '2.1 Model setup'!K80</f>
        <v>5.1 Omkostninger til overliggende net ifm. forbrug</v>
      </c>
      <c r="E301" s="1"/>
      <c r="K301" s="87" t="s">
        <v>41</v>
      </c>
      <c r="L301" s="85"/>
      <c r="M301" s="161"/>
      <c r="N301" s="153" t="s">
        <v>6</v>
      </c>
      <c r="O301" s="1"/>
      <c r="P301" s="1"/>
      <c r="Q301" s="1"/>
      <c r="R301" s="1"/>
      <c r="S301" s="1"/>
      <c r="T301" s="1"/>
      <c r="U301" s="1"/>
      <c r="V301" s="1"/>
    </row>
    <row r="302" spans="1:23" customFormat="1" ht="15" customHeight="1">
      <c r="A302" s="1"/>
      <c r="B302" s="1"/>
      <c r="C302" s="2"/>
      <c r="D302" s="85" t="str">
        <f xml:space="preserve"> '2.1 Model setup'!K81</f>
        <v>5.2 Øvrige omkostninger</v>
      </c>
      <c r="E302" s="1"/>
      <c r="K302" s="87" t="s">
        <v>41</v>
      </c>
      <c r="L302" s="85"/>
      <c r="N302" s="257"/>
      <c r="O302" s="1"/>
      <c r="P302" s="1"/>
      <c r="Q302" s="1"/>
      <c r="R302" s="1"/>
      <c r="S302" s="1"/>
      <c r="T302" s="1"/>
      <c r="U302" s="1"/>
      <c r="V302" s="1"/>
    </row>
    <row r="303" spans="1:23" customFormat="1" ht="15" customHeight="1">
      <c r="A303" s="1"/>
      <c r="B303" s="1"/>
      <c r="C303" s="2"/>
      <c r="D303" s="85" t="str">
        <f xml:space="preserve"> '2.1 Model setup'!K82</f>
        <v>6.1 Afskrivninger på transformerstationer</v>
      </c>
      <c r="E303" s="1"/>
      <c r="K303" s="87" t="s">
        <v>41</v>
      </c>
      <c r="L303" s="85"/>
      <c r="M303" s="161">
        <f xml:space="preserve"> -- ( OR( ( N67 = '2.1 Model setup'!$K$46 ) * ( N303 = '2.1 Model setup'!$K$41 ), ( N67 &lt;&gt; '2.1 Model setup'!$K$46 ) * ( N303 &lt;&gt; '2.1 Model setup'!$K$41 ) ) )</f>
        <v>0</v>
      </c>
      <c r="N303" s="153" t="s">
        <v>5</v>
      </c>
      <c r="O303" s="1"/>
      <c r="P303" s="1"/>
      <c r="Q303" s="1"/>
      <c r="R303" s="1"/>
      <c r="S303" s="1"/>
      <c r="T303" s="1"/>
      <c r="U303" s="1"/>
      <c r="V303" s="1"/>
    </row>
    <row r="304" spans="1:23" customFormat="1" ht="15" customHeight="1">
      <c r="A304" s="1"/>
      <c r="B304" s="1"/>
      <c r="C304" s="2"/>
      <c r="D304" s="85" t="str">
        <f xml:space="preserve"> '2.1 Model setup'!K83</f>
        <v>6.2 Afskrivninger på netaktiver ekskl. målere og transformerstationer</v>
      </c>
      <c r="E304" s="1"/>
      <c r="K304" s="87" t="s">
        <v>41</v>
      </c>
      <c r="L304" s="85"/>
      <c r="M304" s="161">
        <f xml:space="preserve"> -- ( OR( ( N68 = '2.1 Model setup'!$K$46 ) * ( N304 = '2.1 Model setup'!$K$41 ), ( N68 &lt;&gt; '2.1 Model setup'!$K$46 ) * ( N304 &lt;&gt; '2.1 Model setup'!$K$41 ) ) )</f>
        <v>0</v>
      </c>
      <c r="N304" s="153" t="s">
        <v>5</v>
      </c>
      <c r="O304" s="1"/>
      <c r="P304" s="1"/>
      <c r="Q304" s="1"/>
      <c r="R304" s="1"/>
      <c r="S304" s="1"/>
      <c r="T304" s="1"/>
      <c r="U304" s="1"/>
      <c r="V304" s="1"/>
    </row>
    <row r="305" spans="1:23" customFormat="1" ht="15" customHeight="1">
      <c r="A305" s="1"/>
      <c r="B305" s="1"/>
      <c r="C305" s="2"/>
      <c r="D305" s="85" t="str">
        <f xml:space="preserve"> '2.1 Model setup'!K84</f>
        <v>6.3 Afskrivninger på målere</v>
      </c>
      <c r="E305" s="1"/>
      <c r="K305" s="87" t="s">
        <v>41</v>
      </c>
      <c r="L305" s="85"/>
      <c r="M305" s="161">
        <f xml:space="preserve"> -- ( OR( ( N69 = '2.1 Model setup'!$K$46 ) * ( N305 = '2.1 Model setup'!$K$41 ), ( N69 &lt;&gt; '2.1 Model setup'!$K$46 ) * ( N305 &lt;&gt; '2.1 Model setup'!$K$41 ) ) )</f>
        <v>0</v>
      </c>
      <c r="N305" s="153" t="s">
        <v>6</v>
      </c>
      <c r="O305" s="1"/>
      <c r="P305" s="1"/>
      <c r="Q305" s="1"/>
      <c r="R305" s="1"/>
      <c r="S305" s="1"/>
      <c r="T305" s="1"/>
      <c r="U305" s="1"/>
      <c r="V305" s="1"/>
    </row>
    <row r="306" spans="1:23" customFormat="1" ht="15" customHeight="1">
      <c r="A306" s="1"/>
      <c r="B306" s="1"/>
      <c r="C306" s="2"/>
      <c r="D306" s="85" t="str">
        <f xml:space="preserve"> '2.1 Model setup'!K85</f>
        <v>7.1 Transformerstationer (forrentning)</v>
      </c>
      <c r="E306" s="1"/>
      <c r="K306" s="87" t="s">
        <v>41</v>
      </c>
      <c r="L306" s="85"/>
      <c r="M306" s="161">
        <f xml:space="preserve"> -- ( OR( ( N70 = '2.1 Model setup'!$K$46 ) * ( N306 = '2.1 Model setup'!$K$41 ), ( N70 &lt;&gt; '2.1 Model setup'!$K$46 ) * ( N306 &lt;&gt; '2.1 Model setup'!$K$41 ) ) )</f>
        <v>0</v>
      </c>
      <c r="N306" s="153" t="s">
        <v>5</v>
      </c>
      <c r="O306" s="1"/>
      <c r="P306" s="1"/>
      <c r="Q306" s="1"/>
      <c r="R306" s="1"/>
      <c r="S306" s="1"/>
      <c r="T306" s="1"/>
      <c r="U306" s="1"/>
      <c r="V306" s="1"/>
    </row>
    <row r="307" spans="1:23" customFormat="1" ht="15" customHeight="1">
      <c r="A307" s="1"/>
      <c r="B307" s="1"/>
      <c r="C307" s="2"/>
      <c r="D307" s="85" t="str">
        <f xml:space="preserve"> '2.1 Model setup'!K86</f>
        <v>7.2 Netaktiver ekskl. målere og transformerstationer (forrentning)</v>
      </c>
      <c r="E307" s="1"/>
      <c r="K307" s="87" t="s">
        <v>41</v>
      </c>
      <c r="L307" s="85"/>
      <c r="M307" s="161">
        <f xml:space="preserve"> -- ( OR( ( N71 = '2.1 Model setup'!$K$46 ) * ( N307 = '2.1 Model setup'!$K$41 ), ( N71 &lt;&gt; '2.1 Model setup'!$K$46 ) * ( N307 &lt;&gt; '2.1 Model setup'!$K$41 ) ) )</f>
        <v>0</v>
      </c>
      <c r="N307" s="153" t="s">
        <v>5</v>
      </c>
      <c r="O307" s="1"/>
      <c r="P307" s="1"/>
      <c r="Q307" s="1"/>
      <c r="R307" s="1"/>
      <c r="S307" s="1"/>
      <c r="T307" s="1"/>
      <c r="U307" s="1"/>
      <c r="V307" s="1"/>
    </row>
    <row r="308" spans="1:23" customFormat="1" ht="15" customHeight="1">
      <c r="A308" s="1"/>
      <c r="B308" s="1"/>
      <c r="C308" s="2"/>
      <c r="D308" s="99" t="str">
        <f xml:space="preserve"> '2.1 Model setup'!K87</f>
        <v>7.3 Målere (forrentning)</v>
      </c>
      <c r="E308" s="27"/>
      <c r="F308" s="60"/>
      <c r="G308" s="60"/>
      <c r="H308" s="60"/>
      <c r="I308" s="60"/>
      <c r="J308" s="60"/>
      <c r="K308" s="98" t="s">
        <v>41</v>
      </c>
      <c r="L308" s="99"/>
      <c r="M308" s="216">
        <f xml:space="preserve"> -- ( OR( ( N72 = '2.1 Model setup'!$K$46 ) * ( N308 = '2.1 Model setup'!$K$41 ), ( N72 &lt;&gt; '2.1 Model setup'!$K$46 ) * ( N308 &lt;&gt; '2.1 Model setup'!$K$41 ) ) )</f>
        <v>0</v>
      </c>
      <c r="N308" s="154" t="s">
        <v>6</v>
      </c>
      <c r="O308" s="278"/>
      <c r="P308" s="27"/>
      <c r="Q308" s="27"/>
      <c r="R308" s="27"/>
      <c r="S308" s="27"/>
      <c r="T308" s="27"/>
      <c r="U308" s="27"/>
      <c r="V308" s="27"/>
      <c r="W308" s="60"/>
    </row>
    <row r="309" spans="1:23" customFormat="1" ht="15" customHeight="1">
      <c r="A309" s="1"/>
      <c r="B309" s="1"/>
      <c r="C309" s="2"/>
      <c r="D309" s="85"/>
      <c r="E309" s="1"/>
      <c r="F309" s="86"/>
      <c r="G309" s="86"/>
      <c r="H309" s="86"/>
      <c r="I309" s="86"/>
      <c r="J309" s="86"/>
      <c r="K309" s="87"/>
      <c r="L309" s="85"/>
      <c r="M309" s="85"/>
      <c r="N309" s="86"/>
      <c r="O309" s="86"/>
      <c r="P309" s="86"/>
      <c r="Q309" s="86"/>
      <c r="R309" s="1"/>
      <c r="S309" s="1"/>
      <c r="T309" s="1"/>
      <c r="U309" s="1"/>
      <c r="V309" s="1"/>
      <c r="W309" s="1"/>
    </row>
    <row r="310" spans="1:23" customFormat="1" ht="15" customHeight="1">
      <c r="A310" s="1"/>
      <c r="B310" s="1"/>
      <c r="C310" s="2"/>
      <c r="D310" s="88" t="s">
        <v>111</v>
      </c>
      <c r="E310" s="1"/>
      <c r="F310" s="86"/>
      <c r="G310" s="86"/>
      <c r="H310" s="86"/>
      <c r="I310" s="86"/>
      <c r="J310" s="86"/>
      <c r="K310" s="87"/>
      <c r="L310" s="85"/>
      <c r="M310" s="85"/>
      <c r="N310" s="86"/>
      <c r="O310" s="86"/>
      <c r="P310" s="86"/>
      <c r="Q310" s="86"/>
      <c r="R310" s="1"/>
      <c r="S310" s="1"/>
      <c r="T310" s="1"/>
      <c r="U310" s="1"/>
      <c r="V310" s="1"/>
      <c r="W310" s="1"/>
    </row>
    <row r="311" spans="1:23" customFormat="1" ht="15" customHeight="1">
      <c r="A311" s="1"/>
      <c r="B311" s="1"/>
      <c r="C311" s="2"/>
      <c r="D311" s="123" t="s">
        <v>112</v>
      </c>
      <c r="E311" s="15"/>
      <c r="F311" s="155"/>
      <c r="G311" s="155"/>
      <c r="H311" s="155"/>
      <c r="I311" s="155"/>
      <c r="J311" s="155"/>
      <c r="K311" s="117" t="s">
        <v>116</v>
      </c>
      <c r="L311" s="123">
        <f xml:space="preserve"> -- ( COUNTIF( R311:V311, "&lt;0" ) &gt; 0 ) + -- ( COUNTIF( R311:V311, "*" ) &gt; 0 )</f>
        <v>0</v>
      </c>
      <c r="M311" s="142">
        <f xml:space="preserve"> -- ( OR( COUNTIF( R311:V311,  "=0" ) &gt; 0, COUNTIF( R311:V311,  "" ) &gt; 0 ) )</f>
        <v>0</v>
      </c>
      <c r="N311" s="155"/>
      <c r="O311" s="155"/>
      <c r="P311" s="155"/>
      <c r="Q311" s="155"/>
      <c r="R311" s="297">
        <v>1</v>
      </c>
      <c r="S311" s="590">
        <v>1</v>
      </c>
      <c r="T311" s="590">
        <v>1</v>
      </c>
      <c r="U311" s="590">
        <v>1</v>
      </c>
      <c r="V311" s="590">
        <v>1</v>
      </c>
      <c r="W311" s="15"/>
    </row>
    <row r="312" spans="1:23" customFormat="1" ht="15" customHeight="1">
      <c r="A312" s="1"/>
      <c r="B312" s="1"/>
      <c r="C312" s="2"/>
      <c r="D312" s="85" t="s">
        <v>113</v>
      </c>
      <c r="E312" s="1"/>
      <c r="F312" s="86"/>
      <c r="G312" s="86"/>
      <c r="H312" s="86"/>
      <c r="I312" s="86"/>
      <c r="J312" s="86"/>
      <c r="K312" s="87" t="s">
        <v>116</v>
      </c>
      <c r="L312" s="85">
        <f xml:space="preserve"> -- ( COUNTIF( R312:V312, "&lt;0" ) &gt; 0 ) + -- ( COUNTIF( R312:V312, "*" ) &gt; 0 )</f>
        <v>0</v>
      </c>
      <c r="M312" s="119">
        <f xml:space="preserve"> -- ( OR( COUNTIF( S312:V312,  "=0" ) &gt; 0, COUNTIF( S312:V312,  "" ) &gt; 0 ) )</f>
        <v>0</v>
      </c>
      <c r="N312" s="86"/>
      <c r="O312" s="86"/>
      <c r="P312" s="86"/>
      <c r="Q312" s="86"/>
      <c r="R312" s="1"/>
      <c r="S312" s="300">
        <v>1</v>
      </c>
      <c r="T312" s="581">
        <v>1</v>
      </c>
      <c r="U312" s="591">
        <v>1</v>
      </c>
      <c r="V312" s="591">
        <v>1</v>
      </c>
      <c r="W312" s="1"/>
    </row>
    <row r="313" spans="1:23" customFormat="1" ht="15" customHeight="1">
      <c r="A313" s="1"/>
      <c r="B313" s="1"/>
      <c r="C313" s="2"/>
      <c r="D313" s="85" t="s">
        <v>114</v>
      </c>
      <c r="E313" s="1"/>
      <c r="F313" s="86"/>
      <c r="G313" s="86"/>
      <c r="H313" s="86"/>
      <c r="I313" s="86"/>
      <c r="J313" s="86"/>
      <c r="K313" s="87" t="s">
        <v>116</v>
      </c>
      <c r="L313" s="85">
        <f xml:space="preserve"> -- ( COUNTIF( R313:V313, "&lt;0" ) &gt; 0 ) + -- ( COUNTIF( R313:V313, "*" ) &gt; 0 )</f>
        <v>0</v>
      </c>
      <c r="M313" s="119">
        <f xml:space="preserve"> -- ( OR( COUNTIF( T313:V313,  "=0" ) &gt; 0, COUNTIF( T313:V313,  "" ) &gt; 0 ) )</f>
        <v>0</v>
      </c>
      <c r="N313" s="86"/>
      <c r="O313" s="86"/>
      <c r="P313" s="86"/>
      <c r="Q313" s="86"/>
      <c r="R313" s="1"/>
      <c r="S313" s="1"/>
      <c r="T313" s="300">
        <v>1</v>
      </c>
      <c r="U313" s="581">
        <v>1</v>
      </c>
      <c r="V313" s="591">
        <v>1</v>
      </c>
      <c r="W313" s="1"/>
    </row>
    <row r="314" spans="1:23" customFormat="1" ht="15" customHeight="1">
      <c r="A314" s="1"/>
      <c r="B314" s="1"/>
      <c r="C314" s="2"/>
      <c r="D314" s="99" t="s">
        <v>115</v>
      </c>
      <c r="E314" s="27"/>
      <c r="F314" s="156"/>
      <c r="G314" s="156"/>
      <c r="H314" s="156"/>
      <c r="I314" s="156"/>
      <c r="J314" s="156"/>
      <c r="K314" s="98" t="s">
        <v>116</v>
      </c>
      <c r="L314" s="99">
        <f xml:space="preserve"> -- ( COUNTIF( R314:V314, "&lt;0" ) &gt; 0 ) + -- ( COUNTIF( R314:V314, "*" ) &gt; 0 )</f>
        <v>0</v>
      </c>
      <c r="M314" s="151">
        <f xml:space="preserve"> -- ( OR( COUNTIF( U314:V314,  "=0" ) &gt; 0, COUNTIF( U314:V314,  "" ) &gt; 0 ) )</f>
        <v>0</v>
      </c>
      <c r="N314" s="156"/>
      <c r="O314" s="156"/>
      <c r="P314" s="156"/>
      <c r="Q314" s="156"/>
      <c r="R314" s="27"/>
      <c r="S314" s="27"/>
      <c r="T314" s="27"/>
      <c r="U314" s="301">
        <v>1</v>
      </c>
      <c r="V314" s="301">
        <v>1</v>
      </c>
      <c r="W314" s="27"/>
    </row>
    <row r="315" spans="1:23" customFormat="1" ht="15" customHeight="1">
      <c r="A315" s="1"/>
      <c r="B315" s="1"/>
      <c r="C315" s="2"/>
      <c r="D315" s="85"/>
      <c r="E315" s="1"/>
      <c r="F315" s="86"/>
      <c r="G315" s="86"/>
      <c r="H315" s="86"/>
      <c r="I315" s="86"/>
      <c r="J315" s="86"/>
      <c r="K315" s="87"/>
      <c r="L315" s="85"/>
      <c r="M315" s="85"/>
      <c r="N315" s="86"/>
      <c r="O315" s="86"/>
      <c r="P315" s="86"/>
      <c r="Q315" s="86"/>
      <c r="R315" s="1"/>
      <c r="S315" s="1"/>
      <c r="T315" s="1"/>
      <c r="U315" s="1"/>
      <c r="V315" s="1"/>
      <c r="W315" s="1"/>
    </row>
    <row r="316" spans="1:23" customFormat="1" ht="15" customHeight="1">
      <c r="A316" s="1"/>
      <c r="B316" s="1"/>
      <c r="C316" s="2"/>
      <c r="D316" s="85"/>
      <c r="E316" s="1"/>
      <c r="F316" s="86"/>
      <c r="G316" s="86"/>
      <c r="H316" s="86"/>
      <c r="I316" s="86"/>
      <c r="J316" s="86"/>
      <c r="K316" s="87"/>
      <c r="L316" s="85"/>
      <c r="M316" s="85"/>
      <c r="N316" s="86"/>
      <c r="O316" s="86"/>
      <c r="P316" s="86"/>
      <c r="Q316" s="86"/>
      <c r="R316" s="1"/>
      <c r="S316" s="1"/>
      <c r="T316" s="1"/>
      <c r="U316" s="1"/>
      <c r="V316" s="1"/>
      <c r="W316" s="1"/>
    </row>
    <row r="317" spans="1:23" customFormat="1" ht="15" customHeight="1">
      <c r="A317" s="1"/>
      <c r="B317" s="1"/>
      <c r="C317" s="2"/>
      <c r="D317" s="85"/>
      <c r="E317" s="1"/>
      <c r="F317" s="86"/>
      <c r="G317" s="86"/>
      <c r="H317" s="86"/>
      <c r="I317" s="86"/>
      <c r="J317" s="86"/>
      <c r="K317" s="87"/>
      <c r="L317" s="85"/>
      <c r="M317" s="85"/>
      <c r="N317" s="86"/>
      <c r="O317" s="86"/>
      <c r="P317" s="86"/>
      <c r="Q317" s="86"/>
      <c r="R317" s="1"/>
      <c r="S317" s="1"/>
      <c r="T317" s="1"/>
      <c r="U317" s="1"/>
      <c r="V317" s="1"/>
      <c r="W317" s="1"/>
    </row>
    <row r="318" spans="1:23" s="475" customFormat="1" ht="15" customHeight="1">
      <c r="B318" s="479" t="str">
        <f xml:space="preserve"> COUNTA(B$10:B315) &amp; ") Vandfald for indfødning"</f>
        <v>10) Vandfald for indfødning</v>
      </c>
      <c r="C318" s="477"/>
      <c r="D318" s="478"/>
      <c r="K318" s="472"/>
    </row>
    <row r="319" spans="1:23" customFormat="1" ht="15" customHeight="1">
      <c r="A319" s="1"/>
      <c r="B319" s="1"/>
      <c r="C319" s="2"/>
      <c r="D319" s="85"/>
      <c r="E319" s="1"/>
      <c r="F319" s="86"/>
      <c r="G319" s="86"/>
      <c r="H319" s="86"/>
      <c r="I319" s="86"/>
      <c r="J319" s="86"/>
      <c r="K319" s="87"/>
      <c r="L319" s="85"/>
      <c r="M319" s="85"/>
      <c r="N319" s="86"/>
      <c r="O319" s="86"/>
      <c r="P319" s="86"/>
      <c r="Q319" s="86"/>
      <c r="R319" s="1"/>
      <c r="S319" s="1"/>
      <c r="T319" s="1"/>
      <c r="U319" s="1"/>
      <c r="V319" s="1"/>
      <c r="W319" s="1"/>
    </row>
    <row r="320" spans="1:23" customFormat="1" ht="15" customHeight="1">
      <c r="A320" s="1"/>
      <c r="B320" s="1"/>
      <c r="C320" s="2"/>
      <c r="D320" s="88" t="s">
        <v>587</v>
      </c>
      <c r="E320" s="1"/>
      <c r="F320" s="86"/>
      <c r="G320" s="86"/>
      <c r="H320" s="86"/>
      <c r="I320" s="86"/>
      <c r="J320" s="86"/>
      <c r="K320" s="87"/>
      <c r="L320" s="85"/>
      <c r="M320" s="85"/>
      <c r="N320" s="86"/>
      <c r="O320" s="86"/>
      <c r="P320" s="86"/>
      <c r="Q320" s="86"/>
      <c r="R320" s="1"/>
      <c r="S320" s="1"/>
      <c r="T320" s="1"/>
      <c r="U320" s="1"/>
      <c r="V320" s="1"/>
      <c r="W320" s="1"/>
    </row>
    <row r="321" spans="1:23" customFormat="1" ht="15" customHeight="1">
      <c r="A321" s="1"/>
      <c r="B321" s="1"/>
      <c r="C321" s="2"/>
      <c r="D321" s="123" t="str">
        <f>'2.1 Model setup'!K70</f>
        <v>1.1 Drift og vedligeholdelse af transformerstationer</v>
      </c>
      <c r="E321" s="15"/>
      <c r="F321" s="56"/>
      <c r="G321" s="56"/>
      <c r="H321" s="56"/>
      <c r="I321" s="56"/>
      <c r="J321" s="56"/>
      <c r="K321" s="117" t="s">
        <v>41</v>
      </c>
      <c r="L321" s="123"/>
      <c r="M321" s="142"/>
      <c r="N321" s="152" t="s">
        <v>5</v>
      </c>
      <c r="O321" s="15"/>
      <c r="P321" s="15"/>
      <c r="Q321" s="15"/>
      <c r="R321" s="15"/>
      <c r="S321" s="15"/>
      <c r="T321" s="15"/>
      <c r="U321" s="15"/>
      <c r="V321" s="15"/>
      <c r="W321" s="56"/>
    </row>
    <row r="322" spans="1:23" customFormat="1" ht="15" customHeight="1">
      <c r="A322" s="1"/>
      <c r="B322" s="1"/>
      <c r="C322" s="2"/>
      <c r="D322" s="85" t="str">
        <f>'2.1 Model setup'!K71</f>
        <v>1.2 Drift og vedligeholdelse af ledningsnet</v>
      </c>
      <c r="E322" s="1"/>
      <c r="K322" s="87" t="s">
        <v>41</v>
      </c>
      <c r="L322" s="85"/>
      <c r="M322" s="119"/>
      <c r="N322" s="153" t="s">
        <v>5</v>
      </c>
      <c r="O322" s="1"/>
      <c r="P322" s="1"/>
      <c r="Q322" s="1"/>
      <c r="R322" s="1"/>
      <c r="S322" s="1"/>
      <c r="T322" s="1"/>
      <c r="U322" s="1"/>
      <c r="V322" s="1"/>
    </row>
    <row r="323" spans="1:23" customFormat="1" ht="15" customHeight="1">
      <c r="A323" s="1"/>
      <c r="B323" s="1"/>
      <c r="C323" s="2"/>
      <c r="D323" s="85" t="str">
        <f>'2.1 Model setup'!K72</f>
        <v>1.3 Øvrige omkostninger til drift, styring og kontrol af elnettet</v>
      </c>
      <c r="E323" s="1"/>
      <c r="K323" s="87" t="s">
        <v>41</v>
      </c>
      <c r="L323" s="85"/>
      <c r="M323" s="119"/>
      <c r="N323" s="257"/>
      <c r="O323" s="1"/>
      <c r="P323" s="1"/>
      <c r="Q323" s="1"/>
      <c r="R323" s="1"/>
      <c r="S323" s="1"/>
      <c r="T323" s="1"/>
      <c r="U323" s="1"/>
      <c r="V323" s="1"/>
    </row>
    <row r="324" spans="1:23" customFormat="1" ht="15" customHeight="1">
      <c r="A324" s="1"/>
      <c r="B324" s="1"/>
      <c r="C324" s="2"/>
      <c r="D324" s="85" t="str">
        <f>'2.1 Model setup'!K73</f>
        <v>1.4 Omkostninger vedrørende 132-150/30-60 kV-stationer</v>
      </c>
      <c r="E324" s="1"/>
      <c r="K324" s="87" t="s">
        <v>41</v>
      </c>
      <c r="L324" s="85"/>
      <c r="M324" s="119"/>
      <c r="N324" s="153" t="s">
        <v>6</v>
      </c>
      <c r="O324" s="1"/>
      <c r="P324" s="1"/>
      <c r="Q324" s="1"/>
      <c r="R324" s="1"/>
      <c r="S324" s="1"/>
      <c r="T324" s="1"/>
      <c r="U324" s="1"/>
      <c r="V324" s="1"/>
    </row>
    <row r="325" spans="1:23" customFormat="1" ht="15" customHeight="1">
      <c r="A325" s="1"/>
      <c r="B325" s="1"/>
      <c r="C325" s="2"/>
      <c r="D325" s="85" t="str">
        <f>'2.1 Model setup'!K74</f>
        <v>2.1 Drift og vedligeholdelse af målere</v>
      </c>
      <c r="E325" s="1"/>
      <c r="K325" s="87" t="s">
        <v>41</v>
      </c>
      <c r="L325" s="85"/>
      <c r="M325" s="119"/>
      <c r="N325" s="257"/>
      <c r="O325" s="1"/>
      <c r="P325" s="1"/>
      <c r="Q325" s="1"/>
      <c r="R325" s="1"/>
      <c r="S325" s="1"/>
      <c r="T325" s="1"/>
      <c r="U325" s="1"/>
      <c r="V325" s="1"/>
    </row>
    <row r="326" spans="1:23" customFormat="1" ht="15" customHeight="1">
      <c r="A326" s="1"/>
      <c r="B326" s="1"/>
      <c r="C326" s="2"/>
      <c r="D326" s="85" t="str">
        <f>'2.1 Model setup'!K75</f>
        <v>2.2 Indhentning og validering af målerdata</v>
      </c>
      <c r="E326" s="1"/>
      <c r="K326" s="87" t="s">
        <v>41</v>
      </c>
      <c r="L326" s="85"/>
      <c r="M326" s="119"/>
      <c r="N326" s="257"/>
      <c r="O326" s="1"/>
      <c r="P326" s="1"/>
      <c r="Q326" s="1"/>
      <c r="R326" s="1"/>
      <c r="S326" s="1"/>
      <c r="T326" s="1"/>
      <c r="U326" s="1"/>
      <c r="V326" s="1"/>
    </row>
    <row r="327" spans="1:23" customFormat="1" ht="15" customHeight="1">
      <c r="A327" s="1"/>
      <c r="B327" s="1"/>
      <c r="C327" s="2"/>
      <c r="D327" s="85" t="str">
        <f>'2.1 Model setup'!K76</f>
        <v>2.3 Måleradministration og kundehåndtering</v>
      </c>
      <c r="E327" s="1"/>
      <c r="K327" s="87" t="s">
        <v>41</v>
      </c>
      <c r="L327" s="85"/>
      <c r="M327" s="119"/>
      <c r="N327" s="257"/>
      <c r="O327" s="1"/>
      <c r="P327" s="1"/>
      <c r="Q327" s="1"/>
      <c r="R327" s="1"/>
      <c r="S327" s="1"/>
      <c r="T327" s="1"/>
      <c r="U327" s="1"/>
      <c r="V327" s="1"/>
    </row>
    <row r="328" spans="1:23" customFormat="1" ht="15" customHeight="1">
      <c r="A328" s="1"/>
      <c r="B328" s="1"/>
      <c r="C328" s="2"/>
      <c r="D328" s="85" t="str">
        <f>'2.1 Model setup'!K77</f>
        <v>3.1 Generel administration</v>
      </c>
      <c r="E328" s="1"/>
      <c r="K328" s="87" t="s">
        <v>41</v>
      </c>
      <c r="L328" s="85"/>
      <c r="M328" s="119"/>
      <c r="N328" s="257"/>
      <c r="O328" s="1"/>
      <c r="P328" s="1"/>
      <c r="Q328" s="1"/>
      <c r="R328" s="1"/>
      <c r="S328" s="1"/>
      <c r="T328" s="1"/>
      <c r="U328" s="1"/>
      <c r="V328" s="1"/>
    </row>
    <row r="329" spans="1:23" customFormat="1" ht="15" customHeight="1">
      <c r="A329" s="1"/>
      <c r="B329" s="1"/>
      <c r="C329" s="2"/>
      <c r="D329" s="85" t="str">
        <f>'2.1 Model setup'!K78</f>
        <v>4.1 Omkostninger vedrørende nettab i transformerstationer</v>
      </c>
      <c r="E329" s="1"/>
      <c r="K329" s="87" t="s">
        <v>41</v>
      </c>
      <c r="L329" s="85"/>
      <c r="M329" s="119"/>
      <c r="N329" s="153" t="s">
        <v>5</v>
      </c>
      <c r="O329" s="1"/>
      <c r="P329" s="1"/>
      <c r="Q329" s="1"/>
      <c r="R329" s="1"/>
      <c r="S329" s="1"/>
      <c r="T329" s="1"/>
      <c r="U329" s="1"/>
      <c r="V329" s="1"/>
    </row>
    <row r="330" spans="1:23" customFormat="1" ht="15" customHeight="1">
      <c r="A330" s="1"/>
      <c r="B330" s="1"/>
      <c r="C330" s="2"/>
      <c r="D330" s="85" t="str">
        <f>'2.1 Model setup'!K79</f>
        <v>4.2 Omkostninger vedrørende nettab i ledningsnettet</v>
      </c>
      <c r="E330" s="1"/>
      <c r="K330" s="87" t="s">
        <v>41</v>
      </c>
      <c r="L330" s="85"/>
      <c r="M330" s="119"/>
      <c r="N330" s="153" t="s">
        <v>5</v>
      </c>
      <c r="O330" s="1"/>
      <c r="P330" s="1"/>
      <c r="Q330" s="1"/>
      <c r="R330" s="1"/>
      <c r="S330" s="1"/>
      <c r="T330" s="1"/>
      <c r="U330" s="1"/>
      <c r="V330" s="1"/>
    </row>
    <row r="331" spans="1:23" customFormat="1" ht="15" customHeight="1">
      <c r="A331" s="1"/>
      <c r="B331" s="1"/>
      <c r="C331" s="2"/>
      <c r="D331" s="85" t="str">
        <f>'2.1 Model setup'!K88</f>
        <v>5.1 Omkostninger til overliggende net ifm. indfødning</v>
      </c>
      <c r="E331" s="1"/>
      <c r="K331" s="87" t="s">
        <v>41</v>
      </c>
      <c r="L331" s="85"/>
      <c r="M331" s="119"/>
      <c r="N331" s="153" t="s">
        <v>6</v>
      </c>
      <c r="O331" s="1"/>
      <c r="P331" s="1"/>
      <c r="Q331" s="1"/>
      <c r="R331" s="1"/>
      <c r="S331" s="1"/>
      <c r="T331" s="1"/>
      <c r="U331" s="1"/>
      <c r="V331" s="1"/>
    </row>
    <row r="332" spans="1:23" customFormat="1" ht="15" customHeight="1">
      <c r="A332" s="1"/>
      <c r="B332" s="1"/>
      <c r="C332" s="2"/>
      <c r="D332" s="85" t="str">
        <f>'2.1 Model setup'!K81</f>
        <v>5.2 Øvrige omkostninger</v>
      </c>
      <c r="E332" s="1"/>
      <c r="K332" s="87" t="s">
        <v>41</v>
      </c>
      <c r="L332" s="85"/>
      <c r="M332" s="119"/>
      <c r="N332" s="257"/>
      <c r="O332" s="1"/>
      <c r="P332" s="1"/>
      <c r="Q332" s="1"/>
      <c r="R332" s="1"/>
      <c r="S332" s="1"/>
      <c r="T332" s="1"/>
      <c r="U332" s="1"/>
      <c r="V332" s="1"/>
    </row>
    <row r="333" spans="1:23" customFormat="1" ht="15" customHeight="1">
      <c r="A333" s="1"/>
      <c r="B333" s="1"/>
      <c r="C333" s="2"/>
      <c r="D333" s="85" t="str">
        <f>'2.1 Model setup'!K82</f>
        <v>6.1 Afskrivninger på transformerstationer</v>
      </c>
      <c r="E333" s="1"/>
      <c r="K333" s="87" t="s">
        <v>41</v>
      </c>
      <c r="L333" s="85"/>
      <c r="M333" s="119"/>
      <c r="N333" s="257"/>
      <c r="O333" s="1"/>
      <c r="P333" s="1"/>
      <c r="Q333" s="1"/>
      <c r="R333" s="1"/>
      <c r="S333" s="1"/>
      <c r="T333" s="1"/>
      <c r="U333" s="1"/>
      <c r="V333" s="1"/>
    </row>
    <row r="334" spans="1:23" customFormat="1" ht="15" customHeight="1">
      <c r="A334" s="1"/>
      <c r="B334" s="1"/>
      <c r="C334" s="2"/>
      <c r="D334" s="85" t="str">
        <f>'2.1 Model setup'!K83</f>
        <v>6.2 Afskrivninger på netaktiver ekskl. målere og transformerstationer</v>
      </c>
      <c r="E334" s="1"/>
      <c r="K334" s="87" t="s">
        <v>41</v>
      </c>
      <c r="L334" s="85"/>
      <c r="M334" s="119"/>
      <c r="N334" s="257"/>
      <c r="O334" s="1"/>
      <c r="P334" s="1"/>
      <c r="Q334" s="1"/>
      <c r="R334" s="1"/>
      <c r="S334" s="1"/>
      <c r="T334" s="1"/>
      <c r="U334" s="1"/>
      <c r="V334" s="1"/>
    </row>
    <row r="335" spans="1:23" customFormat="1" ht="15" customHeight="1">
      <c r="A335" s="1"/>
      <c r="B335" s="1"/>
      <c r="C335" s="2"/>
      <c r="D335" s="99" t="str">
        <f>'2.1 Model setup'!K84</f>
        <v>6.3 Afskrivninger på målere</v>
      </c>
      <c r="E335" s="27"/>
      <c r="F335" s="60"/>
      <c r="G335" s="60"/>
      <c r="H335" s="60"/>
      <c r="I335" s="60"/>
      <c r="J335" s="60"/>
      <c r="K335" s="98" t="s">
        <v>41</v>
      </c>
      <c r="L335" s="99"/>
      <c r="M335" s="151"/>
      <c r="N335" s="273"/>
      <c r="O335" s="27"/>
      <c r="P335" s="27"/>
      <c r="Q335" s="27"/>
      <c r="R335" s="27"/>
      <c r="S335" s="27"/>
      <c r="T335" s="27"/>
      <c r="U335" s="27"/>
      <c r="V335" s="27"/>
      <c r="W335" s="60"/>
    </row>
    <row r="336" spans="1:23" customFormat="1" ht="15" customHeight="1">
      <c r="A336" s="1"/>
      <c r="B336" s="1"/>
      <c r="C336" s="2"/>
      <c r="D336" s="85"/>
      <c r="E336" s="1"/>
      <c r="K336" s="87"/>
      <c r="L336" s="85"/>
      <c r="M336" s="119"/>
      <c r="N336" s="119"/>
      <c r="O336" s="119"/>
      <c r="P336" s="1"/>
      <c r="Q336" s="1"/>
      <c r="R336" s="1"/>
      <c r="S336" s="1"/>
      <c r="T336" s="1"/>
      <c r="U336" s="1"/>
      <c r="V336" s="1"/>
    </row>
    <row r="337" spans="1:23" customFormat="1" ht="15" customHeight="1">
      <c r="A337" s="1"/>
      <c r="B337" s="1"/>
      <c r="C337" s="2"/>
      <c r="D337" s="88" t="s">
        <v>624</v>
      </c>
      <c r="E337" s="1"/>
      <c r="F337" s="86"/>
      <c r="G337" s="86"/>
      <c r="H337" s="86"/>
      <c r="I337" s="86"/>
      <c r="J337" s="86"/>
      <c r="K337" s="87"/>
      <c r="L337" s="85"/>
      <c r="M337" s="85"/>
      <c r="N337" s="86"/>
      <c r="O337" s="86"/>
      <c r="P337" s="86"/>
      <c r="Q337" s="86"/>
      <c r="R337" s="1"/>
      <c r="S337" s="1"/>
      <c r="T337" s="1"/>
      <c r="U337" s="1"/>
      <c r="V337" s="1"/>
      <c r="W337" s="1"/>
    </row>
    <row r="338" spans="1:23" customFormat="1" ht="15" customHeight="1">
      <c r="A338" s="1"/>
      <c r="B338" s="1"/>
      <c r="C338" s="2"/>
      <c r="D338" s="123" t="s">
        <v>560</v>
      </c>
      <c r="E338" s="15"/>
      <c r="F338" s="155"/>
      <c r="G338" s="155"/>
      <c r="H338" s="155"/>
      <c r="I338" s="155"/>
      <c r="J338" s="155"/>
      <c r="K338" s="117" t="s">
        <v>116</v>
      </c>
      <c r="L338" s="123">
        <f xml:space="preserve"> -- ( OR( -- ( OR( COUNTIF( O338:P338,  "=0" ) &gt; 0, COUNTIF( O338:P338,  "" ) &gt; 0 ) ) &gt; 0, -- ( OR( COUNTIF( R338:V338,  "=0" ) &gt; 0, COUNTIF( R338:V338,  "" ) &gt; 0 ) ) &gt; 0 ) )</f>
        <v>0</v>
      </c>
      <c r="M338" s="142">
        <f xml:space="preserve"> -- ( OR( -- ( OR( COUNTIF( O338:P338,  "=0" ) &gt; 0, COUNTIF( O338:P338,  "" ) &gt; 0 ) ) &gt; 0, -- ( OR( COUNTIF( R338:V338,  "=0" ) &gt; 0, COUNTIF( R338:V338,  "" ) &gt; 0 ) ) &gt; 0 ) )</f>
        <v>0</v>
      </c>
      <c r="N338" s="155"/>
      <c r="O338" s="297">
        <v>1</v>
      </c>
      <c r="P338" s="580">
        <v>1</v>
      </c>
      <c r="Q338" s="502"/>
      <c r="R338" s="580">
        <v>1</v>
      </c>
      <c r="S338" s="580">
        <v>1</v>
      </c>
      <c r="T338" s="580">
        <v>1</v>
      </c>
      <c r="U338" s="580">
        <v>1</v>
      </c>
      <c r="V338" s="580">
        <v>1</v>
      </c>
      <c r="W338" s="573"/>
    </row>
    <row r="339" spans="1:23" customFormat="1" ht="15" customHeight="1">
      <c r="A339" s="1"/>
      <c r="B339" s="1"/>
      <c r="C339" s="2"/>
      <c r="D339" s="85" t="s">
        <v>561</v>
      </c>
      <c r="E339" s="1"/>
      <c r="F339" s="86"/>
      <c r="G339" s="86"/>
      <c r="H339" s="86"/>
      <c r="I339" s="86"/>
      <c r="J339" s="86"/>
      <c r="K339" s="87" t="s">
        <v>116</v>
      </c>
      <c r="L339" s="85">
        <f xml:space="preserve"> -- ( OR( -- ( OR( COUNTIF( P339,  "=0" ) &gt; 0, COUNTIF( P339,  "" ) &gt; 0 ) ) &gt; 0, -- ( OR( COUNTIF( R339:V339,  "=0" ) &gt; 0, COUNTIF( R339:V339,  "" ) &gt; 0 ) ) &gt; 0 ) )</f>
        <v>0</v>
      </c>
      <c r="M339" s="119">
        <f xml:space="preserve"> -- ( OR( -- ( OR( COUNTIF( P339,  "=0" ) &gt; 0, COUNTIF( P339,  "" ) &gt; 0 ) ) &gt; 0, -- ( OR( COUNTIF( R339:V339,  "=0" ) &gt; 0, COUNTIF( R339:V339,  "" ) &gt; 0 ) ) &gt; 0 ) )</f>
        <v>0</v>
      </c>
      <c r="N339" s="86"/>
      <c r="O339" s="317"/>
      <c r="P339" s="581">
        <v>1</v>
      </c>
      <c r="Q339" s="501"/>
      <c r="R339" s="581">
        <v>1</v>
      </c>
      <c r="S339" s="581">
        <v>1</v>
      </c>
      <c r="T339" s="581">
        <v>1</v>
      </c>
      <c r="U339" s="581">
        <v>1</v>
      </c>
      <c r="V339" s="581">
        <v>1</v>
      </c>
      <c r="W339" s="574"/>
    </row>
    <row r="340" spans="1:23" customFormat="1" ht="15" customHeight="1">
      <c r="A340" s="1"/>
      <c r="B340" s="1"/>
      <c r="C340" s="2"/>
      <c r="D340" s="85" t="s">
        <v>11</v>
      </c>
      <c r="E340" s="1"/>
      <c r="F340" s="86"/>
      <c r="G340" s="86"/>
      <c r="H340" s="86"/>
      <c r="I340" s="86"/>
      <c r="J340" s="86"/>
      <c r="K340" s="87" t="s">
        <v>116</v>
      </c>
      <c r="L340" s="85">
        <f xml:space="preserve"> -- ( OR( COUNTIF( R340:V340,  "=0" ) &gt; 0, COUNTIF( R340:V340,  "" ) &gt; 0 ) )</f>
        <v>0</v>
      </c>
      <c r="M340" s="119">
        <f xml:space="preserve"> -- ( OR( COUNTIF( R340:V340,  "=0" ) &gt; 0, COUNTIF( R340:V340,  "" ) &gt; 0 ) )</f>
        <v>0</v>
      </c>
      <c r="N340" s="86"/>
      <c r="O340" s="317"/>
      <c r="P340" s="317"/>
      <c r="Q340" s="317"/>
      <c r="R340" s="581">
        <v>1</v>
      </c>
      <c r="S340" s="581">
        <v>1</v>
      </c>
      <c r="T340" s="581">
        <v>1</v>
      </c>
      <c r="U340" s="581">
        <v>1</v>
      </c>
      <c r="V340" s="581">
        <v>1</v>
      </c>
      <c r="W340" s="574"/>
    </row>
    <row r="341" spans="1:23" customFormat="1" ht="15" customHeight="1">
      <c r="A341" s="1"/>
      <c r="B341" s="1"/>
      <c r="C341" s="2"/>
      <c r="D341" s="85" t="s">
        <v>12</v>
      </c>
      <c r="E341" s="1"/>
      <c r="F341" s="86"/>
      <c r="G341" s="86"/>
      <c r="H341" s="86"/>
      <c r="I341" s="86"/>
      <c r="J341" s="86"/>
      <c r="K341" s="87" t="s">
        <v>116</v>
      </c>
      <c r="L341" s="85">
        <f xml:space="preserve"> -- ( OR( COUNTIF( S341:V341,  "=0" ) &gt; 0, COUNTIF( S341:V341,  "" ) &gt; 0 ) )</f>
        <v>0</v>
      </c>
      <c r="M341" s="119">
        <f xml:space="preserve"> -- ( OR( COUNTIF( S341:V341,  "=0" ) &gt; 0, COUNTIF( S341:V341,  "" ) &gt; 0 ) )</f>
        <v>0</v>
      </c>
      <c r="N341" s="86"/>
      <c r="O341" s="317"/>
      <c r="P341" s="317"/>
      <c r="Q341" s="317"/>
      <c r="R341" s="1"/>
      <c r="S341" s="581">
        <v>1</v>
      </c>
      <c r="T341" s="581">
        <v>1</v>
      </c>
      <c r="U341" s="581">
        <v>1</v>
      </c>
      <c r="V341" s="581">
        <v>1</v>
      </c>
      <c r="W341" s="574"/>
    </row>
    <row r="342" spans="1:23" customFormat="1" ht="15" customHeight="1">
      <c r="A342" s="1"/>
      <c r="B342" s="1"/>
      <c r="C342" s="2"/>
      <c r="D342" s="85" t="s">
        <v>13</v>
      </c>
      <c r="E342" s="1"/>
      <c r="F342" s="86"/>
      <c r="G342" s="86"/>
      <c r="H342" s="86"/>
      <c r="I342" s="86"/>
      <c r="J342" s="86"/>
      <c r="K342" s="87" t="s">
        <v>116</v>
      </c>
      <c r="L342" s="85">
        <f xml:space="preserve"> -- ( OR( COUNTIF( T342:V342,  "=0" ) &gt; 0, COUNTIF( T342:V342,  "" ) &gt; 0 ) )</f>
        <v>0</v>
      </c>
      <c r="M342" s="119">
        <f xml:space="preserve"> -- ( OR( COUNTIF( T342:V342,  "=0" ) &gt; 0, COUNTIF( T342:V342,  "" ) &gt; 0 ) )</f>
        <v>0</v>
      </c>
      <c r="N342" s="86"/>
      <c r="O342" s="317"/>
      <c r="P342" s="317"/>
      <c r="Q342" s="317"/>
      <c r="R342" s="1"/>
      <c r="S342" s="1"/>
      <c r="T342" s="581">
        <v>1</v>
      </c>
      <c r="U342" s="581">
        <v>1</v>
      </c>
      <c r="V342" s="581">
        <v>1</v>
      </c>
      <c r="W342" s="574"/>
    </row>
    <row r="343" spans="1:23" customFormat="1" ht="15" customHeight="1">
      <c r="A343" s="1"/>
      <c r="B343" s="1"/>
      <c r="C343" s="2"/>
      <c r="D343" s="99" t="s">
        <v>14</v>
      </c>
      <c r="E343" s="27"/>
      <c r="F343" s="156"/>
      <c r="G343" s="156"/>
      <c r="H343" s="156"/>
      <c r="I343" s="156"/>
      <c r="J343" s="156"/>
      <c r="K343" s="98" t="s">
        <v>116</v>
      </c>
      <c r="L343" s="99">
        <f xml:space="preserve"> -- ( OR( COUNTIF( U343:V343,  "=0" ) &gt; 0, COUNTIF( U343:V343,  "" ) &gt; 0 ) )</f>
        <v>0</v>
      </c>
      <c r="M343" s="151">
        <f xml:space="preserve"> -- ( OR( COUNTIF( U343:V343,  "=0" ) &gt; 0, COUNTIF( U343:V343,  "" ) &gt; 0 ) )</f>
        <v>0</v>
      </c>
      <c r="N343" s="156"/>
      <c r="O343" s="582"/>
      <c r="P343" s="582"/>
      <c r="Q343" s="582"/>
      <c r="R343" s="27"/>
      <c r="S343" s="27"/>
      <c r="T343" s="27"/>
      <c r="U343" s="583">
        <v>1</v>
      </c>
      <c r="V343" s="583">
        <v>1</v>
      </c>
      <c r="W343" s="278"/>
    </row>
    <row r="344" spans="1:23" customFormat="1" ht="15" customHeight="1">
      <c r="A344" s="1"/>
      <c r="B344" s="1"/>
      <c r="C344" s="2"/>
      <c r="D344" s="85"/>
      <c r="E344" s="1"/>
      <c r="K344" s="87"/>
      <c r="L344" s="85"/>
      <c r="M344" s="119"/>
      <c r="N344" s="119"/>
      <c r="O344" s="119"/>
      <c r="P344" s="1"/>
      <c r="Q344" s="1"/>
      <c r="R344" s="1"/>
      <c r="S344" s="1"/>
      <c r="T344" s="1"/>
      <c r="U344" s="1"/>
      <c r="V344" s="1"/>
    </row>
    <row r="345" spans="1:23" customFormat="1" ht="15" customHeight="1">
      <c r="A345" s="1"/>
      <c r="B345" s="1"/>
      <c r="C345" s="2"/>
      <c r="D345" s="85"/>
      <c r="E345" s="1"/>
      <c r="K345" s="87"/>
      <c r="L345" s="85"/>
      <c r="M345" s="119"/>
      <c r="N345" s="119"/>
      <c r="O345" s="119"/>
      <c r="P345" s="1"/>
      <c r="Q345" s="1"/>
      <c r="R345" s="1"/>
      <c r="S345" s="1"/>
      <c r="T345" s="1"/>
      <c r="U345" s="1"/>
      <c r="V345" s="1"/>
    </row>
    <row r="346" spans="1:23" customFormat="1" ht="15" customHeight="1">
      <c r="A346" s="1"/>
      <c r="B346" s="1"/>
      <c r="C346" s="2"/>
      <c r="D346" s="85"/>
      <c r="E346" s="1"/>
      <c r="F346" s="86"/>
      <c r="G346" s="86"/>
      <c r="H346" s="86"/>
      <c r="I346" s="86"/>
      <c r="J346" s="86"/>
      <c r="K346" s="87"/>
      <c r="L346" s="85"/>
      <c r="M346" s="85"/>
      <c r="N346" s="86"/>
      <c r="O346" s="86"/>
      <c r="P346" s="86"/>
      <c r="Q346" s="86"/>
      <c r="R346" s="1"/>
      <c r="S346" s="1"/>
      <c r="T346" s="1"/>
      <c r="U346" s="1"/>
      <c r="V346" s="1"/>
      <c r="W346" s="1"/>
    </row>
    <row r="347" spans="1:23" s="475" customFormat="1" ht="15" customHeight="1">
      <c r="B347" s="479" t="str">
        <f xml:space="preserve"> COUNTA(B$10:B344) &amp; ") Tidsdifferentieret forbrugstariffer"</f>
        <v>11) Tidsdifferentieret forbrugstariffer</v>
      </c>
      <c r="C347" s="477"/>
      <c r="D347" s="478"/>
      <c r="K347" s="472"/>
    </row>
    <row r="348" spans="1:23" customFormat="1" ht="15" customHeight="1">
      <c r="A348" s="1"/>
      <c r="B348" s="1"/>
      <c r="C348" s="2"/>
      <c r="D348" s="85"/>
      <c r="E348" s="1"/>
      <c r="F348" s="86"/>
      <c r="G348" s="86"/>
      <c r="H348" s="86"/>
      <c r="I348" s="86"/>
      <c r="J348" s="86"/>
      <c r="K348" s="87"/>
      <c r="L348" s="85"/>
      <c r="M348" s="85"/>
      <c r="N348" s="86"/>
      <c r="O348" s="86"/>
      <c r="P348" s="86"/>
      <c r="Q348" s="86"/>
      <c r="R348" s="1"/>
      <c r="S348" s="1"/>
      <c r="T348" s="1"/>
      <c r="U348" s="1"/>
      <c r="V348" s="1"/>
      <c r="W348" s="1"/>
    </row>
    <row r="349" spans="1:23" customFormat="1" ht="15" customHeight="1">
      <c r="A349" s="1"/>
      <c r="B349" s="1"/>
      <c r="C349" s="2"/>
      <c r="D349" s="97" t="s">
        <v>198</v>
      </c>
      <c r="E349" s="27"/>
      <c r="F349" s="86"/>
      <c r="G349" s="86"/>
      <c r="H349" s="86"/>
      <c r="I349" s="86"/>
      <c r="J349" s="86"/>
      <c r="K349" s="87"/>
      <c r="L349" s="99"/>
      <c r="M349" s="85"/>
      <c r="N349" s="156"/>
      <c r="O349" s="86"/>
      <c r="P349" s="86"/>
      <c r="Q349" s="86"/>
      <c r="R349" s="1"/>
      <c r="S349" s="1"/>
      <c r="T349" s="1"/>
      <c r="U349" s="1"/>
      <c r="V349" s="1"/>
      <c r="W349" s="27"/>
    </row>
    <row r="350" spans="1:23" customFormat="1" ht="15" customHeight="1">
      <c r="A350" s="1"/>
      <c r="B350" s="1"/>
      <c r="C350" s="2"/>
      <c r="D350" s="124" t="s">
        <v>182</v>
      </c>
      <c r="E350" s="1"/>
      <c r="F350" s="155"/>
      <c r="G350" s="155"/>
      <c r="H350" s="155"/>
      <c r="I350" s="155"/>
      <c r="J350" s="155"/>
      <c r="K350" s="117" t="s">
        <v>4</v>
      </c>
      <c r="L350" s="85">
        <f xml:space="preserve"> -- ( COUNTIF( R350:V350, "&lt;0" ) &gt; 0 ) + -- ( COUNTIF( R350:V350, "*" ) &gt; 0 )</f>
        <v>0</v>
      </c>
      <c r="M350" s="142">
        <f xml:space="preserve"> -- ( OR( COUNTIF( R350:V350,  "=0" ) &gt; 0, COUNTIF( R350:V350,  "" ) &gt; 0 ) )</f>
        <v>0</v>
      </c>
      <c r="N350" s="86"/>
      <c r="O350" s="495"/>
      <c r="P350" s="404"/>
      <c r="Q350" s="496"/>
      <c r="R350" s="492">
        <f xml:space="preserve"> 1 / 2</f>
        <v>0.5</v>
      </c>
      <c r="S350" s="162">
        <f xml:space="preserve"> 1 / 3</f>
        <v>0.33333333333333331</v>
      </c>
      <c r="T350" s="162">
        <f xml:space="preserve"> 1 / 3</f>
        <v>0.33333333333333331</v>
      </c>
      <c r="U350" s="162">
        <f xml:space="preserve"> 1 / 3</f>
        <v>0.33333333333333331</v>
      </c>
      <c r="V350" s="162">
        <f xml:space="preserve"> 1 / 3</f>
        <v>0.33333333333333331</v>
      </c>
      <c r="W350" s="1"/>
    </row>
    <row r="351" spans="1:23" customFormat="1" ht="15" customHeight="1">
      <c r="A351" s="1"/>
      <c r="B351" s="1"/>
      <c r="C351" s="2"/>
      <c r="D351" s="124" t="s">
        <v>207</v>
      </c>
      <c r="E351" s="1"/>
      <c r="F351" s="86"/>
      <c r="G351" s="86"/>
      <c r="H351" s="86"/>
      <c r="I351" s="86"/>
      <c r="J351" s="86"/>
      <c r="K351" s="87" t="s">
        <v>4</v>
      </c>
      <c r="L351" s="85">
        <f xml:space="preserve"> -- ( COUNTIF( R351:V351, "&lt;0" ) &gt; 0 ) + -- ( COUNTIF( R351:V351, "*" ) &gt; 0 )</f>
        <v>0</v>
      </c>
      <c r="M351" s="119">
        <f xml:space="preserve"> -- ( OR( COUNTIF( R351:V351,  "=0" ) &gt; 0, COUNTIF( R351:V351,  "" ) &gt; 0 ) )</f>
        <v>0</v>
      </c>
      <c r="N351" s="86"/>
      <c r="O351" s="497"/>
      <c r="P351" s="405"/>
      <c r="Q351" s="498"/>
      <c r="R351" s="493">
        <v>1</v>
      </c>
      <c r="S351" s="163">
        <v>1</v>
      </c>
      <c r="T351" s="163">
        <v>1</v>
      </c>
      <c r="U351" s="163">
        <v>1</v>
      </c>
      <c r="V351" s="163">
        <v>1</v>
      </c>
      <c r="W351" s="1"/>
    </row>
    <row r="352" spans="1:23" customFormat="1" ht="15" customHeight="1">
      <c r="A352" s="1"/>
      <c r="B352" s="1"/>
      <c r="C352" s="2"/>
      <c r="D352" s="125" t="s">
        <v>212</v>
      </c>
      <c r="E352" s="27"/>
      <c r="F352" s="156"/>
      <c r="G352" s="156"/>
      <c r="H352" s="156"/>
      <c r="I352" s="156"/>
      <c r="J352" s="156"/>
      <c r="K352" s="98" t="s">
        <v>4</v>
      </c>
      <c r="L352" s="99">
        <f xml:space="preserve"> -- ( COUNTIF( R352:V352, "&lt;0" ) &gt; 0 ) + -- ( COUNTIF( R352:V352, "*" ) &gt; 0 )</f>
        <v>0</v>
      </c>
      <c r="M352" s="151">
        <f xml:space="preserve"> -- ( OR( COUNTIF( R352:V352,  "=0" ) &gt; 0, COUNTIF( R352:V352,  "" ) &gt; 0 ) )</f>
        <v>0</v>
      </c>
      <c r="N352" s="156"/>
      <c r="O352" s="499"/>
      <c r="P352" s="406"/>
      <c r="Q352" s="500"/>
      <c r="R352" s="494">
        <v>2</v>
      </c>
      <c r="S352" s="164">
        <v>2</v>
      </c>
      <c r="T352" s="164">
        <v>2</v>
      </c>
      <c r="U352" s="164">
        <v>2</v>
      </c>
      <c r="V352" s="164">
        <v>3</v>
      </c>
      <c r="W352" s="27"/>
    </row>
    <row r="353" spans="1:23" customFormat="1" ht="15" customHeight="1">
      <c r="A353" s="1"/>
      <c r="B353" s="1"/>
      <c r="C353" s="2"/>
      <c r="D353" s="85"/>
      <c r="E353" s="1"/>
      <c r="F353" s="86"/>
      <c r="G353" s="86"/>
      <c r="H353" s="86"/>
      <c r="I353" s="86"/>
      <c r="J353" s="86"/>
      <c r="K353" s="87"/>
      <c r="L353" s="85"/>
      <c r="M353" s="85"/>
      <c r="N353" s="86"/>
      <c r="O353" s="86"/>
      <c r="P353" s="86"/>
      <c r="Q353" s="86"/>
      <c r="R353" s="1"/>
      <c r="S353" s="1"/>
      <c r="T353" s="1"/>
      <c r="U353" s="1"/>
      <c r="V353" s="1"/>
      <c r="W353" s="1"/>
    </row>
    <row r="354" spans="1:23" customFormat="1" ht="15" customHeight="1">
      <c r="A354" s="1"/>
      <c r="B354" s="1"/>
      <c r="C354" s="2"/>
      <c r="D354" s="97" t="s">
        <v>199</v>
      </c>
      <c r="E354" s="27"/>
      <c r="F354" s="86"/>
      <c r="G354" s="86"/>
      <c r="H354" s="86"/>
      <c r="I354" s="86"/>
      <c r="J354" s="86"/>
      <c r="K354" s="87"/>
      <c r="L354" s="99"/>
      <c r="M354" s="99"/>
      <c r="N354" s="156"/>
      <c r="O354" s="86"/>
      <c r="P354" s="86"/>
      <c r="Q354" s="86"/>
      <c r="R354" s="1"/>
      <c r="S354" s="1"/>
      <c r="T354" s="1"/>
      <c r="U354" s="1"/>
      <c r="V354" s="1"/>
      <c r="W354" s="27"/>
    </row>
    <row r="355" spans="1:23" customFormat="1" ht="15" customHeight="1">
      <c r="A355" s="1"/>
      <c r="B355" s="1"/>
      <c r="C355" s="2"/>
      <c r="D355" s="124" t="s">
        <v>182</v>
      </c>
      <c r="E355" s="1"/>
      <c r="F355" s="155"/>
      <c r="G355" s="155"/>
      <c r="H355" s="155"/>
      <c r="I355" s="155"/>
      <c r="J355" s="155"/>
      <c r="K355" s="117" t="s">
        <v>4</v>
      </c>
      <c r="L355" s="85">
        <f xml:space="preserve"> -- ( COUNTIF( R355:V355, "&lt;0" ) &gt; 0 ) + -- ( COUNTIF( R355:V355, "*" ) &gt; 0 )</f>
        <v>0</v>
      </c>
      <c r="M355" s="142">
        <f xml:space="preserve"> -- ( OR( COUNTIF( R355:V355,  "=0" ) &gt; 0, COUNTIF( R355:V355,  "" ) &gt; 0 ) )</f>
        <v>0</v>
      </c>
      <c r="N355" s="86"/>
      <c r="O355" s="495"/>
      <c r="P355" s="404"/>
      <c r="Q355" s="496"/>
      <c r="R355" s="165">
        <f xml:space="preserve"> R350</f>
        <v>0.5</v>
      </c>
      <c r="S355" s="165">
        <f xml:space="preserve"> S350</f>
        <v>0.33333333333333331</v>
      </c>
      <c r="T355" s="165">
        <f xml:space="preserve"> T350</f>
        <v>0.33333333333333331</v>
      </c>
      <c r="U355" s="165">
        <f xml:space="preserve"> U350</f>
        <v>0.33333333333333331</v>
      </c>
      <c r="V355" s="165">
        <f xml:space="preserve"> V350</f>
        <v>0.33333333333333331</v>
      </c>
      <c r="W355" s="1"/>
    </row>
    <row r="356" spans="1:23" customFormat="1" ht="15" customHeight="1">
      <c r="A356" s="1"/>
      <c r="B356" s="1"/>
      <c r="C356" s="2"/>
      <c r="D356" s="124" t="s">
        <v>184</v>
      </c>
      <c r="E356" s="1"/>
      <c r="F356" s="86"/>
      <c r="G356" s="86"/>
      <c r="H356" s="86"/>
      <c r="I356" s="86"/>
      <c r="J356" s="86"/>
      <c r="K356" s="87" t="s">
        <v>4</v>
      </c>
      <c r="L356" s="85">
        <f xml:space="preserve"> -- ( COUNTIF( R356:V356, "&lt;0" ) &gt; 0 ) + -- ( COUNTIF( R356:V356, "*" ) &gt; 0 )</f>
        <v>0</v>
      </c>
      <c r="M356" s="119">
        <f xml:space="preserve"> -- ( OR( COUNTIF( R356:V356,  "=0" ) &gt; 0, COUNTIF( R356:V356,  "" ) &gt; 0 ) )</f>
        <v>0</v>
      </c>
      <c r="N356" s="86"/>
      <c r="O356" s="497"/>
      <c r="P356" s="405"/>
      <c r="Q356" s="498"/>
      <c r="R356" s="166">
        <f t="shared" ref="R356:U357" si="15" xml:space="preserve"> R351</f>
        <v>1</v>
      </c>
      <c r="S356" s="166">
        <f t="shared" si="15"/>
        <v>1</v>
      </c>
      <c r="T356" s="166">
        <f t="shared" si="15"/>
        <v>1</v>
      </c>
      <c r="U356" s="166">
        <f t="shared" si="15"/>
        <v>1</v>
      </c>
      <c r="V356" s="166">
        <f xml:space="preserve"> 1 / 2</f>
        <v>0.5</v>
      </c>
      <c r="W356" s="1"/>
    </row>
    <row r="357" spans="1:23" customFormat="1" ht="15" customHeight="1">
      <c r="A357" s="1"/>
      <c r="B357" s="1"/>
      <c r="C357" s="2"/>
      <c r="D357" s="125" t="s">
        <v>185</v>
      </c>
      <c r="E357" s="27"/>
      <c r="F357" s="156"/>
      <c r="G357" s="156"/>
      <c r="H357" s="156"/>
      <c r="I357" s="156"/>
      <c r="J357" s="156"/>
      <c r="K357" s="98" t="s">
        <v>4</v>
      </c>
      <c r="L357" s="99">
        <f xml:space="preserve"> -- ( COUNTIF( R357:V357, "&lt;0" ) &gt; 0 ) + -- ( COUNTIF( R357:V357, "*" ) &gt; 0 )</f>
        <v>0</v>
      </c>
      <c r="M357" s="151">
        <f xml:space="preserve"> -- ( OR( COUNTIF( R357:V357,  "=0" ) &gt; 0, COUNTIF( R357:V357,  "" ) &gt; 0 ) )</f>
        <v>0</v>
      </c>
      <c r="N357" s="156"/>
      <c r="O357" s="499"/>
      <c r="P357" s="406"/>
      <c r="Q357" s="500"/>
      <c r="R357" s="167">
        <f t="shared" si="15"/>
        <v>2</v>
      </c>
      <c r="S357" s="167">
        <f t="shared" si="15"/>
        <v>2</v>
      </c>
      <c r="T357" s="167">
        <f t="shared" si="15"/>
        <v>2</v>
      </c>
      <c r="U357" s="167">
        <f t="shared" si="15"/>
        <v>2</v>
      </c>
      <c r="V357" s="167">
        <v>1.3</v>
      </c>
      <c r="W357" s="27"/>
    </row>
    <row r="358" spans="1:23" customFormat="1" ht="15" customHeight="1">
      <c r="A358" s="1"/>
      <c r="B358" s="1"/>
      <c r="C358" s="2"/>
      <c r="D358" s="85"/>
      <c r="E358" s="1"/>
      <c r="F358" s="86"/>
      <c r="G358" s="86"/>
      <c r="H358" s="86"/>
      <c r="I358" s="86"/>
      <c r="J358" s="86"/>
      <c r="K358" s="87"/>
      <c r="L358" s="85"/>
      <c r="M358" s="85"/>
      <c r="N358" s="86"/>
      <c r="O358" s="86"/>
      <c r="P358" s="86"/>
      <c r="Q358" s="86"/>
      <c r="R358" s="1"/>
      <c r="S358" s="1"/>
      <c r="T358" s="1"/>
      <c r="U358" s="1"/>
      <c r="V358" s="1"/>
      <c r="W358" s="1"/>
    </row>
    <row r="359" spans="1:23" customFormat="1" ht="15" customHeight="1">
      <c r="A359" s="1"/>
      <c r="B359" s="1"/>
      <c r="C359" s="2"/>
      <c r="D359" s="88" t="s">
        <v>178</v>
      </c>
      <c r="E359" s="1"/>
      <c r="F359" s="107"/>
      <c r="G359" s="107"/>
      <c r="H359" s="107"/>
      <c r="I359" s="107"/>
      <c r="J359" s="107"/>
      <c r="K359" s="87"/>
      <c r="L359" s="85"/>
      <c r="M359" s="85"/>
      <c r="N359" s="107"/>
      <c r="O359" s="107"/>
      <c r="P359" s="107"/>
      <c r="Q359" s="107"/>
      <c r="R359" s="1"/>
      <c r="S359" s="1"/>
      <c r="T359" s="1"/>
      <c r="U359" s="1"/>
      <c r="V359" s="1"/>
      <c r="W359" s="1"/>
    </row>
    <row r="360" spans="1:23" customFormat="1" ht="15" customHeight="1">
      <c r="A360" s="1"/>
      <c r="B360" s="1"/>
      <c r="C360" s="2"/>
      <c r="D360" s="122" t="s">
        <v>152</v>
      </c>
      <c r="E360" s="15"/>
      <c r="F360" s="116"/>
      <c r="G360" s="116"/>
      <c r="H360" s="116"/>
      <c r="I360" s="116"/>
      <c r="J360" s="116"/>
      <c r="K360" s="117" t="s">
        <v>41</v>
      </c>
      <c r="L360" s="123"/>
      <c r="M360" s="123"/>
      <c r="N360" s="116"/>
      <c r="O360" s="369"/>
      <c r="P360" s="369"/>
      <c r="Q360" s="369"/>
      <c r="R360" s="168" t="s">
        <v>182</v>
      </c>
      <c r="S360" s="168" t="s">
        <v>182</v>
      </c>
      <c r="T360" s="168" t="s">
        <v>182</v>
      </c>
      <c r="U360" s="168" t="s">
        <v>182</v>
      </c>
      <c r="V360" s="168" t="s">
        <v>182</v>
      </c>
      <c r="W360" s="15"/>
    </row>
    <row r="361" spans="1:23" customFormat="1" ht="15" customHeight="1">
      <c r="A361" s="1"/>
      <c r="B361" s="1"/>
      <c r="C361" s="2"/>
      <c r="D361" s="124" t="s">
        <v>153</v>
      </c>
      <c r="E361" s="1"/>
      <c r="F361" s="107"/>
      <c r="G361" s="107"/>
      <c r="H361" s="107"/>
      <c r="I361" s="107"/>
      <c r="J361" s="107"/>
      <c r="K361" s="87" t="s">
        <v>41</v>
      </c>
      <c r="L361" s="85"/>
      <c r="M361" s="85"/>
      <c r="N361" s="107"/>
      <c r="O361" s="370"/>
      <c r="P361" s="370"/>
      <c r="Q361" s="370"/>
      <c r="R361" s="169" t="s">
        <v>182</v>
      </c>
      <c r="S361" s="169" t="s">
        <v>182</v>
      </c>
      <c r="T361" s="169" t="s">
        <v>182</v>
      </c>
      <c r="U361" s="169" t="s">
        <v>182</v>
      </c>
      <c r="V361" s="169" t="s">
        <v>182</v>
      </c>
      <c r="W361" s="1"/>
    </row>
    <row r="362" spans="1:23" customFormat="1" ht="15" customHeight="1">
      <c r="A362" s="1"/>
      <c r="B362" s="1"/>
      <c r="C362" s="2"/>
      <c r="D362" s="124" t="s">
        <v>154</v>
      </c>
      <c r="E362" s="1"/>
      <c r="F362" s="107"/>
      <c r="G362" s="107"/>
      <c r="H362" s="107"/>
      <c r="I362" s="107"/>
      <c r="J362" s="107"/>
      <c r="K362" s="87" t="s">
        <v>41</v>
      </c>
      <c r="L362" s="85"/>
      <c r="M362" s="85"/>
      <c r="N362" s="107"/>
      <c r="O362" s="370"/>
      <c r="P362" s="370"/>
      <c r="Q362" s="370"/>
      <c r="R362" s="169" t="s">
        <v>182</v>
      </c>
      <c r="S362" s="169" t="s">
        <v>182</v>
      </c>
      <c r="T362" s="169" t="s">
        <v>182</v>
      </c>
      <c r="U362" s="169" t="s">
        <v>182</v>
      </c>
      <c r="V362" s="169" t="s">
        <v>182</v>
      </c>
      <c r="W362" s="1"/>
    </row>
    <row r="363" spans="1:23" customFormat="1" ht="15" customHeight="1">
      <c r="A363" s="1"/>
      <c r="B363" s="1"/>
      <c r="C363" s="2"/>
      <c r="D363" s="124" t="s">
        <v>155</v>
      </c>
      <c r="E363" s="1"/>
      <c r="F363" s="107"/>
      <c r="G363" s="107"/>
      <c r="H363" s="107"/>
      <c r="I363" s="107"/>
      <c r="J363" s="107"/>
      <c r="K363" s="87" t="s">
        <v>41</v>
      </c>
      <c r="L363" s="85"/>
      <c r="M363" s="85"/>
      <c r="N363" s="107"/>
      <c r="O363" s="370"/>
      <c r="P363" s="370"/>
      <c r="Q363" s="370"/>
      <c r="R363" s="169" t="s">
        <v>182</v>
      </c>
      <c r="S363" s="169" t="s">
        <v>182</v>
      </c>
      <c r="T363" s="169" t="s">
        <v>182</v>
      </c>
      <c r="U363" s="169" t="s">
        <v>182</v>
      </c>
      <c r="V363" s="169" t="s">
        <v>182</v>
      </c>
      <c r="W363" s="1"/>
    </row>
    <row r="364" spans="1:23" customFormat="1" ht="15" customHeight="1">
      <c r="A364" s="1"/>
      <c r="B364" s="1"/>
      <c r="C364" s="2"/>
      <c r="D364" s="124" t="s">
        <v>156</v>
      </c>
      <c r="E364" s="1"/>
      <c r="F364" s="107"/>
      <c r="G364" s="107"/>
      <c r="H364" s="107"/>
      <c r="I364" s="107"/>
      <c r="J364" s="107"/>
      <c r="K364" s="87" t="s">
        <v>41</v>
      </c>
      <c r="L364" s="85"/>
      <c r="M364" s="85"/>
      <c r="N364" s="107"/>
      <c r="O364" s="370"/>
      <c r="P364" s="370"/>
      <c r="Q364" s="370"/>
      <c r="R364" s="169" t="s">
        <v>182</v>
      </c>
      <c r="S364" s="169" t="s">
        <v>182</v>
      </c>
      <c r="T364" s="169" t="s">
        <v>182</v>
      </c>
      <c r="U364" s="169" t="s">
        <v>182</v>
      </c>
      <c r="V364" s="169" t="s">
        <v>182</v>
      </c>
      <c r="W364" s="1"/>
    </row>
    <row r="365" spans="1:23" customFormat="1" ht="15" customHeight="1">
      <c r="A365" s="1"/>
      <c r="B365" s="1"/>
      <c r="C365" s="2"/>
      <c r="D365" s="124" t="s">
        <v>157</v>
      </c>
      <c r="E365" s="1"/>
      <c r="F365" s="107"/>
      <c r="G365" s="107"/>
      <c r="H365" s="107"/>
      <c r="I365" s="107"/>
      <c r="J365" s="107"/>
      <c r="K365" s="87" t="s">
        <v>41</v>
      </c>
      <c r="L365" s="85"/>
      <c r="M365" s="85"/>
      <c r="N365" s="107"/>
      <c r="O365" s="370"/>
      <c r="P365" s="370"/>
      <c r="Q365" s="370"/>
      <c r="R365" s="169" t="s">
        <v>182</v>
      </c>
      <c r="S365" s="169" t="s">
        <v>182</v>
      </c>
      <c r="T365" s="169" t="s">
        <v>182</v>
      </c>
      <c r="U365" s="169" t="s">
        <v>182</v>
      </c>
      <c r="V365" s="169" t="s">
        <v>182</v>
      </c>
      <c r="W365" s="1"/>
    </row>
    <row r="366" spans="1:23" customFormat="1" ht="15" customHeight="1">
      <c r="A366" s="1"/>
      <c r="B366" s="1"/>
      <c r="C366" s="2"/>
      <c r="D366" s="124" t="s">
        <v>158</v>
      </c>
      <c r="E366" s="1"/>
      <c r="F366" s="107"/>
      <c r="G366" s="107"/>
      <c r="H366" s="107"/>
      <c r="I366" s="107"/>
      <c r="J366" s="107"/>
      <c r="K366" s="87" t="s">
        <v>41</v>
      </c>
      <c r="L366" s="85"/>
      <c r="M366" s="85"/>
      <c r="N366" s="107"/>
      <c r="O366" s="370"/>
      <c r="P366" s="370"/>
      <c r="Q366" s="370"/>
      <c r="R366" s="169" t="s">
        <v>185</v>
      </c>
      <c r="S366" s="169" t="s">
        <v>185</v>
      </c>
      <c r="T366" s="169" t="s">
        <v>185</v>
      </c>
      <c r="U366" s="169" t="s">
        <v>185</v>
      </c>
      <c r="V366" s="169" t="s">
        <v>184</v>
      </c>
      <c r="W366" s="1"/>
    </row>
    <row r="367" spans="1:23" customFormat="1" ht="15" customHeight="1">
      <c r="A367" s="1"/>
      <c r="B367" s="1"/>
      <c r="C367" s="2"/>
      <c r="D367" s="124" t="s">
        <v>159</v>
      </c>
      <c r="E367" s="1"/>
      <c r="F367" s="107"/>
      <c r="G367" s="107"/>
      <c r="H367" s="107"/>
      <c r="I367" s="107"/>
      <c r="J367" s="107"/>
      <c r="K367" s="87" t="s">
        <v>41</v>
      </c>
      <c r="L367" s="85"/>
      <c r="M367" s="85"/>
      <c r="N367" s="107"/>
      <c r="O367" s="370"/>
      <c r="P367" s="370"/>
      <c r="Q367" s="370"/>
      <c r="R367" s="169" t="s">
        <v>185</v>
      </c>
      <c r="S367" s="169" t="s">
        <v>185</v>
      </c>
      <c r="T367" s="169" t="s">
        <v>185</v>
      </c>
      <c r="U367" s="169" t="s">
        <v>185</v>
      </c>
      <c r="V367" s="169" t="s">
        <v>184</v>
      </c>
      <c r="W367" s="1"/>
    </row>
    <row r="368" spans="1:23" customFormat="1" ht="15" customHeight="1">
      <c r="A368" s="1"/>
      <c r="B368" s="1"/>
      <c r="C368" s="2"/>
      <c r="D368" s="124" t="s">
        <v>160</v>
      </c>
      <c r="E368" s="1"/>
      <c r="F368" s="107"/>
      <c r="G368" s="107"/>
      <c r="H368" s="107"/>
      <c r="I368" s="107"/>
      <c r="J368" s="107"/>
      <c r="K368" s="87" t="s">
        <v>41</v>
      </c>
      <c r="L368" s="85"/>
      <c r="M368" s="85"/>
      <c r="N368" s="107"/>
      <c r="O368" s="370"/>
      <c r="P368" s="370"/>
      <c r="Q368" s="370"/>
      <c r="R368" s="169" t="s">
        <v>185</v>
      </c>
      <c r="S368" s="169" t="s">
        <v>185</v>
      </c>
      <c r="T368" s="169" t="s">
        <v>185</v>
      </c>
      <c r="U368" s="169" t="s">
        <v>185</v>
      </c>
      <c r="V368" s="169" t="s">
        <v>184</v>
      </c>
      <c r="W368" s="1"/>
    </row>
    <row r="369" spans="1:23" customFormat="1" ht="15" customHeight="1">
      <c r="A369" s="1"/>
      <c r="B369" s="1"/>
      <c r="C369" s="2"/>
      <c r="D369" s="124" t="s">
        <v>161</v>
      </c>
      <c r="E369" s="1"/>
      <c r="F369" s="107"/>
      <c r="G369" s="107"/>
      <c r="H369" s="107"/>
      <c r="I369" s="107"/>
      <c r="J369" s="107"/>
      <c r="K369" s="87" t="s">
        <v>41</v>
      </c>
      <c r="L369" s="85"/>
      <c r="M369" s="85"/>
      <c r="N369" s="107"/>
      <c r="O369" s="370"/>
      <c r="P369" s="370"/>
      <c r="Q369" s="370"/>
      <c r="R369" s="169" t="s">
        <v>185</v>
      </c>
      <c r="S369" s="169" t="s">
        <v>185</v>
      </c>
      <c r="T369" s="169" t="s">
        <v>185</v>
      </c>
      <c r="U369" s="169" t="s">
        <v>185</v>
      </c>
      <c r="V369" s="169" t="s">
        <v>184</v>
      </c>
      <c r="W369" s="1"/>
    </row>
    <row r="370" spans="1:23" customFormat="1" ht="15" customHeight="1">
      <c r="A370" s="1"/>
      <c r="B370" s="1"/>
      <c r="C370" s="2"/>
      <c r="D370" s="124" t="s">
        <v>162</v>
      </c>
      <c r="E370" s="1"/>
      <c r="F370" s="107"/>
      <c r="G370" s="107"/>
      <c r="H370" s="107"/>
      <c r="I370" s="107"/>
      <c r="J370" s="107"/>
      <c r="K370" s="87" t="s">
        <v>41</v>
      </c>
      <c r="L370" s="85"/>
      <c r="M370" s="85"/>
      <c r="N370" s="107"/>
      <c r="O370" s="370"/>
      <c r="P370" s="370"/>
      <c r="Q370" s="370"/>
      <c r="R370" s="169" t="s">
        <v>185</v>
      </c>
      <c r="S370" s="169" t="s">
        <v>185</v>
      </c>
      <c r="T370" s="169" t="s">
        <v>185</v>
      </c>
      <c r="U370" s="169" t="s">
        <v>185</v>
      </c>
      <c r="V370" s="169" t="s">
        <v>184</v>
      </c>
      <c r="W370" s="1"/>
    </row>
    <row r="371" spans="1:23" customFormat="1" ht="15" customHeight="1">
      <c r="A371" s="1"/>
      <c r="B371" s="1"/>
      <c r="C371" s="2"/>
      <c r="D371" s="124" t="s">
        <v>163</v>
      </c>
      <c r="E371" s="1"/>
      <c r="F371" s="107"/>
      <c r="G371" s="107"/>
      <c r="H371" s="107"/>
      <c r="I371" s="107"/>
      <c r="J371" s="107"/>
      <c r="K371" s="87" t="s">
        <v>41</v>
      </c>
      <c r="L371" s="85"/>
      <c r="M371" s="85"/>
      <c r="N371" s="107"/>
      <c r="O371" s="370"/>
      <c r="P371" s="370"/>
      <c r="Q371" s="370"/>
      <c r="R371" s="169" t="s">
        <v>185</v>
      </c>
      <c r="S371" s="169" t="s">
        <v>185</v>
      </c>
      <c r="T371" s="169" t="s">
        <v>185</v>
      </c>
      <c r="U371" s="169" t="s">
        <v>185</v>
      </c>
      <c r="V371" s="169" t="s">
        <v>184</v>
      </c>
      <c r="W371" s="1"/>
    </row>
    <row r="372" spans="1:23" customFormat="1" ht="15" customHeight="1">
      <c r="A372" s="1"/>
      <c r="B372" s="1"/>
      <c r="C372" s="2"/>
      <c r="D372" s="124" t="s">
        <v>164</v>
      </c>
      <c r="E372" s="1"/>
      <c r="F372" s="107"/>
      <c r="G372" s="107"/>
      <c r="H372" s="107"/>
      <c r="I372" s="107"/>
      <c r="J372" s="107"/>
      <c r="K372" s="87" t="s">
        <v>41</v>
      </c>
      <c r="L372" s="85"/>
      <c r="M372" s="85"/>
      <c r="N372" s="107"/>
      <c r="O372" s="370"/>
      <c r="P372" s="370"/>
      <c r="Q372" s="370"/>
      <c r="R372" s="169" t="s">
        <v>185</v>
      </c>
      <c r="S372" s="169" t="s">
        <v>185</v>
      </c>
      <c r="T372" s="169" t="s">
        <v>185</v>
      </c>
      <c r="U372" s="169" t="s">
        <v>185</v>
      </c>
      <c r="V372" s="169" t="s">
        <v>184</v>
      </c>
      <c r="W372" s="1"/>
    </row>
    <row r="373" spans="1:23" customFormat="1" ht="15" customHeight="1">
      <c r="A373" s="1"/>
      <c r="B373" s="1"/>
      <c r="C373" s="2"/>
      <c r="D373" s="124" t="s">
        <v>165</v>
      </c>
      <c r="E373" s="1"/>
      <c r="F373" s="107"/>
      <c r="G373" s="107"/>
      <c r="H373" s="107"/>
      <c r="I373" s="107"/>
      <c r="J373" s="107"/>
      <c r="K373" s="87" t="s">
        <v>41</v>
      </c>
      <c r="L373" s="85"/>
      <c r="M373" s="85"/>
      <c r="N373" s="107"/>
      <c r="O373" s="370"/>
      <c r="P373" s="370"/>
      <c r="Q373" s="370"/>
      <c r="R373" s="169" t="s">
        <v>185</v>
      </c>
      <c r="S373" s="169" t="s">
        <v>185</v>
      </c>
      <c r="T373" s="169" t="s">
        <v>185</v>
      </c>
      <c r="U373" s="169" t="s">
        <v>185</v>
      </c>
      <c r="V373" s="169" t="s">
        <v>184</v>
      </c>
      <c r="W373" s="1"/>
    </row>
    <row r="374" spans="1:23" customFormat="1" ht="15" customHeight="1">
      <c r="A374" s="1"/>
      <c r="B374" s="1"/>
      <c r="C374" s="2"/>
      <c r="D374" s="124" t="s">
        <v>166</v>
      </c>
      <c r="E374" s="1"/>
      <c r="F374" s="107"/>
      <c r="G374" s="107"/>
      <c r="H374" s="107"/>
      <c r="I374" s="107"/>
      <c r="J374" s="107"/>
      <c r="K374" s="87" t="s">
        <v>41</v>
      </c>
      <c r="L374" s="85"/>
      <c r="M374" s="85"/>
      <c r="N374" s="107"/>
      <c r="O374" s="370"/>
      <c r="P374" s="370"/>
      <c r="Q374" s="370"/>
      <c r="R374" s="169" t="s">
        <v>185</v>
      </c>
      <c r="S374" s="169" t="s">
        <v>185</v>
      </c>
      <c r="T374" s="169" t="s">
        <v>185</v>
      </c>
      <c r="U374" s="169" t="s">
        <v>185</v>
      </c>
      <c r="V374" s="169" t="s">
        <v>184</v>
      </c>
      <c r="W374" s="1"/>
    </row>
    <row r="375" spans="1:23" customFormat="1" ht="15" customHeight="1">
      <c r="A375" s="1"/>
      <c r="B375" s="1"/>
      <c r="C375" s="2"/>
      <c r="D375" s="124" t="s">
        <v>167</v>
      </c>
      <c r="E375" s="1"/>
      <c r="F375" s="107"/>
      <c r="G375" s="107"/>
      <c r="H375" s="107"/>
      <c r="I375" s="107"/>
      <c r="J375" s="107"/>
      <c r="K375" s="87" t="s">
        <v>41</v>
      </c>
      <c r="L375" s="85"/>
      <c r="M375" s="85"/>
      <c r="N375" s="107"/>
      <c r="O375" s="370"/>
      <c r="P375" s="370"/>
      <c r="Q375" s="370"/>
      <c r="R375" s="169" t="s">
        <v>185</v>
      </c>
      <c r="S375" s="169" t="s">
        <v>185</v>
      </c>
      <c r="T375" s="169" t="s">
        <v>185</v>
      </c>
      <c r="U375" s="169" t="s">
        <v>185</v>
      </c>
      <c r="V375" s="169" t="s">
        <v>184</v>
      </c>
      <c r="W375" s="1"/>
    </row>
    <row r="376" spans="1:23" customFormat="1" ht="15" customHeight="1">
      <c r="A376" s="1"/>
      <c r="B376" s="1"/>
      <c r="C376" s="2"/>
      <c r="D376" s="124" t="s">
        <v>168</v>
      </c>
      <c r="E376" s="1"/>
      <c r="F376" s="107"/>
      <c r="G376" s="107"/>
      <c r="H376" s="107"/>
      <c r="I376" s="107"/>
      <c r="J376" s="107"/>
      <c r="K376" s="87" t="s">
        <v>41</v>
      </c>
      <c r="L376" s="85"/>
      <c r="M376" s="85"/>
      <c r="N376" s="107"/>
      <c r="O376" s="370"/>
      <c r="P376" s="370"/>
      <c r="Q376" s="370"/>
      <c r="R376" s="169" t="s">
        <v>185</v>
      </c>
      <c r="S376" s="169" t="s">
        <v>185</v>
      </c>
      <c r="T376" s="169" t="s">
        <v>185</v>
      </c>
      <c r="U376" s="169" t="s">
        <v>185</v>
      </c>
      <c r="V376" s="169" t="s">
        <v>184</v>
      </c>
      <c r="W376" s="1"/>
    </row>
    <row r="377" spans="1:23" customFormat="1" ht="15" customHeight="1">
      <c r="A377" s="1"/>
      <c r="B377" s="1"/>
      <c r="C377" s="2"/>
      <c r="D377" s="124" t="s">
        <v>169</v>
      </c>
      <c r="E377" s="1"/>
      <c r="F377" s="107"/>
      <c r="G377" s="107"/>
      <c r="H377" s="107"/>
      <c r="I377" s="107"/>
      <c r="J377" s="107"/>
      <c r="K377" s="87" t="s">
        <v>41</v>
      </c>
      <c r="L377" s="85"/>
      <c r="M377" s="85"/>
      <c r="N377" s="107"/>
      <c r="O377" s="370"/>
      <c r="P377" s="370"/>
      <c r="Q377" s="370"/>
      <c r="R377" s="169" t="s">
        <v>185</v>
      </c>
      <c r="S377" s="169" t="s">
        <v>185</v>
      </c>
      <c r="T377" s="169" t="s">
        <v>185</v>
      </c>
      <c r="U377" s="169" t="s">
        <v>185</v>
      </c>
      <c r="V377" s="169" t="s">
        <v>185</v>
      </c>
      <c r="W377" s="1"/>
    </row>
    <row r="378" spans="1:23" customFormat="1" ht="15" customHeight="1">
      <c r="A378" s="1"/>
      <c r="B378" s="1"/>
      <c r="C378" s="2"/>
      <c r="D378" s="124" t="s">
        <v>170</v>
      </c>
      <c r="E378" s="1"/>
      <c r="F378" s="107"/>
      <c r="G378" s="107"/>
      <c r="H378" s="107"/>
      <c r="I378" s="107"/>
      <c r="J378" s="107"/>
      <c r="K378" s="87" t="s">
        <v>41</v>
      </c>
      <c r="L378" s="85"/>
      <c r="M378" s="85"/>
      <c r="N378" s="107"/>
      <c r="O378" s="370"/>
      <c r="P378" s="370"/>
      <c r="Q378" s="370"/>
      <c r="R378" s="169" t="s">
        <v>185</v>
      </c>
      <c r="S378" s="169" t="s">
        <v>185</v>
      </c>
      <c r="T378" s="169" t="s">
        <v>185</v>
      </c>
      <c r="U378" s="169" t="s">
        <v>185</v>
      </c>
      <c r="V378" s="169" t="s">
        <v>185</v>
      </c>
      <c r="W378" s="1"/>
    </row>
    <row r="379" spans="1:23" customFormat="1" ht="15" customHeight="1">
      <c r="A379" s="1"/>
      <c r="B379" s="1"/>
      <c r="C379" s="2"/>
      <c r="D379" s="124" t="s">
        <v>171</v>
      </c>
      <c r="E379" s="1"/>
      <c r="F379" s="107"/>
      <c r="G379" s="107"/>
      <c r="H379" s="107"/>
      <c r="I379" s="107"/>
      <c r="J379" s="107"/>
      <c r="K379" s="87" t="s">
        <v>41</v>
      </c>
      <c r="L379" s="85"/>
      <c r="M379" s="85"/>
      <c r="N379" s="107"/>
      <c r="O379" s="370"/>
      <c r="P379" s="370"/>
      <c r="Q379" s="370"/>
      <c r="R379" s="169" t="s">
        <v>185</v>
      </c>
      <c r="S379" s="169" t="s">
        <v>185</v>
      </c>
      <c r="T379" s="169" t="s">
        <v>185</v>
      </c>
      <c r="U379" s="169" t="s">
        <v>185</v>
      </c>
      <c r="V379" s="169" t="s">
        <v>185</v>
      </c>
      <c r="W379" s="1"/>
    </row>
    <row r="380" spans="1:23" customFormat="1" ht="15" customHeight="1">
      <c r="A380" s="1"/>
      <c r="B380" s="1"/>
      <c r="C380" s="2"/>
      <c r="D380" s="124" t="s">
        <v>172</v>
      </c>
      <c r="E380" s="1"/>
      <c r="F380" s="107"/>
      <c r="G380" s="107"/>
      <c r="H380" s="107"/>
      <c r="I380" s="107"/>
      <c r="J380" s="107"/>
      <c r="K380" s="87" t="s">
        <v>41</v>
      </c>
      <c r="L380" s="85"/>
      <c r="M380" s="85"/>
      <c r="N380" s="107"/>
      <c r="O380" s="370"/>
      <c r="P380" s="370"/>
      <c r="Q380" s="370"/>
      <c r="R380" s="169" t="s">
        <v>185</v>
      </c>
      <c r="S380" s="169" t="s">
        <v>185</v>
      </c>
      <c r="T380" s="169" t="s">
        <v>185</v>
      </c>
      <c r="U380" s="169" t="s">
        <v>185</v>
      </c>
      <c r="V380" s="169" t="s">
        <v>185</v>
      </c>
      <c r="W380" s="1"/>
    </row>
    <row r="381" spans="1:23" customFormat="1" ht="15" customHeight="1">
      <c r="A381" s="1"/>
      <c r="B381" s="1"/>
      <c r="C381" s="2"/>
      <c r="D381" s="124" t="s">
        <v>173</v>
      </c>
      <c r="E381" s="1"/>
      <c r="F381" s="107"/>
      <c r="G381" s="107"/>
      <c r="H381" s="107"/>
      <c r="I381" s="107"/>
      <c r="J381" s="107"/>
      <c r="K381" s="87" t="s">
        <v>41</v>
      </c>
      <c r="L381" s="85"/>
      <c r="M381" s="85"/>
      <c r="N381" s="107"/>
      <c r="O381" s="370"/>
      <c r="P381" s="370"/>
      <c r="Q381" s="370"/>
      <c r="R381" s="169" t="s">
        <v>184</v>
      </c>
      <c r="S381" s="169" t="s">
        <v>184</v>
      </c>
      <c r="T381" s="169" t="s">
        <v>184</v>
      </c>
      <c r="U381" s="169" t="s">
        <v>184</v>
      </c>
      <c r="V381" s="169" t="s">
        <v>184</v>
      </c>
      <c r="W381" s="1"/>
    </row>
    <row r="382" spans="1:23" customFormat="1" ht="15" customHeight="1">
      <c r="A382" s="1"/>
      <c r="B382" s="1"/>
      <c r="C382" s="2"/>
      <c r="D382" s="124" t="s">
        <v>174</v>
      </c>
      <c r="E382" s="1"/>
      <c r="F382" s="107"/>
      <c r="G382" s="107"/>
      <c r="H382" s="107"/>
      <c r="I382" s="107"/>
      <c r="J382" s="107"/>
      <c r="K382" s="87" t="s">
        <v>41</v>
      </c>
      <c r="L382" s="85"/>
      <c r="M382" s="85"/>
      <c r="N382" s="107"/>
      <c r="O382" s="370"/>
      <c r="P382" s="370"/>
      <c r="Q382" s="370"/>
      <c r="R382" s="169" t="s">
        <v>184</v>
      </c>
      <c r="S382" s="169" t="s">
        <v>184</v>
      </c>
      <c r="T382" s="169" t="s">
        <v>184</v>
      </c>
      <c r="U382" s="169" t="s">
        <v>184</v>
      </c>
      <c r="V382" s="169" t="s">
        <v>184</v>
      </c>
      <c r="W382" s="1"/>
    </row>
    <row r="383" spans="1:23" customFormat="1" ht="15" customHeight="1">
      <c r="A383" s="1"/>
      <c r="B383" s="1"/>
      <c r="C383" s="2"/>
      <c r="D383" s="125" t="s">
        <v>175</v>
      </c>
      <c r="E383" s="27"/>
      <c r="F383" s="115"/>
      <c r="G383" s="115"/>
      <c r="H383" s="115"/>
      <c r="I383" s="115"/>
      <c r="J383" s="115"/>
      <c r="K383" s="98" t="s">
        <v>41</v>
      </c>
      <c r="L383" s="99"/>
      <c r="M383" s="99"/>
      <c r="N383" s="115"/>
      <c r="O383" s="368"/>
      <c r="P383" s="368"/>
      <c r="Q383" s="368"/>
      <c r="R383" s="170" t="s">
        <v>184</v>
      </c>
      <c r="S383" s="170" t="s">
        <v>184</v>
      </c>
      <c r="T383" s="170" t="s">
        <v>184</v>
      </c>
      <c r="U383" s="170" t="s">
        <v>184</v>
      </c>
      <c r="V383" s="170" t="s">
        <v>184</v>
      </c>
      <c r="W383" s="27"/>
    </row>
    <row r="384" spans="1:23" customFormat="1" ht="15" customHeight="1">
      <c r="A384" s="1"/>
      <c r="B384" s="1"/>
      <c r="C384" s="2"/>
      <c r="D384" s="85"/>
      <c r="E384" s="1"/>
      <c r="F384" s="86"/>
      <c r="G384" s="86"/>
      <c r="H384" s="86"/>
      <c r="I384" s="86"/>
      <c r="J384" s="86"/>
      <c r="K384" s="87"/>
      <c r="L384" s="85"/>
      <c r="M384" s="85"/>
      <c r="N384" s="86"/>
      <c r="O384" s="86"/>
      <c r="P384" s="86"/>
      <c r="Q384" s="86"/>
      <c r="R384" s="1"/>
      <c r="S384" s="1"/>
      <c r="T384" s="1"/>
      <c r="U384" s="1"/>
      <c r="V384" s="1"/>
      <c r="W384" s="1"/>
    </row>
    <row r="385" spans="1:23" customFormat="1" ht="15" customHeight="1">
      <c r="A385" s="1"/>
      <c r="B385" s="1"/>
      <c r="C385" s="2"/>
      <c r="D385" s="88" t="s">
        <v>179</v>
      </c>
      <c r="E385" s="1"/>
      <c r="F385" s="107"/>
      <c r="G385" s="107"/>
      <c r="H385" s="107"/>
      <c r="I385" s="107"/>
      <c r="J385" s="107"/>
      <c r="K385" s="87"/>
      <c r="L385" s="85"/>
      <c r="M385" s="85"/>
      <c r="N385" s="107"/>
      <c r="O385" s="107"/>
      <c r="P385" s="107"/>
      <c r="Q385" s="107"/>
      <c r="R385" s="1"/>
      <c r="S385" s="1"/>
      <c r="T385" s="1"/>
      <c r="U385" s="1"/>
      <c r="V385" s="1"/>
      <c r="W385" s="1"/>
    </row>
    <row r="386" spans="1:23" customFormat="1" ht="15" customHeight="1">
      <c r="A386" s="1"/>
      <c r="B386" s="1"/>
      <c r="C386" s="2"/>
      <c r="D386" s="122" t="s">
        <v>152</v>
      </c>
      <c r="E386" s="15"/>
      <c r="F386" s="116"/>
      <c r="G386" s="116"/>
      <c r="H386" s="116"/>
      <c r="I386" s="116"/>
      <c r="J386" s="116"/>
      <c r="K386" s="117" t="s">
        <v>41</v>
      </c>
      <c r="L386" s="123"/>
      <c r="M386" s="123"/>
      <c r="N386" s="116"/>
      <c r="O386" s="369"/>
      <c r="P386" s="369"/>
      <c r="Q386" s="369"/>
      <c r="R386" s="168" t="s">
        <v>182</v>
      </c>
      <c r="S386" s="168" t="s">
        <v>182</v>
      </c>
      <c r="T386" s="168" t="s">
        <v>182</v>
      </c>
      <c r="U386" s="168" t="s">
        <v>182</v>
      </c>
      <c r="V386" s="168" t="s">
        <v>182</v>
      </c>
      <c r="W386" s="15"/>
    </row>
    <row r="387" spans="1:23" customFormat="1" ht="15" customHeight="1">
      <c r="A387" s="1"/>
      <c r="B387" s="1"/>
      <c r="C387" s="2"/>
      <c r="D387" s="124" t="s">
        <v>153</v>
      </c>
      <c r="E387" s="1"/>
      <c r="F387" s="107"/>
      <c r="G387" s="107"/>
      <c r="H387" s="107"/>
      <c r="I387" s="107"/>
      <c r="J387" s="107"/>
      <c r="K387" s="87" t="s">
        <v>41</v>
      </c>
      <c r="L387" s="85"/>
      <c r="M387" s="85"/>
      <c r="N387" s="107"/>
      <c r="O387" s="370"/>
      <c r="P387" s="370"/>
      <c r="Q387" s="370"/>
      <c r="R387" s="169" t="s">
        <v>182</v>
      </c>
      <c r="S387" s="169" t="s">
        <v>182</v>
      </c>
      <c r="T387" s="169" t="s">
        <v>182</v>
      </c>
      <c r="U387" s="169" t="s">
        <v>182</v>
      </c>
      <c r="V387" s="169" t="s">
        <v>182</v>
      </c>
      <c r="W387" s="1"/>
    </row>
    <row r="388" spans="1:23" customFormat="1" ht="15" customHeight="1">
      <c r="A388" s="1"/>
      <c r="B388" s="1"/>
      <c r="C388" s="2"/>
      <c r="D388" s="124" t="s">
        <v>154</v>
      </c>
      <c r="E388" s="1"/>
      <c r="F388" s="107"/>
      <c r="G388" s="107"/>
      <c r="H388" s="107"/>
      <c r="I388" s="107"/>
      <c r="J388" s="107"/>
      <c r="K388" s="87" t="s">
        <v>41</v>
      </c>
      <c r="L388" s="85"/>
      <c r="M388" s="85"/>
      <c r="N388" s="107"/>
      <c r="O388" s="370"/>
      <c r="P388" s="370"/>
      <c r="Q388" s="370"/>
      <c r="R388" s="169" t="s">
        <v>182</v>
      </c>
      <c r="S388" s="169" t="s">
        <v>182</v>
      </c>
      <c r="T388" s="169" t="s">
        <v>182</v>
      </c>
      <c r="U388" s="169" t="s">
        <v>182</v>
      </c>
      <c r="V388" s="169" t="s">
        <v>182</v>
      </c>
      <c r="W388" s="1"/>
    </row>
    <row r="389" spans="1:23" customFormat="1" ht="15" customHeight="1">
      <c r="A389" s="1"/>
      <c r="B389" s="1"/>
      <c r="C389" s="2"/>
      <c r="D389" s="124" t="s">
        <v>155</v>
      </c>
      <c r="E389" s="1"/>
      <c r="F389" s="107"/>
      <c r="G389" s="107"/>
      <c r="H389" s="107"/>
      <c r="I389" s="107"/>
      <c r="J389" s="107"/>
      <c r="K389" s="87" t="s">
        <v>41</v>
      </c>
      <c r="L389" s="85"/>
      <c r="M389" s="85"/>
      <c r="N389" s="107"/>
      <c r="O389" s="370"/>
      <c r="P389" s="370"/>
      <c r="Q389" s="370"/>
      <c r="R389" s="169" t="s">
        <v>182</v>
      </c>
      <c r="S389" s="169" t="s">
        <v>182</v>
      </c>
      <c r="T389" s="169" t="s">
        <v>182</v>
      </c>
      <c r="U389" s="169" t="s">
        <v>182</v>
      </c>
      <c r="V389" s="169" t="s">
        <v>182</v>
      </c>
      <c r="W389" s="1"/>
    </row>
    <row r="390" spans="1:23" customFormat="1" ht="15" customHeight="1">
      <c r="A390" s="1"/>
      <c r="B390" s="1"/>
      <c r="C390" s="2"/>
      <c r="D390" s="124" t="s">
        <v>156</v>
      </c>
      <c r="E390" s="1"/>
      <c r="F390" s="107"/>
      <c r="G390" s="107"/>
      <c r="H390" s="107"/>
      <c r="I390" s="107"/>
      <c r="J390" s="107"/>
      <c r="K390" s="87" t="s">
        <v>41</v>
      </c>
      <c r="L390" s="85"/>
      <c r="M390" s="85"/>
      <c r="N390" s="107"/>
      <c r="O390" s="370"/>
      <c r="P390" s="370"/>
      <c r="Q390" s="370"/>
      <c r="R390" s="169" t="s">
        <v>182</v>
      </c>
      <c r="S390" s="169" t="s">
        <v>182</v>
      </c>
      <c r="T390" s="169" t="s">
        <v>182</v>
      </c>
      <c r="U390" s="169" t="s">
        <v>182</v>
      </c>
      <c r="V390" s="169" t="s">
        <v>182</v>
      </c>
      <c r="W390" s="1"/>
    </row>
    <row r="391" spans="1:23" customFormat="1" ht="15" customHeight="1">
      <c r="A391" s="1"/>
      <c r="B391" s="1"/>
      <c r="C391" s="2"/>
      <c r="D391" s="124" t="s">
        <v>157</v>
      </c>
      <c r="E391" s="1"/>
      <c r="F391" s="107"/>
      <c r="G391" s="107"/>
      <c r="H391" s="107"/>
      <c r="I391" s="107"/>
      <c r="J391" s="107"/>
      <c r="K391" s="87" t="s">
        <v>41</v>
      </c>
      <c r="L391" s="85"/>
      <c r="M391" s="85"/>
      <c r="N391" s="107"/>
      <c r="O391" s="370"/>
      <c r="P391" s="370"/>
      <c r="Q391" s="370"/>
      <c r="R391" s="169" t="s">
        <v>182</v>
      </c>
      <c r="S391" s="169" t="s">
        <v>182</v>
      </c>
      <c r="T391" s="169" t="s">
        <v>182</v>
      </c>
      <c r="U391" s="169" t="s">
        <v>182</v>
      </c>
      <c r="V391" s="169" t="s">
        <v>182</v>
      </c>
      <c r="W391" s="1"/>
    </row>
    <row r="392" spans="1:23" customFormat="1" ht="15" customHeight="1">
      <c r="A392" s="1"/>
      <c r="B392" s="1"/>
      <c r="C392" s="2"/>
      <c r="D392" s="124" t="s">
        <v>158</v>
      </c>
      <c r="E392" s="1"/>
      <c r="F392" s="107"/>
      <c r="G392" s="107"/>
      <c r="H392" s="107"/>
      <c r="I392" s="107"/>
      <c r="J392" s="107"/>
      <c r="K392" s="87" t="s">
        <v>41</v>
      </c>
      <c r="L392" s="85"/>
      <c r="M392" s="85"/>
      <c r="N392" s="107"/>
      <c r="O392" s="370"/>
      <c r="P392" s="370"/>
      <c r="Q392" s="370"/>
      <c r="R392" s="169" t="s">
        <v>184</v>
      </c>
      <c r="S392" s="169" t="s">
        <v>184</v>
      </c>
      <c r="T392" s="169" t="s">
        <v>184</v>
      </c>
      <c r="U392" s="169" t="s">
        <v>184</v>
      </c>
      <c r="V392" s="169" t="s">
        <v>184</v>
      </c>
      <c r="W392" s="1"/>
    </row>
    <row r="393" spans="1:23" customFormat="1" ht="15" customHeight="1">
      <c r="A393" s="1"/>
      <c r="B393" s="1"/>
      <c r="C393" s="2"/>
      <c r="D393" s="124" t="s">
        <v>159</v>
      </c>
      <c r="E393" s="1"/>
      <c r="F393" s="107"/>
      <c r="G393" s="107"/>
      <c r="H393" s="107"/>
      <c r="I393" s="107"/>
      <c r="J393" s="107"/>
      <c r="K393" s="87" t="s">
        <v>41</v>
      </c>
      <c r="L393" s="85"/>
      <c r="M393" s="85"/>
      <c r="N393" s="107"/>
      <c r="O393" s="370"/>
      <c r="P393" s="370"/>
      <c r="Q393" s="370"/>
      <c r="R393" s="169" t="s">
        <v>184</v>
      </c>
      <c r="S393" s="169" t="s">
        <v>184</v>
      </c>
      <c r="T393" s="169" t="s">
        <v>184</v>
      </c>
      <c r="U393" s="169" t="s">
        <v>184</v>
      </c>
      <c r="V393" s="169" t="s">
        <v>184</v>
      </c>
      <c r="W393" s="1"/>
    </row>
    <row r="394" spans="1:23" customFormat="1" ht="15" customHeight="1">
      <c r="A394" s="1"/>
      <c r="B394" s="1"/>
      <c r="C394" s="2"/>
      <c r="D394" s="124" t="s">
        <v>160</v>
      </c>
      <c r="E394" s="1"/>
      <c r="F394" s="107"/>
      <c r="G394" s="107"/>
      <c r="H394" s="107"/>
      <c r="I394" s="107"/>
      <c r="J394" s="107"/>
      <c r="K394" s="87" t="s">
        <v>41</v>
      </c>
      <c r="L394" s="85"/>
      <c r="M394" s="85"/>
      <c r="N394" s="107"/>
      <c r="O394" s="370"/>
      <c r="P394" s="370"/>
      <c r="Q394" s="370"/>
      <c r="R394" s="169" t="s">
        <v>184</v>
      </c>
      <c r="S394" s="169" t="s">
        <v>184</v>
      </c>
      <c r="T394" s="169" t="s">
        <v>184</v>
      </c>
      <c r="U394" s="169" t="s">
        <v>184</v>
      </c>
      <c r="V394" s="169" t="s">
        <v>184</v>
      </c>
      <c r="W394" s="1"/>
    </row>
    <row r="395" spans="1:23" customFormat="1" ht="15" customHeight="1">
      <c r="A395" s="1"/>
      <c r="B395" s="1"/>
      <c r="C395" s="2"/>
      <c r="D395" s="124" t="s">
        <v>161</v>
      </c>
      <c r="E395" s="1"/>
      <c r="F395" s="107"/>
      <c r="G395" s="107"/>
      <c r="H395" s="107"/>
      <c r="I395" s="107"/>
      <c r="J395" s="107"/>
      <c r="K395" s="87" t="s">
        <v>41</v>
      </c>
      <c r="L395" s="85"/>
      <c r="M395" s="85"/>
      <c r="N395" s="107"/>
      <c r="O395" s="370"/>
      <c r="P395" s="370"/>
      <c r="Q395" s="370"/>
      <c r="R395" s="169" t="s">
        <v>184</v>
      </c>
      <c r="S395" s="169" t="s">
        <v>184</v>
      </c>
      <c r="T395" s="169" t="s">
        <v>184</v>
      </c>
      <c r="U395" s="169" t="s">
        <v>184</v>
      </c>
      <c r="V395" s="169" t="s">
        <v>184</v>
      </c>
      <c r="W395" s="1"/>
    </row>
    <row r="396" spans="1:23" customFormat="1" ht="15" customHeight="1">
      <c r="A396" s="1"/>
      <c r="B396" s="1"/>
      <c r="C396" s="2"/>
      <c r="D396" s="124" t="s">
        <v>162</v>
      </c>
      <c r="E396" s="1"/>
      <c r="F396" s="107"/>
      <c r="G396" s="107"/>
      <c r="H396" s="107"/>
      <c r="I396" s="107"/>
      <c r="J396" s="107"/>
      <c r="K396" s="87" t="s">
        <v>41</v>
      </c>
      <c r="L396" s="85"/>
      <c r="M396" s="85"/>
      <c r="N396" s="107"/>
      <c r="O396" s="370"/>
      <c r="P396" s="370"/>
      <c r="Q396" s="370"/>
      <c r="R396" s="169" t="s">
        <v>184</v>
      </c>
      <c r="S396" s="169" t="s">
        <v>184</v>
      </c>
      <c r="T396" s="169" t="s">
        <v>184</v>
      </c>
      <c r="U396" s="169" t="s">
        <v>184</v>
      </c>
      <c r="V396" s="169" t="s">
        <v>184</v>
      </c>
      <c r="W396" s="1"/>
    </row>
    <row r="397" spans="1:23" customFormat="1" ht="15" customHeight="1">
      <c r="A397" s="1"/>
      <c r="B397" s="1"/>
      <c r="C397" s="2"/>
      <c r="D397" s="124" t="s">
        <v>163</v>
      </c>
      <c r="E397" s="1"/>
      <c r="F397" s="107"/>
      <c r="G397" s="107"/>
      <c r="H397" s="107"/>
      <c r="I397" s="107"/>
      <c r="J397" s="107"/>
      <c r="K397" s="87" t="s">
        <v>41</v>
      </c>
      <c r="L397" s="85"/>
      <c r="M397" s="85"/>
      <c r="N397" s="107"/>
      <c r="O397" s="370"/>
      <c r="P397" s="370"/>
      <c r="Q397" s="370"/>
      <c r="R397" s="169" t="s">
        <v>184</v>
      </c>
      <c r="S397" s="169" t="s">
        <v>184</v>
      </c>
      <c r="T397" s="169" t="s">
        <v>184</v>
      </c>
      <c r="U397" s="169" t="s">
        <v>184</v>
      </c>
      <c r="V397" s="169" t="s">
        <v>184</v>
      </c>
      <c r="W397" s="1"/>
    </row>
    <row r="398" spans="1:23" customFormat="1" ht="15" customHeight="1">
      <c r="A398" s="1"/>
      <c r="B398" s="1"/>
      <c r="C398" s="2"/>
      <c r="D398" s="124" t="s">
        <v>164</v>
      </c>
      <c r="E398" s="1"/>
      <c r="F398" s="107"/>
      <c r="G398" s="107"/>
      <c r="H398" s="107"/>
      <c r="I398" s="107"/>
      <c r="J398" s="107"/>
      <c r="K398" s="87" t="s">
        <v>41</v>
      </c>
      <c r="L398" s="85"/>
      <c r="M398" s="85"/>
      <c r="N398" s="107"/>
      <c r="O398" s="370"/>
      <c r="P398" s="370"/>
      <c r="Q398" s="370"/>
      <c r="R398" s="169" t="s">
        <v>184</v>
      </c>
      <c r="S398" s="169" t="s">
        <v>184</v>
      </c>
      <c r="T398" s="169" t="s">
        <v>184</v>
      </c>
      <c r="U398" s="169" t="s">
        <v>184</v>
      </c>
      <c r="V398" s="169" t="s">
        <v>184</v>
      </c>
      <c r="W398" s="1"/>
    </row>
    <row r="399" spans="1:23" customFormat="1" ht="15" customHeight="1">
      <c r="A399" s="1"/>
      <c r="B399" s="1"/>
      <c r="C399" s="2"/>
      <c r="D399" s="124" t="s">
        <v>165</v>
      </c>
      <c r="E399" s="1"/>
      <c r="F399" s="107"/>
      <c r="G399" s="107"/>
      <c r="H399" s="107"/>
      <c r="I399" s="107"/>
      <c r="J399" s="107"/>
      <c r="K399" s="87" t="s">
        <v>41</v>
      </c>
      <c r="L399" s="85"/>
      <c r="M399" s="85"/>
      <c r="N399" s="107"/>
      <c r="O399" s="370"/>
      <c r="P399" s="370"/>
      <c r="Q399" s="370"/>
      <c r="R399" s="169" t="s">
        <v>184</v>
      </c>
      <c r="S399" s="169" t="s">
        <v>184</v>
      </c>
      <c r="T399" s="169" t="s">
        <v>184</v>
      </c>
      <c r="U399" s="169" t="s">
        <v>184</v>
      </c>
      <c r="V399" s="169" t="s">
        <v>184</v>
      </c>
      <c r="W399" s="1"/>
    </row>
    <row r="400" spans="1:23" customFormat="1" ht="15" customHeight="1">
      <c r="A400" s="1"/>
      <c r="B400" s="1"/>
      <c r="C400" s="2"/>
      <c r="D400" s="124" t="s">
        <v>166</v>
      </c>
      <c r="E400" s="1"/>
      <c r="F400" s="107"/>
      <c r="G400" s="107"/>
      <c r="H400" s="107"/>
      <c r="I400" s="107"/>
      <c r="J400" s="107"/>
      <c r="K400" s="87" t="s">
        <v>41</v>
      </c>
      <c r="L400" s="85"/>
      <c r="M400" s="85"/>
      <c r="N400" s="107"/>
      <c r="O400" s="370"/>
      <c r="P400" s="370"/>
      <c r="Q400" s="370"/>
      <c r="R400" s="169" t="s">
        <v>184</v>
      </c>
      <c r="S400" s="169" t="s">
        <v>184</v>
      </c>
      <c r="T400" s="169" t="s">
        <v>184</v>
      </c>
      <c r="U400" s="169" t="s">
        <v>184</v>
      </c>
      <c r="V400" s="169" t="s">
        <v>184</v>
      </c>
      <c r="W400" s="1"/>
    </row>
    <row r="401" spans="1:23" customFormat="1" ht="15" customHeight="1">
      <c r="A401" s="1"/>
      <c r="B401" s="1"/>
      <c r="C401" s="2"/>
      <c r="D401" s="124" t="s">
        <v>167</v>
      </c>
      <c r="E401" s="1"/>
      <c r="F401" s="107"/>
      <c r="G401" s="107"/>
      <c r="H401" s="107"/>
      <c r="I401" s="107"/>
      <c r="J401" s="107"/>
      <c r="K401" s="87" t="s">
        <v>41</v>
      </c>
      <c r="L401" s="85"/>
      <c r="M401" s="85"/>
      <c r="N401" s="107"/>
      <c r="O401" s="370"/>
      <c r="P401" s="370"/>
      <c r="Q401" s="370"/>
      <c r="R401" s="169" t="s">
        <v>184</v>
      </c>
      <c r="S401" s="169" t="s">
        <v>184</v>
      </c>
      <c r="T401" s="169" t="s">
        <v>184</v>
      </c>
      <c r="U401" s="169" t="s">
        <v>184</v>
      </c>
      <c r="V401" s="169" t="s">
        <v>184</v>
      </c>
      <c r="W401" s="1"/>
    </row>
    <row r="402" spans="1:23" customFormat="1" ht="15" customHeight="1">
      <c r="A402" s="1"/>
      <c r="B402" s="1"/>
      <c r="C402" s="2"/>
      <c r="D402" s="124" t="s">
        <v>168</v>
      </c>
      <c r="E402" s="1"/>
      <c r="F402" s="107"/>
      <c r="G402" s="107"/>
      <c r="H402" s="107"/>
      <c r="I402" s="107"/>
      <c r="J402" s="107"/>
      <c r="K402" s="87" t="s">
        <v>41</v>
      </c>
      <c r="L402" s="85"/>
      <c r="M402" s="85"/>
      <c r="N402" s="107"/>
      <c r="O402" s="370"/>
      <c r="P402" s="370"/>
      <c r="Q402" s="370"/>
      <c r="R402" s="169" t="s">
        <v>184</v>
      </c>
      <c r="S402" s="169" t="s">
        <v>184</v>
      </c>
      <c r="T402" s="169" t="s">
        <v>184</v>
      </c>
      <c r="U402" s="169" t="s">
        <v>184</v>
      </c>
      <c r="V402" s="169" t="s">
        <v>184</v>
      </c>
      <c r="W402" s="1"/>
    </row>
    <row r="403" spans="1:23" customFormat="1" ht="15" customHeight="1">
      <c r="A403" s="1"/>
      <c r="B403" s="1"/>
      <c r="C403" s="2"/>
      <c r="D403" s="124" t="s">
        <v>169</v>
      </c>
      <c r="E403" s="1"/>
      <c r="F403" s="107"/>
      <c r="G403" s="107"/>
      <c r="H403" s="107"/>
      <c r="I403" s="107"/>
      <c r="J403" s="107"/>
      <c r="K403" s="87" t="s">
        <v>41</v>
      </c>
      <c r="L403" s="85"/>
      <c r="M403" s="85"/>
      <c r="N403" s="107"/>
      <c r="O403" s="370"/>
      <c r="P403" s="370"/>
      <c r="Q403" s="370"/>
      <c r="R403" s="169" t="s">
        <v>184</v>
      </c>
      <c r="S403" s="169" t="s">
        <v>184</v>
      </c>
      <c r="T403" s="169" t="s">
        <v>184</v>
      </c>
      <c r="U403" s="169" t="s">
        <v>184</v>
      </c>
      <c r="V403" s="169" t="s">
        <v>185</v>
      </c>
      <c r="W403" s="1"/>
    </row>
    <row r="404" spans="1:23" customFormat="1" ht="15" customHeight="1">
      <c r="A404" s="1"/>
      <c r="B404" s="1"/>
      <c r="C404" s="2"/>
      <c r="D404" s="124" t="s">
        <v>170</v>
      </c>
      <c r="E404" s="1"/>
      <c r="F404" s="107"/>
      <c r="G404" s="107"/>
      <c r="H404" s="107"/>
      <c r="I404" s="107"/>
      <c r="J404" s="107"/>
      <c r="K404" s="87" t="s">
        <v>41</v>
      </c>
      <c r="L404" s="85"/>
      <c r="M404" s="85"/>
      <c r="N404" s="107"/>
      <c r="O404" s="370"/>
      <c r="P404" s="370"/>
      <c r="Q404" s="370"/>
      <c r="R404" s="169" t="s">
        <v>184</v>
      </c>
      <c r="S404" s="169" t="s">
        <v>184</v>
      </c>
      <c r="T404" s="169" t="s">
        <v>184</v>
      </c>
      <c r="U404" s="169" t="s">
        <v>184</v>
      </c>
      <c r="V404" s="169" t="s">
        <v>185</v>
      </c>
      <c r="W404" s="1"/>
    </row>
    <row r="405" spans="1:23" customFormat="1" ht="15" customHeight="1">
      <c r="A405" s="1"/>
      <c r="B405" s="1"/>
      <c r="C405" s="2"/>
      <c r="D405" s="124" t="s">
        <v>171</v>
      </c>
      <c r="E405" s="1"/>
      <c r="F405" s="107"/>
      <c r="G405" s="107"/>
      <c r="H405" s="107"/>
      <c r="I405" s="107"/>
      <c r="J405" s="107"/>
      <c r="K405" s="87" t="s">
        <v>41</v>
      </c>
      <c r="L405" s="85"/>
      <c r="M405" s="85"/>
      <c r="N405" s="107"/>
      <c r="O405" s="370"/>
      <c r="P405" s="370"/>
      <c r="Q405" s="370"/>
      <c r="R405" s="169" t="s">
        <v>184</v>
      </c>
      <c r="S405" s="169" t="s">
        <v>184</v>
      </c>
      <c r="T405" s="169" t="s">
        <v>184</v>
      </c>
      <c r="U405" s="169" t="s">
        <v>184</v>
      </c>
      <c r="V405" s="169" t="s">
        <v>185</v>
      </c>
      <c r="W405" s="1"/>
    </row>
    <row r="406" spans="1:23" customFormat="1" ht="15" customHeight="1">
      <c r="A406" s="1"/>
      <c r="B406" s="1"/>
      <c r="C406" s="2"/>
      <c r="D406" s="124" t="s">
        <v>172</v>
      </c>
      <c r="E406" s="1"/>
      <c r="F406" s="107"/>
      <c r="G406" s="107"/>
      <c r="H406" s="107"/>
      <c r="I406" s="107"/>
      <c r="J406" s="107"/>
      <c r="K406" s="87" t="s">
        <v>41</v>
      </c>
      <c r="L406" s="85"/>
      <c r="M406" s="85"/>
      <c r="N406" s="107"/>
      <c r="O406" s="370"/>
      <c r="P406" s="370"/>
      <c r="Q406" s="370"/>
      <c r="R406" s="169" t="s">
        <v>184</v>
      </c>
      <c r="S406" s="169" t="s">
        <v>184</v>
      </c>
      <c r="T406" s="169" t="s">
        <v>184</v>
      </c>
      <c r="U406" s="169" t="s">
        <v>184</v>
      </c>
      <c r="V406" s="169" t="s">
        <v>185</v>
      </c>
      <c r="W406" s="1"/>
    </row>
    <row r="407" spans="1:23" customFormat="1" ht="15" customHeight="1">
      <c r="A407" s="1"/>
      <c r="B407" s="1"/>
      <c r="C407" s="2"/>
      <c r="D407" s="124" t="s">
        <v>173</v>
      </c>
      <c r="E407" s="1"/>
      <c r="F407" s="107"/>
      <c r="G407" s="107"/>
      <c r="H407" s="107"/>
      <c r="I407" s="107"/>
      <c r="J407" s="107"/>
      <c r="K407" s="87" t="s">
        <v>41</v>
      </c>
      <c r="L407" s="85"/>
      <c r="M407" s="85"/>
      <c r="N407" s="107"/>
      <c r="O407" s="370"/>
      <c r="P407" s="370"/>
      <c r="Q407" s="370"/>
      <c r="R407" s="169" t="s">
        <v>184</v>
      </c>
      <c r="S407" s="169" t="s">
        <v>184</v>
      </c>
      <c r="T407" s="169" t="s">
        <v>184</v>
      </c>
      <c r="U407" s="169" t="s">
        <v>184</v>
      </c>
      <c r="V407" s="169" t="s">
        <v>184</v>
      </c>
      <c r="W407" s="1"/>
    </row>
    <row r="408" spans="1:23" customFormat="1" ht="15" customHeight="1">
      <c r="A408" s="1"/>
      <c r="B408" s="1"/>
      <c r="C408" s="2"/>
      <c r="D408" s="124" t="s">
        <v>174</v>
      </c>
      <c r="E408" s="1"/>
      <c r="F408" s="107"/>
      <c r="G408" s="107"/>
      <c r="H408" s="107"/>
      <c r="I408" s="107"/>
      <c r="J408" s="107"/>
      <c r="K408" s="87" t="s">
        <v>41</v>
      </c>
      <c r="L408" s="85"/>
      <c r="M408" s="85"/>
      <c r="N408" s="107"/>
      <c r="O408" s="370"/>
      <c r="P408" s="370"/>
      <c r="Q408" s="370"/>
      <c r="R408" s="169" t="s">
        <v>184</v>
      </c>
      <c r="S408" s="169" t="s">
        <v>184</v>
      </c>
      <c r="T408" s="169" t="s">
        <v>184</v>
      </c>
      <c r="U408" s="169" t="s">
        <v>184</v>
      </c>
      <c r="V408" s="169" t="s">
        <v>184</v>
      </c>
      <c r="W408" s="1"/>
    </row>
    <row r="409" spans="1:23" customFormat="1" ht="15" customHeight="1">
      <c r="A409" s="1"/>
      <c r="B409" s="1"/>
      <c r="C409" s="2"/>
      <c r="D409" s="125" t="s">
        <v>175</v>
      </c>
      <c r="E409" s="27"/>
      <c r="F409" s="115"/>
      <c r="G409" s="115"/>
      <c r="H409" s="115"/>
      <c r="I409" s="115"/>
      <c r="J409" s="115"/>
      <c r="K409" s="98" t="s">
        <v>41</v>
      </c>
      <c r="L409" s="99"/>
      <c r="M409" s="99"/>
      <c r="N409" s="115"/>
      <c r="O409" s="368"/>
      <c r="P409" s="368"/>
      <c r="Q409" s="368"/>
      <c r="R409" s="170" t="s">
        <v>184</v>
      </c>
      <c r="S409" s="170" t="s">
        <v>184</v>
      </c>
      <c r="T409" s="170" t="s">
        <v>184</v>
      </c>
      <c r="U409" s="170" t="s">
        <v>184</v>
      </c>
      <c r="V409" s="170" t="s">
        <v>184</v>
      </c>
      <c r="W409" s="27"/>
    </row>
    <row r="410" spans="1:23" customFormat="1" ht="15" customHeight="1">
      <c r="A410" s="1"/>
      <c r="B410" s="1"/>
      <c r="C410" s="2"/>
      <c r="D410" s="85"/>
      <c r="E410" s="1"/>
      <c r="F410" s="86"/>
      <c r="G410" s="86"/>
      <c r="H410" s="86"/>
      <c r="I410" s="86"/>
      <c r="J410" s="86"/>
      <c r="K410" s="87"/>
      <c r="L410" s="85"/>
      <c r="M410" s="85"/>
      <c r="N410" s="86"/>
      <c r="O410" s="86"/>
      <c r="P410" s="86"/>
      <c r="Q410" s="86"/>
      <c r="R410" s="1"/>
      <c r="S410" s="1"/>
      <c r="T410" s="1"/>
      <c r="U410" s="1"/>
      <c r="V410" s="1"/>
      <c r="W410" s="1"/>
    </row>
    <row r="411" spans="1:23" customFormat="1" ht="15" customHeight="1">
      <c r="A411" s="1"/>
      <c r="B411" s="1"/>
      <c r="C411" s="2"/>
      <c r="D411" s="88" t="s">
        <v>180</v>
      </c>
      <c r="E411" s="1"/>
      <c r="F411" s="107"/>
      <c r="G411" s="107"/>
      <c r="H411" s="107"/>
      <c r="I411" s="107"/>
      <c r="J411" s="107"/>
      <c r="K411" s="87"/>
      <c r="L411" s="85"/>
      <c r="M411" s="85"/>
      <c r="N411" s="107"/>
      <c r="O411" s="107"/>
      <c r="P411" s="107"/>
      <c r="Q411" s="107"/>
      <c r="R411" s="1"/>
      <c r="S411" s="1"/>
      <c r="T411" s="1"/>
      <c r="U411" s="1"/>
      <c r="V411" s="1"/>
      <c r="W411" s="1"/>
    </row>
    <row r="412" spans="1:23" customFormat="1" ht="15" customHeight="1">
      <c r="A412" s="1"/>
      <c r="B412" s="1"/>
      <c r="C412" s="2"/>
      <c r="D412" s="122" t="s">
        <v>152</v>
      </c>
      <c r="E412" s="15"/>
      <c r="F412" s="116"/>
      <c r="G412" s="116"/>
      <c r="H412" s="116"/>
      <c r="I412" s="116"/>
      <c r="J412" s="116"/>
      <c r="K412" s="117" t="s">
        <v>41</v>
      </c>
      <c r="L412" s="56"/>
      <c r="M412" s="123">
        <f xml:space="preserve"> -- ( V412 &lt;&gt; V360 )</f>
        <v>0</v>
      </c>
      <c r="N412" s="116"/>
      <c r="O412" s="369"/>
      <c r="P412" s="369"/>
      <c r="Q412" s="369"/>
      <c r="R412" s="168" t="s">
        <v>182</v>
      </c>
      <c r="S412" s="168" t="s">
        <v>182</v>
      </c>
      <c r="T412" s="168" t="s">
        <v>182</v>
      </c>
      <c r="U412" s="171" t="s">
        <v>182</v>
      </c>
      <c r="V412" s="172" t="str">
        <f xml:space="preserve"> V360</f>
        <v>Lavlast</v>
      </c>
      <c r="W412" s="15"/>
    </row>
    <row r="413" spans="1:23" customFormat="1" ht="15" customHeight="1">
      <c r="A413" s="1"/>
      <c r="B413" s="1"/>
      <c r="C413" s="2"/>
      <c r="D413" s="124" t="s">
        <v>153</v>
      </c>
      <c r="E413" s="1"/>
      <c r="F413" s="107"/>
      <c r="G413" s="107"/>
      <c r="H413" s="107"/>
      <c r="I413" s="107"/>
      <c r="J413" s="107"/>
      <c r="K413" s="87" t="s">
        <v>41</v>
      </c>
      <c r="M413" s="85">
        <f t="shared" ref="M413:M435" si="16" xml:space="preserve"> -- ( V413 &lt;&gt; V361 )</f>
        <v>0</v>
      </c>
      <c r="N413" s="107"/>
      <c r="O413" s="370"/>
      <c r="P413" s="370"/>
      <c r="Q413" s="370"/>
      <c r="R413" s="169" t="s">
        <v>182</v>
      </c>
      <c r="S413" s="169" t="s">
        <v>182</v>
      </c>
      <c r="T413" s="169" t="s">
        <v>182</v>
      </c>
      <c r="U413" s="173" t="s">
        <v>182</v>
      </c>
      <c r="V413" s="174" t="str">
        <f t="shared" ref="V413:V435" si="17" xml:space="preserve"> V361</f>
        <v>Lavlast</v>
      </c>
      <c r="W413" s="1"/>
    </row>
    <row r="414" spans="1:23" customFormat="1" ht="15" customHeight="1">
      <c r="A414" s="1"/>
      <c r="B414" s="1"/>
      <c r="C414" s="2"/>
      <c r="D414" s="124" t="s">
        <v>154</v>
      </c>
      <c r="E414" s="1"/>
      <c r="F414" s="107"/>
      <c r="G414" s="107"/>
      <c r="H414" s="107"/>
      <c r="I414" s="107"/>
      <c r="J414" s="107"/>
      <c r="K414" s="87" t="s">
        <v>41</v>
      </c>
      <c r="M414" s="85">
        <f t="shared" si="16"/>
        <v>0</v>
      </c>
      <c r="N414" s="107"/>
      <c r="O414" s="370"/>
      <c r="P414" s="370"/>
      <c r="Q414" s="370"/>
      <c r="R414" s="169" t="s">
        <v>182</v>
      </c>
      <c r="S414" s="169" t="s">
        <v>182</v>
      </c>
      <c r="T414" s="169" t="s">
        <v>182</v>
      </c>
      <c r="U414" s="173" t="s">
        <v>182</v>
      </c>
      <c r="V414" s="174" t="str">
        <f t="shared" si="17"/>
        <v>Lavlast</v>
      </c>
      <c r="W414" s="1"/>
    </row>
    <row r="415" spans="1:23" customFormat="1" ht="15" customHeight="1">
      <c r="A415" s="1"/>
      <c r="B415" s="1"/>
      <c r="C415" s="2"/>
      <c r="D415" s="124" t="s">
        <v>155</v>
      </c>
      <c r="E415" s="1"/>
      <c r="F415" s="107"/>
      <c r="G415" s="107"/>
      <c r="H415" s="107"/>
      <c r="I415" s="107"/>
      <c r="J415" s="107"/>
      <c r="K415" s="87" t="s">
        <v>41</v>
      </c>
      <c r="M415" s="85">
        <f t="shared" si="16"/>
        <v>0</v>
      </c>
      <c r="N415" s="107"/>
      <c r="O415" s="370"/>
      <c r="P415" s="370"/>
      <c r="Q415" s="370"/>
      <c r="R415" s="169" t="s">
        <v>182</v>
      </c>
      <c r="S415" s="169" t="s">
        <v>182</v>
      </c>
      <c r="T415" s="169" t="s">
        <v>182</v>
      </c>
      <c r="U415" s="173" t="s">
        <v>182</v>
      </c>
      <c r="V415" s="174" t="str">
        <f t="shared" si="17"/>
        <v>Lavlast</v>
      </c>
      <c r="W415" s="1"/>
    </row>
    <row r="416" spans="1:23" customFormat="1" ht="15" customHeight="1">
      <c r="A416" s="1"/>
      <c r="B416" s="1"/>
      <c r="C416" s="2"/>
      <c r="D416" s="124" t="s">
        <v>156</v>
      </c>
      <c r="E416" s="1"/>
      <c r="F416" s="107"/>
      <c r="G416" s="107"/>
      <c r="H416" s="107"/>
      <c r="I416" s="107"/>
      <c r="J416" s="107"/>
      <c r="K416" s="87" t="s">
        <v>41</v>
      </c>
      <c r="M416" s="85">
        <f t="shared" si="16"/>
        <v>0</v>
      </c>
      <c r="N416" s="107"/>
      <c r="O416" s="370"/>
      <c r="P416" s="370"/>
      <c r="Q416" s="370"/>
      <c r="R416" s="169" t="s">
        <v>182</v>
      </c>
      <c r="S416" s="169" t="s">
        <v>182</v>
      </c>
      <c r="T416" s="169" t="s">
        <v>182</v>
      </c>
      <c r="U416" s="173" t="s">
        <v>182</v>
      </c>
      <c r="V416" s="174" t="str">
        <f t="shared" si="17"/>
        <v>Lavlast</v>
      </c>
      <c r="W416" s="1"/>
    </row>
    <row r="417" spans="1:23" customFormat="1" ht="15" customHeight="1">
      <c r="A417" s="1"/>
      <c r="B417" s="1"/>
      <c r="C417" s="2"/>
      <c r="D417" s="124" t="s">
        <v>157</v>
      </c>
      <c r="E417" s="1"/>
      <c r="F417" s="107"/>
      <c r="G417" s="107"/>
      <c r="H417" s="107"/>
      <c r="I417" s="107"/>
      <c r="J417" s="107"/>
      <c r="K417" s="87" t="s">
        <v>41</v>
      </c>
      <c r="M417" s="85">
        <f t="shared" si="16"/>
        <v>0</v>
      </c>
      <c r="N417" s="107"/>
      <c r="O417" s="370"/>
      <c r="P417" s="370"/>
      <c r="Q417" s="370"/>
      <c r="R417" s="169" t="s">
        <v>182</v>
      </c>
      <c r="S417" s="169" t="s">
        <v>182</v>
      </c>
      <c r="T417" s="169" t="s">
        <v>182</v>
      </c>
      <c r="U417" s="173" t="s">
        <v>182</v>
      </c>
      <c r="V417" s="174" t="str">
        <f t="shared" si="17"/>
        <v>Lavlast</v>
      </c>
      <c r="W417" s="1"/>
    </row>
    <row r="418" spans="1:23" customFormat="1" ht="15" customHeight="1">
      <c r="A418" s="1"/>
      <c r="B418" s="1"/>
      <c r="C418" s="2"/>
      <c r="D418" s="124" t="s">
        <v>158</v>
      </c>
      <c r="E418" s="1"/>
      <c r="F418" s="107"/>
      <c r="G418" s="107"/>
      <c r="H418" s="107"/>
      <c r="I418" s="107"/>
      <c r="J418" s="107"/>
      <c r="K418" s="87" t="s">
        <v>41</v>
      </c>
      <c r="M418" s="85">
        <f t="shared" si="16"/>
        <v>0</v>
      </c>
      <c r="N418" s="107"/>
      <c r="O418" s="370"/>
      <c r="P418" s="370"/>
      <c r="Q418" s="370"/>
      <c r="R418" s="169" t="s">
        <v>184</v>
      </c>
      <c r="S418" s="169" t="s">
        <v>184</v>
      </c>
      <c r="T418" s="169" t="s">
        <v>184</v>
      </c>
      <c r="U418" s="173" t="s">
        <v>184</v>
      </c>
      <c r="V418" s="174" t="str">
        <f t="shared" si="17"/>
        <v>Højlast</v>
      </c>
      <c r="W418" s="1"/>
    </row>
    <row r="419" spans="1:23" customFormat="1" ht="15" customHeight="1">
      <c r="A419" s="1"/>
      <c r="B419" s="1"/>
      <c r="C419" s="2"/>
      <c r="D419" s="124" t="s">
        <v>159</v>
      </c>
      <c r="E419" s="1"/>
      <c r="F419" s="107"/>
      <c r="G419" s="107"/>
      <c r="H419" s="107"/>
      <c r="I419" s="107"/>
      <c r="J419" s="107"/>
      <c r="K419" s="87" t="s">
        <v>41</v>
      </c>
      <c r="M419" s="85">
        <f t="shared" si="16"/>
        <v>0</v>
      </c>
      <c r="N419" s="107"/>
      <c r="O419" s="370"/>
      <c r="P419" s="370"/>
      <c r="Q419" s="370"/>
      <c r="R419" s="169" t="s">
        <v>184</v>
      </c>
      <c r="S419" s="169" t="s">
        <v>184</v>
      </c>
      <c r="T419" s="169" t="s">
        <v>184</v>
      </c>
      <c r="U419" s="173" t="s">
        <v>184</v>
      </c>
      <c r="V419" s="174" t="str">
        <f t="shared" si="17"/>
        <v>Højlast</v>
      </c>
      <c r="W419" s="1"/>
    </row>
    <row r="420" spans="1:23" customFormat="1" ht="15" customHeight="1">
      <c r="A420" s="1"/>
      <c r="B420" s="1"/>
      <c r="C420" s="2"/>
      <c r="D420" s="124" t="s">
        <v>160</v>
      </c>
      <c r="E420" s="1"/>
      <c r="F420" s="107"/>
      <c r="G420" s="107"/>
      <c r="H420" s="107"/>
      <c r="I420" s="107"/>
      <c r="J420" s="107"/>
      <c r="K420" s="87" t="s">
        <v>41</v>
      </c>
      <c r="M420" s="85">
        <f t="shared" si="16"/>
        <v>0</v>
      </c>
      <c r="N420" s="107"/>
      <c r="O420" s="370"/>
      <c r="P420" s="370"/>
      <c r="Q420" s="370"/>
      <c r="R420" s="169" t="s">
        <v>184</v>
      </c>
      <c r="S420" s="169" t="s">
        <v>184</v>
      </c>
      <c r="T420" s="169" t="s">
        <v>184</v>
      </c>
      <c r="U420" s="173" t="s">
        <v>184</v>
      </c>
      <c r="V420" s="174" t="str">
        <f t="shared" si="17"/>
        <v>Højlast</v>
      </c>
      <c r="W420" s="1"/>
    </row>
    <row r="421" spans="1:23" customFormat="1" ht="15" customHeight="1">
      <c r="A421" s="1"/>
      <c r="B421" s="1"/>
      <c r="C421" s="2"/>
      <c r="D421" s="124" t="s">
        <v>161</v>
      </c>
      <c r="E421" s="1"/>
      <c r="F421" s="107"/>
      <c r="G421" s="107"/>
      <c r="H421" s="107"/>
      <c r="I421" s="107"/>
      <c r="J421" s="107"/>
      <c r="K421" s="87" t="s">
        <v>41</v>
      </c>
      <c r="M421" s="85">
        <f t="shared" si="16"/>
        <v>0</v>
      </c>
      <c r="N421" s="107"/>
      <c r="O421" s="370"/>
      <c r="P421" s="370"/>
      <c r="Q421" s="370"/>
      <c r="R421" s="169" t="s">
        <v>184</v>
      </c>
      <c r="S421" s="169" t="s">
        <v>184</v>
      </c>
      <c r="T421" s="169" t="s">
        <v>184</v>
      </c>
      <c r="U421" s="173" t="s">
        <v>184</v>
      </c>
      <c r="V421" s="174" t="str">
        <f t="shared" si="17"/>
        <v>Højlast</v>
      </c>
      <c r="W421" s="1"/>
    </row>
    <row r="422" spans="1:23" customFormat="1" ht="15" customHeight="1">
      <c r="A422" s="1"/>
      <c r="B422" s="1"/>
      <c r="C422" s="2"/>
      <c r="D422" s="124" t="s">
        <v>162</v>
      </c>
      <c r="E422" s="1"/>
      <c r="F422" s="107"/>
      <c r="G422" s="107"/>
      <c r="H422" s="107"/>
      <c r="I422" s="107"/>
      <c r="J422" s="107"/>
      <c r="K422" s="87" t="s">
        <v>41</v>
      </c>
      <c r="M422" s="85">
        <f t="shared" si="16"/>
        <v>0</v>
      </c>
      <c r="N422" s="107"/>
      <c r="O422" s="370"/>
      <c r="P422" s="370"/>
      <c r="Q422" s="370"/>
      <c r="R422" s="169" t="s">
        <v>184</v>
      </c>
      <c r="S422" s="169" t="s">
        <v>184</v>
      </c>
      <c r="T422" s="169" t="s">
        <v>184</v>
      </c>
      <c r="U422" s="173" t="s">
        <v>184</v>
      </c>
      <c r="V422" s="174" t="str">
        <f t="shared" si="17"/>
        <v>Højlast</v>
      </c>
      <c r="W422" s="1"/>
    </row>
    <row r="423" spans="1:23" customFormat="1" ht="15" customHeight="1">
      <c r="A423" s="1"/>
      <c r="B423" s="1"/>
      <c r="C423" s="2"/>
      <c r="D423" s="124" t="s">
        <v>163</v>
      </c>
      <c r="E423" s="1"/>
      <c r="F423" s="107"/>
      <c r="G423" s="107"/>
      <c r="H423" s="107"/>
      <c r="I423" s="107"/>
      <c r="J423" s="107"/>
      <c r="K423" s="87" t="s">
        <v>41</v>
      </c>
      <c r="M423" s="85">
        <f t="shared" si="16"/>
        <v>0</v>
      </c>
      <c r="N423" s="107"/>
      <c r="O423" s="370"/>
      <c r="P423" s="370"/>
      <c r="Q423" s="370"/>
      <c r="R423" s="169" t="s">
        <v>184</v>
      </c>
      <c r="S423" s="169" t="s">
        <v>184</v>
      </c>
      <c r="T423" s="169" t="s">
        <v>184</v>
      </c>
      <c r="U423" s="173" t="s">
        <v>184</v>
      </c>
      <c r="V423" s="174" t="str">
        <f t="shared" si="17"/>
        <v>Højlast</v>
      </c>
      <c r="W423" s="1"/>
    </row>
    <row r="424" spans="1:23" customFormat="1" ht="15" customHeight="1">
      <c r="A424" s="1"/>
      <c r="B424" s="1"/>
      <c r="C424" s="2"/>
      <c r="D424" s="124" t="s">
        <v>164</v>
      </c>
      <c r="E424" s="1"/>
      <c r="F424" s="107"/>
      <c r="G424" s="107"/>
      <c r="H424" s="107"/>
      <c r="I424" s="107"/>
      <c r="J424" s="107"/>
      <c r="K424" s="87" t="s">
        <v>41</v>
      </c>
      <c r="M424" s="85">
        <f t="shared" si="16"/>
        <v>0</v>
      </c>
      <c r="N424" s="107"/>
      <c r="O424" s="370"/>
      <c r="P424" s="370"/>
      <c r="Q424" s="370"/>
      <c r="R424" s="169" t="s">
        <v>184</v>
      </c>
      <c r="S424" s="169" t="s">
        <v>184</v>
      </c>
      <c r="T424" s="169" t="s">
        <v>184</v>
      </c>
      <c r="U424" s="173" t="s">
        <v>184</v>
      </c>
      <c r="V424" s="174" t="str">
        <f t="shared" si="17"/>
        <v>Højlast</v>
      </c>
      <c r="W424" s="1"/>
    </row>
    <row r="425" spans="1:23" customFormat="1" ht="15" customHeight="1">
      <c r="A425" s="1"/>
      <c r="B425" s="1"/>
      <c r="C425" s="2"/>
      <c r="D425" s="124" t="s">
        <v>165</v>
      </c>
      <c r="E425" s="1"/>
      <c r="F425" s="107"/>
      <c r="G425" s="107"/>
      <c r="H425" s="107"/>
      <c r="I425" s="107"/>
      <c r="J425" s="107"/>
      <c r="K425" s="87" t="s">
        <v>41</v>
      </c>
      <c r="M425" s="85">
        <f t="shared" si="16"/>
        <v>0</v>
      </c>
      <c r="N425" s="107"/>
      <c r="O425" s="370"/>
      <c r="P425" s="370"/>
      <c r="Q425" s="370"/>
      <c r="R425" s="169" t="s">
        <v>184</v>
      </c>
      <c r="S425" s="169" t="s">
        <v>184</v>
      </c>
      <c r="T425" s="169" t="s">
        <v>184</v>
      </c>
      <c r="U425" s="173" t="s">
        <v>184</v>
      </c>
      <c r="V425" s="174" t="str">
        <f t="shared" si="17"/>
        <v>Højlast</v>
      </c>
      <c r="W425" s="1"/>
    </row>
    <row r="426" spans="1:23" customFormat="1" ht="15" customHeight="1">
      <c r="A426" s="1"/>
      <c r="B426" s="1"/>
      <c r="C426" s="2"/>
      <c r="D426" s="124" t="s">
        <v>166</v>
      </c>
      <c r="E426" s="1"/>
      <c r="F426" s="107"/>
      <c r="G426" s="107"/>
      <c r="H426" s="107"/>
      <c r="I426" s="107"/>
      <c r="J426" s="107"/>
      <c r="K426" s="87" t="s">
        <v>41</v>
      </c>
      <c r="M426" s="85">
        <f t="shared" si="16"/>
        <v>0</v>
      </c>
      <c r="N426" s="107"/>
      <c r="O426" s="370"/>
      <c r="P426" s="370"/>
      <c r="Q426" s="370"/>
      <c r="R426" s="169" t="s">
        <v>184</v>
      </c>
      <c r="S426" s="169" t="s">
        <v>184</v>
      </c>
      <c r="T426" s="169" t="s">
        <v>184</v>
      </c>
      <c r="U426" s="173" t="s">
        <v>184</v>
      </c>
      <c r="V426" s="174" t="str">
        <f t="shared" si="17"/>
        <v>Højlast</v>
      </c>
      <c r="W426" s="1"/>
    </row>
    <row r="427" spans="1:23" customFormat="1" ht="15" customHeight="1">
      <c r="A427" s="1"/>
      <c r="B427" s="1"/>
      <c r="C427" s="2"/>
      <c r="D427" s="124" t="s">
        <v>167</v>
      </c>
      <c r="E427" s="1"/>
      <c r="F427" s="107"/>
      <c r="G427" s="107"/>
      <c r="H427" s="107"/>
      <c r="I427" s="107"/>
      <c r="J427" s="107"/>
      <c r="K427" s="87" t="s">
        <v>41</v>
      </c>
      <c r="M427" s="85">
        <f t="shared" si="16"/>
        <v>0</v>
      </c>
      <c r="N427" s="107"/>
      <c r="O427" s="370"/>
      <c r="P427" s="370"/>
      <c r="Q427" s="370"/>
      <c r="R427" s="169" t="s">
        <v>184</v>
      </c>
      <c r="S427" s="169" t="s">
        <v>184</v>
      </c>
      <c r="T427" s="169" t="s">
        <v>184</v>
      </c>
      <c r="U427" s="173" t="s">
        <v>184</v>
      </c>
      <c r="V427" s="174" t="str">
        <f t="shared" si="17"/>
        <v>Højlast</v>
      </c>
      <c r="W427" s="1"/>
    </row>
    <row r="428" spans="1:23" customFormat="1" ht="15" customHeight="1">
      <c r="A428" s="1"/>
      <c r="B428" s="1"/>
      <c r="C428" s="2"/>
      <c r="D428" s="124" t="s">
        <v>168</v>
      </c>
      <c r="E428" s="1"/>
      <c r="F428" s="107"/>
      <c r="G428" s="107"/>
      <c r="H428" s="107"/>
      <c r="I428" s="107"/>
      <c r="J428" s="107"/>
      <c r="K428" s="87" t="s">
        <v>41</v>
      </c>
      <c r="M428" s="85">
        <f t="shared" si="16"/>
        <v>0</v>
      </c>
      <c r="N428" s="107"/>
      <c r="O428" s="370"/>
      <c r="P428" s="370"/>
      <c r="Q428" s="370"/>
      <c r="R428" s="169" t="s">
        <v>184</v>
      </c>
      <c r="S428" s="169" t="s">
        <v>184</v>
      </c>
      <c r="T428" s="169" t="s">
        <v>184</v>
      </c>
      <c r="U428" s="173" t="s">
        <v>184</v>
      </c>
      <c r="V428" s="174" t="str">
        <f t="shared" si="17"/>
        <v>Højlast</v>
      </c>
      <c r="W428" s="1"/>
    </row>
    <row r="429" spans="1:23" customFormat="1" ht="15" customHeight="1">
      <c r="A429" s="1"/>
      <c r="B429" s="1"/>
      <c r="C429" s="2"/>
      <c r="D429" s="124" t="s">
        <v>169</v>
      </c>
      <c r="E429" s="1"/>
      <c r="F429" s="107"/>
      <c r="G429" s="107"/>
      <c r="H429" s="107"/>
      <c r="I429" s="107"/>
      <c r="J429" s="107"/>
      <c r="K429" s="87" t="s">
        <v>41</v>
      </c>
      <c r="M429" s="85">
        <f t="shared" si="16"/>
        <v>0</v>
      </c>
      <c r="N429" s="107"/>
      <c r="O429" s="370"/>
      <c r="P429" s="370"/>
      <c r="Q429" s="370"/>
      <c r="R429" s="169" t="s">
        <v>184</v>
      </c>
      <c r="S429" s="169" t="s">
        <v>184</v>
      </c>
      <c r="T429" s="169" t="s">
        <v>184</v>
      </c>
      <c r="U429" s="173" t="s">
        <v>184</v>
      </c>
      <c r="V429" s="174" t="str">
        <f t="shared" si="17"/>
        <v>Spidslast</v>
      </c>
      <c r="W429" s="1"/>
    </row>
    <row r="430" spans="1:23" customFormat="1" ht="15" customHeight="1">
      <c r="A430" s="1"/>
      <c r="B430" s="1"/>
      <c r="C430" s="2"/>
      <c r="D430" s="124" t="s">
        <v>170</v>
      </c>
      <c r="E430" s="1"/>
      <c r="F430" s="107"/>
      <c r="G430" s="107"/>
      <c r="H430" s="107"/>
      <c r="I430" s="107"/>
      <c r="J430" s="107"/>
      <c r="K430" s="87" t="s">
        <v>41</v>
      </c>
      <c r="M430" s="85">
        <f t="shared" si="16"/>
        <v>0</v>
      </c>
      <c r="N430" s="107"/>
      <c r="O430" s="370"/>
      <c r="P430" s="370"/>
      <c r="Q430" s="370"/>
      <c r="R430" s="169" t="s">
        <v>184</v>
      </c>
      <c r="S430" s="169" t="s">
        <v>184</v>
      </c>
      <c r="T430" s="169" t="s">
        <v>184</v>
      </c>
      <c r="U430" s="173" t="s">
        <v>184</v>
      </c>
      <c r="V430" s="174" t="str">
        <f t="shared" si="17"/>
        <v>Spidslast</v>
      </c>
      <c r="W430" s="1"/>
    </row>
    <row r="431" spans="1:23" customFormat="1" ht="15" customHeight="1">
      <c r="A431" s="1"/>
      <c r="B431" s="1"/>
      <c r="C431" s="2"/>
      <c r="D431" s="124" t="s">
        <v>171</v>
      </c>
      <c r="E431" s="1"/>
      <c r="F431" s="107"/>
      <c r="G431" s="107"/>
      <c r="H431" s="107"/>
      <c r="I431" s="107"/>
      <c r="J431" s="107"/>
      <c r="K431" s="87" t="s">
        <v>41</v>
      </c>
      <c r="M431" s="85">
        <f t="shared" si="16"/>
        <v>0</v>
      </c>
      <c r="N431" s="107"/>
      <c r="O431" s="370"/>
      <c r="P431" s="370"/>
      <c r="Q431" s="370"/>
      <c r="R431" s="169" t="s">
        <v>184</v>
      </c>
      <c r="S431" s="169" t="s">
        <v>184</v>
      </c>
      <c r="T431" s="169" t="s">
        <v>184</v>
      </c>
      <c r="U431" s="173" t="s">
        <v>184</v>
      </c>
      <c r="V431" s="174" t="str">
        <f t="shared" si="17"/>
        <v>Spidslast</v>
      </c>
      <c r="W431" s="1"/>
    </row>
    <row r="432" spans="1:23" customFormat="1" ht="15" customHeight="1">
      <c r="A432" s="1"/>
      <c r="B432" s="1"/>
      <c r="C432" s="2"/>
      <c r="D432" s="124" t="s">
        <v>172</v>
      </c>
      <c r="E432" s="1"/>
      <c r="F432" s="107"/>
      <c r="G432" s="107"/>
      <c r="H432" s="107"/>
      <c r="I432" s="107"/>
      <c r="J432" s="107"/>
      <c r="K432" s="87" t="s">
        <v>41</v>
      </c>
      <c r="M432" s="85">
        <f t="shared" si="16"/>
        <v>0</v>
      </c>
      <c r="N432" s="107"/>
      <c r="O432" s="370"/>
      <c r="P432" s="370"/>
      <c r="Q432" s="370"/>
      <c r="R432" s="169" t="s">
        <v>184</v>
      </c>
      <c r="S432" s="169" t="s">
        <v>184</v>
      </c>
      <c r="T432" s="169" t="s">
        <v>184</v>
      </c>
      <c r="U432" s="173" t="s">
        <v>184</v>
      </c>
      <c r="V432" s="174" t="str">
        <f t="shared" si="17"/>
        <v>Spidslast</v>
      </c>
      <c r="W432" s="1"/>
    </row>
    <row r="433" spans="1:23" customFormat="1" ht="15" customHeight="1">
      <c r="A433" s="1"/>
      <c r="B433" s="1"/>
      <c r="C433" s="2"/>
      <c r="D433" s="124" t="s">
        <v>173</v>
      </c>
      <c r="E433" s="1"/>
      <c r="F433" s="107"/>
      <c r="G433" s="107"/>
      <c r="H433" s="107"/>
      <c r="I433" s="107"/>
      <c r="J433" s="107"/>
      <c r="K433" s="87" t="s">
        <v>41</v>
      </c>
      <c r="M433" s="85">
        <f t="shared" si="16"/>
        <v>0</v>
      </c>
      <c r="N433" s="107"/>
      <c r="O433" s="370"/>
      <c r="P433" s="370"/>
      <c r="Q433" s="370"/>
      <c r="R433" s="169" t="s">
        <v>184</v>
      </c>
      <c r="S433" s="169" t="s">
        <v>184</v>
      </c>
      <c r="T433" s="169" t="s">
        <v>184</v>
      </c>
      <c r="U433" s="173" t="s">
        <v>184</v>
      </c>
      <c r="V433" s="174" t="str">
        <f t="shared" si="17"/>
        <v>Højlast</v>
      </c>
      <c r="W433" s="1"/>
    </row>
    <row r="434" spans="1:23" customFormat="1" ht="15" customHeight="1">
      <c r="A434" s="1"/>
      <c r="B434" s="1"/>
      <c r="C434" s="2"/>
      <c r="D434" s="124" t="s">
        <v>174</v>
      </c>
      <c r="E434" s="1"/>
      <c r="F434" s="107"/>
      <c r="G434" s="107"/>
      <c r="H434" s="107"/>
      <c r="I434" s="107"/>
      <c r="J434" s="107"/>
      <c r="K434" s="87" t="s">
        <v>41</v>
      </c>
      <c r="M434" s="85">
        <f t="shared" si="16"/>
        <v>0</v>
      </c>
      <c r="N434" s="107"/>
      <c r="O434" s="370"/>
      <c r="P434" s="370"/>
      <c r="Q434" s="370"/>
      <c r="R434" s="169" t="s">
        <v>184</v>
      </c>
      <c r="S434" s="169" t="s">
        <v>184</v>
      </c>
      <c r="T434" s="169" t="s">
        <v>184</v>
      </c>
      <c r="U434" s="173" t="s">
        <v>184</v>
      </c>
      <c r="V434" s="174" t="str">
        <f t="shared" si="17"/>
        <v>Højlast</v>
      </c>
      <c r="W434" s="1"/>
    </row>
    <row r="435" spans="1:23" customFormat="1" ht="15" customHeight="1">
      <c r="A435" s="1"/>
      <c r="B435" s="1"/>
      <c r="C435" s="2"/>
      <c r="D435" s="125" t="s">
        <v>175</v>
      </c>
      <c r="E435" s="27"/>
      <c r="F435" s="115"/>
      <c r="G435" s="115"/>
      <c r="H435" s="115"/>
      <c r="I435" s="115"/>
      <c r="J435" s="115"/>
      <c r="K435" s="98" t="s">
        <v>41</v>
      </c>
      <c r="L435" s="60"/>
      <c r="M435" s="99">
        <f t="shared" si="16"/>
        <v>0</v>
      </c>
      <c r="N435" s="115"/>
      <c r="O435" s="368"/>
      <c r="P435" s="368"/>
      <c r="Q435" s="368"/>
      <c r="R435" s="170" t="s">
        <v>184</v>
      </c>
      <c r="S435" s="170" t="s">
        <v>184</v>
      </c>
      <c r="T435" s="170" t="s">
        <v>184</v>
      </c>
      <c r="U435" s="175" t="s">
        <v>184</v>
      </c>
      <c r="V435" s="176" t="str">
        <f t="shared" si="17"/>
        <v>Højlast</v>
      </c>
      <c r="W435" s="27"/>
    </row>
    <row r="436" spans="1:23" customFormat="1" ht="15" customHeight="1">
      <c r="A436" s="1"/>
      <c r="B436" s="1"/>
      <c r="C436" s="2"/>
      <c r="D436" s="85"/>
      <c r="E436" s="1"/>
      <c r="F436" s="86"/>
      <c r="G436" s="86"/>
      <c r="H436" s="86"/>
      <c r="I436" s="86"/>
      <c r="J436" s="86"/>
      <c r="K436" s="87"/>
      <c r="L436" s="85"/>
      <c r="M436" s="85"/>
      <c r="N436" s="86"/>
      <c r="O436" s="86"/>
      <c r="P436" s="86"/>
      <c r="Q436" s="86"/>
      <c r="R436" s="1"/>
      <c r="S436" s="1"/>
      <c r="T436" s="1"/>
      <c r="U436" s="1"/>
      <c r="V436" s="1"/>
      <c r="W436" s="1"/>
    </row>
    <row r="437" spans="1:23" customFormat="1" ht="15" customHeight="1">
      <c r="A437" s="1"/>
      <c r="B437" s="1"/>
      <c r="C437" s="2"/>
      <c r="D437" s="88" t="s">
        <v>181</v>
      </c>
      <c r="E437" s="1"/>
      <c r="F437" s="107"/>
      <c r="G437" s="107"/>
      <c r="H437" s="107"/>
      <c r="I437" s="107"/>
      <c r="J437" s="107"/>
      <c r="K437" s="87"/>
      <c r="L437" s="85"/>
      <c r="M437" s="85"/>
      <c r="N437" s="107"/>
      <c r="O437" s="107"/>
      <c r="P437" s="107"/>
      <c r="Q437" s="107"/>
      <c r="R437" s="1"/>
      <c r="S437" s="1"/>
      <c r="T437" s="1"/>
      <c r="U437" s="1"/>
      <c r="V437" s="1"/>
      <c r="W437" s="1"/>
    </row>
    <row r="438" spans="1:23" customFormat="1" ht="15" customHeight="1">
      <c r="A438" s="1"/>
      <c r="B438" s="1"/>
      <c r="C438" s="2"/>
      <c r="D438" s="122" t="s">
        <v>152</v>
      </c>
      <c r="E438" s="15"/>
      <c r="F438" s="116"/>
      <c r="G438" s="116"/>
      <c r="H438" s="116"/>
      <c r="I438" s="116"/>
      <c r="J438" s="116"/>
      <c r="K438" s="117" t="s">
        <v>41</v>
      </c>
      <c r="L438" s="56"/>
      <c r="M438" s="123">
        <f t="shared" ref="M438:M461" si="18" xml:space="preserve"> -- ( V438 &lt;&gt; V386 )</f>
        <v>0</v>
      </c>
      <c r="N438" s="116"/>
      <c r="O438" s="369"/>
      <c r="P438" s="369"/>
      <c r="Q438" s="369"/>
      <c r="R438" s="168" t="s">
        <v>182</v>
      </c>
      <c r="S438" s="168" t="s">
        <v>182</v>
      </c>
      <c r="T438" s="168" t="s">
        <v>182</v>
      </c>
      <c r="U438" s="168" t="s">
        <v>182</v>
      </c>
      <c r="V438" s="177" t="str">
        <f xml:space="preserve"> V386</f>
        <v>Lavlast</v>
      </c>
      <c r="W438" s="15"/>
    </row>
    <row r="439" spans="1:23" customFormat="1" ht="15" customHeight="1">
      <c r="A439" s="1"/>
      <c r="B439" s="1"/>
      <c r="C439" s="2"/>
      <c r="D439" s="124" t="s">
        <v>153</v>
      </c>
      <c r="E439" s="1"/>
      <c r="F439" s="107"/>
      <c r="G439" s="107"/>
      <c r="H439" s="107"/>
      <c r="I439" s="107"/>
      <c r="J439" s="107"/>
      <c r="K439" s="87" t="s">
        <v>41</v>
      </c>
      <c r="M439" s="85">
        <f t="shared" si="18"/>
        <v>0</v>
      </c>
      <c r="N439" s="107"/>
      <c r="O439" s="370"/>
      <c r="P439" s="370"/>
      <c r="Q439" s="370"/>
      <c r="R439" s="169" t="s">
        <v>182</v>
      </c>
      <c r="S439" s="169" t="s">
        <v>182</v>
      </c>
      <c r="T439" s="169" t="s">
        <v>182</v>
      </c>
      <c r="U439" s="169" t="s">
        <v>182</v>
      </c>
      <c r="V439" s="178" t="str">
        <f t="shared" ref="V439:V461" si="19" xml:space="preserve"> V387</f>
        <v>Lavlast</v>
      </c>
      <c r="W439" s="1"/>
    </row>
    <row r="440" spans="1:23" customFormat="1" ht="15" customHeight="1">
      <c r="A440" s="1"/>
      <c r="B440" s="1"/>
      <c r="C440" s="2"/>
      <c r="D440" s="124" t="s">
        <v>154</v>
      </c>
      <c r="E440" s="1"/>
      <c r="F440" s="107"/>
      <c r="G440" s="107"/>
      <c r="H440" s="107"/>
      <c r="I440" s="107"/>
      <c r="J440" s="107"/>
      <c r="K440" s="87" t="s">
        <v>41</v>
      </c>
      <c r="M440" s="85">
        <f t="shared" si="18"/>
        <v>0</v>
      </c>
      <c r="N440" s="107"/>
      <c r="O440" s="370"/>
      <c r="P440" s="370"/>
      <c r="Q440" s="370"/>
      <c r="R440" s="169" t="s">
        <v>182</v>
      </c>
      <c r="S440" s="169" t="s">
        <v>182</v>
      </c>
      <c r="T440" s="169" t="s">
        <v>182</v>
      </c>
      <c r="U440" s="169" t="s">
        <v>182</v>
      </c>
      <c r="V440" s="178" t="s">
        <v>182</v>
      </c>
      <c r="W440" s="1"/>
    </row>
    <row r="441" spans="1:23" customFormat="1" ht="15" customHeight="1">
      <c r="A441" s="1"/>
      <c r="B441" s="1"/>
      <c r="C441" s="2"/>
      <c r="D441" s="124" t="s">
        <v>155</v>
      </c>
      <c r="E441" s="1"/>
      <c r="F441" s="107"/>
      <c r="G441" s="107"/>
      <c r="H441" s="107"/>
      <c r="I441" s="107"/>
      <c r="J441" s="107"/>
      <c r="K441" s="87" t="s">
        <v>41</v>
      </c>
      <c r="M441" s="85">
        <f t="shared" si="18"/>
        <v>0</v>
      </c>
      <c r="N441" s="107"/>
      <c r="O441" s="370"/>
      <c r="P441" s="370"/>
      <c r="Q441" s="370"/>
      <c r="R441" s="169" t="s">
        <v>182</v>
      </c>
      <c r="S441" s="169" t="s">
        <v>182</v>
      </c>
      <c r="T441" s="169" t="s">
        <v>182</v>
      </c>
      <c r="U441" s="169" t="s">
        <v>182</v>
      </c>
      <c r="V441" s="178" t="str">
        <f t="shared" si="19"/>
        <v>Lavlast</v>
      </c>
      <c r="W441" s="1"/>
    </row>
    <row r="442" spans="1:23" customFormat="1" ht="15" customHeight="1">
      <c r="A442" s="1"/>
      <c r="B442" s="1"/>
      <c r="C442" s="2"/>
      <c r="D442" s="124" t="s">
        <v>156</v>
      </c>
      <c r="E442" s="1"/>
      <c r="F442" s="107"/>
      <c r="G442" s="107"/>
      <c r="H442" s="107"/>
      <c r="I442" s="107"/>
      <c r="J442" s="107"/>
      <c r="K442" s="87" t="s">
        <v>41</v>
      </c>
      <c r="M442" s="85">
        <f t="shared" si="18"/>
        <v>0</v>
      </c>
      <c r="N442" s="107"/>
      <c r="O442" s="370"/>
      <c r="P442" s="370"/>
      <c r="Q442" s="370"/>
      <c r="R442" s="169" t="s">
        <v>182</v>
      </c>
      <c r="S442" s="169" t="s">
        <v>182</v>
      </c>
      <c r="T442" s="169" t="s">
        <v>182</v>
      </c>
      <c r="U442" s="169" t="s">
        <v>182</v>
      </c>
      <c r="V442" s="178" t="str">
        <f t="shared" si="19"/>
        <v>Lavlast</v>
      </c>
      <c r="W442" s="1"/>
    </row>
    <row r="443" spans="1:23" customFormat="1" ht="15" customHeight="1">
      <c r="A443" s="1"/>
      <c r="B443" s="1"/>
      <c r="C443" s="2"/>
      <c r="D443" s="124" t="s">
        <v>157</v>
      </c>
      <c r="E443" s="1"/>
      <c r="F443" s="107"/>
      <c r="G443" s="107"/>
      <c r="H443" s="107"/>
      <c r="I443" s="107"/>
      <c r="J443" s="107"/>
      <c r="K443" s="87" t="s">
        <v>41</v>
      </c>
      <c r="M443" s="85">
        <f t="shared" si="18"/>
        <v>0</v>
      </c>
      <c r="N443" s="107"/>
      <c r="O443" s="370"/>
      <c r="P443" s="370"/>
      <c r="Q443" s="370"/>
      <c r="R443" s="169" t="s">
        <v>182</v>
      </c>
      <c r="S443" s="169" t="s">
        <v>182</v>
      </c>
      <c r="T443" s="169" t="s">
        <v>182</v>
      </c>
      <c r="U443" s="169" t="s">
        <v>182</v>
      </c>
      <c r="V443" s="178" t="str">
        <f t="shared" si="19"/>
        <v>Lavlast</v>
      </c>
      <c r="W443" s="1"/>
    </row>
    <row r="444" spans="1:23" customFormat="1" ht="15" customHeight="1">
      <c r="A444" s="1"/>
      <c r="B444" s="1"/>
      <c r="C444" s="2"/>
      <c r="D444" s="124" t="s">
        <v>158</v>
      </c>
      <c r="E444" s="1"/>
      <c r="F444" s="107"/>
      <c r="G444" s="107"/>
      <c r="H444" s="107"/>
      <c r="I444" s="107"/>
      <c r="J444" s="107"/>
      <c r="K444" s="87" t="s">
        <v>41</v>
      </c>
      <c r="M444" s="85">
        <f t="shared" si="18"/>
        <v>0</v>
      </c>
      <c r="N444" s="107"/>
      <c r="O444" s="370"/>
      <c r="P444" s="370"/>
      <c r="Q444" s="370"/>
      <c r="R444" s="169" t="s">
        <v>182</v>
      </c>
      <c r="S444" s="169" t="s">
        <v>182</v>
      </c>
      <c r="T444" s="169" t="s">
        <v>182</v>
      </c>
      <c r="U444" s="169" t="s">
        <v>182</v>
      </c>
      <c r="V444" s="178" t="s">
        <v>184</v>
      </c>
      <c r="W444" s="1"/>
    </row>
    <row r="445" spans="1:23" customFormat="1" ht="15" customHeight="1">
      <c r="A445" s="1"/>
      <c r="B445" s="1"/>
      <c r="C445" s="2"/>
      <c r="D445" s="124" t="s">
        <v>159</v>
      </c>
      <c r="E445" s="1"/>
      <c r="F445" s="107"/>
      <c r="G445" s="107"/>
      <c r="H445" s="107"/>
      <c r="I445" s="107"/>
      <c r="J445" s="107"/>
      <c r="K445" s="87" t="s">
        <v>41</v>
      </c>
      <c r="M445" s="85">
        <f t="shared" si="18"/>
        <v>0</v>
      </c>
      <c r="N445" s="107"/>
      <c r="O445" s="370"/>
      <c r="P445" s="370"/>
      <c r="Q445" s="370"/>
      <c r="R445" s="169" t="s">
        <v>182</v>
      </c>
      <c r="S445" s="169" t="s">
        <v>182</v>
      </c>
      <c r="T445" s="169" t="s">
        <v>182</v>
      </c>
      <c r="U445" s="169" t="s">
        <v>182</v>
      </c>
      <c r="V445" s="178" t="str">
        <f t="shared" si="19"/>
        <v>Højlast</v>
      </c>
      <c r="W445" s="1"/>
    </row>
    <row r="446" spans="1:23" customFormat="1" ht="15" customHeight="1">
      <c r="A446" s="1"/>
      <c r="B446" s="1"/>
      <c r="C446" s="2"/>
      <c r="D446" s="124" t="s">
        <v>160</v>
      </c>
      <c r="E446" s="1"/>
      <c r="F446" s="107"/>
      <c r="G446" s="107"/>
      <c r="H446" s="107"/>
      <c r="I446" s="107"/>
      <c r="J446" s="107"/>
      <c r="K446" s="87" t="s">
        <v>41</v>
      </c>
      <c r="M446" s="85">
        <f t="shared" si="18"/>
        <v>0</v>
      </c>
      <c r="N446" s="107"/>
      <c r="O446" s="370"/>
      <c r="P446" s="370"/>
      <c r="Q446" s="370"/>
      <c r="R446" s="169" t="s">
        <v>182</v>
      </c>
      <c r="S446" s="169" t="s">
        <v>182</v>
      </c>
      <c r="T446" s="169" t="s">
        <v>182</v>
      </c>
      <c r="U446" s="169" t="s">
        <v>182</v>
      </c>
      <c r="V446" s="178" t="str">
        <f t="shared" si="19"/>
        <v>Højlast</v>
      </c>
      <c r="W446" s="1"/>
    </row>
    <row r="447" spans="1:23" customFormat="1" ht="15" customHeight="1">
      <c r="A447" s="1"/>
      <c r="B447" s="1"/>
      <c r="C447" s="2"/>
      <c r="D447" s="124" t="s">
        <v>161</v>
      </c>
      <c r="E447" s="1"/>
      <c r="F447" s="107"/>
      <c r="G447" s="107"/>
      <c r="H447" s="107"/>
      <c r="I447" s="107"/>
      <c r="J447" s="107"/>
      <c r="K447" s="87" t="s">
        <v>41</v>
      </c>
      <c r="M447" s="85">
        <f t="shared" si="18"/>
        <v>0</v>
      </c>
      <c r="N447" s="107"/>
      <c r="O447" s="370"/>
      <c r="P447" s="370"/>
      <c r="Q447" s="370"/>
      <c r="R447" s="169" t="s">
        <v>182</v>
      </c>
      <c r="S447" s="169" t="s">
        <v>182</v>
      </c>
      <c r="T447" s="169" t="s">
        <v>182</v>
      </c>
      <c r="U447" s="169" t="s">
        <v>182</v>
      </c>
      <c r="V447" s="178" t="str">
        <f t="shared" si="19"/>
        <v>Højlast</v>
      </c>
      <c r="W447" s="1"/>
    </row>
    <row r="448" spans="1:23" customFormat="1" ht="15" customHeight="1">
      <c r="A448" s="1"/>
      <c r="B448" s="1"/>
      <c r="C448" s="2"/>
      <c r="D448" s="124" t="s">
        <v>162</v>
      </c>
      <c r="E448" s="1"/>
      <c r="F448" s="107"/>
      <c r="G448" s="107"/>
      <c r="H448" s="107"/>
      <c r="I448" s="107"/>
      <c r="J448" s="107"/>
      <c r="K448" s="87" t="s">
        <v>41</v>
      </c>
      <c r="M448" s="85">
        <f t="shared" si="18"/>
        <v>0</v>
      </c>
      <c r="N448" s="107"/>
      <c r="O448" s="370"/>
      <c r="P448" s="370"/>
      <c r="Q448" s="370"/>
      <c r="R448" s="169" t="s">
        <v>182</v>
      </c>
      <c r="S448" s="169" t="s">
        <v>182</v>
      </c>
      <c r="T448" s="169" t="s">
        <v>182</v>
      </c>
      <c r="U448" s="169" t="s">
        <v>182</v>
      </c>
      <c r="V448" s="178" t="str">
        <f t="shared" si="19"/>
        <v>Højlast</v>
      </c>
      <c r="W448" s="1"/>
    </row>
    <row r="449" spans="1:23" customFormat="1" ht="15" customHeight="1">
      <c r="A449" s="1"/>
      <c r="B449" s="1"/>
      <c r="C449" s="2"/>
      <c r="D449" s="124" t="s">
        <v>163</v>
      </c>
      <c r="E449" s="1"/>
      <c r="F449" s="107"/>
      <c r="G449" s="107"/>
      <c r="H449" s="107"/>
      <c r="I449" s="107"/>
      <c r="J449" s="107"/>
      <c r="K449" s="87" t="s">
        <v>41</v>
      </c>
      <c r="M449" s="85">
        <f t="shared" si="18"/>
        <v>0</v>
      </c>
      <c r="N449" s="107"/>
      <c r="O449" s="370"/>
      <c r="P449" s="370"/>
      <c r="Q449" s="370"/>
      <c r="R449" s="169" t="s">
        <v>182</v>
      </c>
      <c r="S449" s="169" t="s">
        <v>182</v>
      </c>
      <c r="T449" s="169" t="s">
        <v>182</v>
      </c>
      <c r="U449" s="169" t="s">
        <v>182</v>
      </c>
      <c r="V449" s="178" t="str">
        <f t="shared" si="19"/>
        <v>Højlast</v>
      </c>
      <c r="W449" s="1"/>
    </row>
    <row r="450" spans="1:23" customFormat="1" ht="15" customHeight="1">
      <c r="A450" s="1"/>
      <c r="B450" s="1"/>
      <c r="C450" s="2"/>
      <c r="D450" s="124" t="s">
        <v>164</v>
      </c>
      <c r="E450" s="1"/>
      <c r="F450" s="107"/>
      <c r="G450" s="107"/>
      <c r="H450" s="107"/>
      <c r="I450" s="107"/>
      <c r="J450" s="107"/>
      <c r="K450" s="87" t="s">
        <v>41</v>
      </c>
      <c r="M450" s="85">
        <f t="shared" si="18"/>
        <v>0</v>
      </c>
      <c r="N450" s="107"/>
      <c r="O450" s="370"/>
      <c r="P450" s="370"/>
      <c r="Q450" s="370"/>
      <c r="R450" s="169" t="s">
        <v>182</v>
      </c>
      <c r="S450" s="169" t="s">
        <v>182</v>
      </c>
      <c r="T450" s="169" t="s">
        <v>182</v>
      </c>
      <c r="U450" s="169" t="s">
        <v>182</v>
      </c>
      <c r="V450" s="178" t="str">
        <f t="shared" si="19"/>
        <v>Højlast</v>
      </c>
      <c r="W450" s="1"/>
    </row>
    <row r="451" spans="1:23" customFormat="1" ht="15" customHeight="1">
      <c r="A451" s="1"/>
      <c r="B451" s="1"/>
      <c r="C451" s="2"/>
      <c r="D451" s="124" t="s">
        <v>165</v>
      </c>
      <c r="E451" s="1"/>
      <c r="F451" s="107"/>
      <c r="G451" s="107"/>
      <c r="H451" s="107"/>
      <c r="I451" s="107"/>
      <c r="J451" s="107"/>
      <c r="K451" s="87" t="s">
        <v>41</v>
      </c>
      <c r="M451" s="85">
        <f t="shared" si="18"/>
        <v>0</v>
      </c>
      <c r="N451" s="107"/>
      <c r="O451" s="370"/>
      <c r="P451" s="370"/>
      <c r="Q451" s="370"/>
      <c r="R451" s="169" t="s">
        <v>182</v>
      </c>
      <c r="S451" s="169" t="s">
        <v>182</v>
      </c>
      <c r="T451" s="169" t="s">
        <v>182</v>
      </c>
      <c r="U451" s="169" t="s">
        <v>182</v>
      </c>
      <c r="V451" s="178" t="str">
        <f t="shared" si="19"/>
        <v>Højlast</v>
      </c>
      <c r="W451" s="1"/>
    </row>
    <row r="452" spans="1:23" customFormat="1" ht="15" customHeight="1">
      <c r="A452" s="1"/>
      <c r="B452" s="1"/>
      <c r="C452" s="2"/>
      <c r="D452" s="124" t="s">
        <v>166</v>
      </c>
      <c r="E452" s="1"/>
      <c r="F452" s="107"/>
      <c r="G452" s="107"/>
      <c r="H452" s="107"/>
      <c r="I452" s="107"/>
      <c r="J452" s="107"/>
      <c r="K452" s="87" t="s">
        <v>41</v>
      </c>
      <c r="M452" s="85">
        <f t="shared" si="18"/>
        <v>0</v>
      </c>
      <c r="N452" s="107"/>
      <c r="O452" s="370"/>
      <c r="P452" s="370"/>
      <c r="Q452" s="370"/>
      <c r="R452" s="169" t="s">
        <v>182</v>
      </c>
      <c r="S452" s="169" t="s">
        <v>182</v>
      </c>
      <c r="T452" s="169" t="s">
        <v>182</v>
      </c>
      <c r="U452" s="169" t="s">
        <v>182</v>
      </c>
      <c r="V452" s="178" t="str">
        <f t="shared" si="19"/>
        <v>Højlast</v>
      </c>
      <c r="W452" s="1"/>
    </row>
    <row r="453" spans="1:23" customFormat="1" ht="15" customHeight="1">
      <c r="A453" s="1"/>
      <c r="B453" s="1"/>
      <c r="C453" s="2"/>
      <c r="D453" s="124" t="s">
        <v>167</v>
      </c>
      <c r="E453" s="1"/>
      <c r="F453" s="107"/>
      <c r="G453" s="107"/>
      <c r="H453" s="107"/>
      <c r="I453" s="107"/>
      <c r="J453" s="107"/>
      <c r="K453" s="87" t="s">
        <v>41</v>
      </c>
      <c r="M453" s="85">
        <f t="shared" si="18"/>
        <v>0</v>
      </c>
      <c r="N453" s="107"/>
      <c r="O453" s="370"/>
      <c r="P453" s="370"/>
      <c r="Q453" s="370"/>
      <c r="R453" s="169" t="s">
        <v>182</v>
      </c>
      <c r="S453" s="169" t="s">
        <v>182</v>
      </c>
      <c r="T453" s="169" t="s">
        <v>182</v>
      </c>
      <c r="U453" s="169" t="s">
        <v>182</v>
      </c>
      <c r="V453" s="178" t="str">
        <f t="shared" si="19"/>
        <v>Højlast</v>
      </c>
      <c r="W453" s="1"/>
    </row>
    <row r="454" spans="1:23" customFormat="1" ht="15" customHeight="1">
      <c r="A454" s="1"/>
      <c r="B454" s="1"/>
      <c r="C454" s="2"/>
      <c r="D454" s="124" t="s">
        <v>168</v>
      </c>
      <c r="E454" s="1"/>
      <c r="F454" s="107"/>
      <c r="G454" s="107"/>
      <c r="H454" s="107"/>
      <c r="I454" s="107"/>
      <c r="J454" s="107"/>
      <c r="K454" s="87" t="s">
        <v>41</v>
      </c>
      <c r="M454" s="85">
        <f t="shared" si="18"/>
        <v>0</v>
      </c>
      <c r="N454" s="107"/>
      <c r="O454" s="370"/>
      <c r="P454" s="370"/>
      <c r="Q454" s="370"/>
      <c r="R454" s="169" t="s">
        <v>182</v>
      </c>
      <c r="S454" s="169" t="s">
        <v>182</v>
      </c>
      <c r="T454" s="169" t="s">
        <v>182</v>
      </c>
      <c r="U454" s="169" t="s">
        <v>182</v>
      </c>
      <c r="V454" s="178" t="str">
        <f t="shared" si="19"/>
        <v>Højlast</v>
      </c>
      <c r="W454" s="1"/>
    </row>
    <row r="455" spans="1:23" customFormat="1" ht="15" customHeight="1">
      <c r="A455" s="1"/>
      <c r="B455" s="1"/>
      <c r="C455" s="2"/>
      <c r="D455" s="124" t="s">
        <v>169</v>
      </c>
      <c r="E455" s="1"/>
      <c r="F455" s="107"/>
      <c r="G455" s="107"/>
      <c r="H455" s="107"/>
      <c r="I455" s="107"/>
      <c r="J455" s="107"/>
      <c r="K455" s="87" t="s">
        <v>41</v>
      </c>
      <c r="M455" s="85">
        <f t="shared" si="18"/>
        <v>0</v>
      </c>
      <c r="N455" s="107"/>
      <c r="O455" s="370"/>
      <c r="P455" s="370"/>
      <c r="Q455" s="370"/>
      <c r="R455" s="169" t="s">
        <v>182</v>
      </c>
      <c r="S455" s="169" t="s">
        <v>182</v>
      </c>
      <c r="T455" s="169" t="s">
        <v>182</v>
      </c>
      <c r="U455" s="169" t="s">
        <v>182</v>
      </c>
      <c r="V455" s="178" t="str">
        <f t="shared" si="19"/>
        <v>Spidslast</v>
      </c>
      <c r="W455" s="1"/>
    </row>
    <row r="456" spans="1:23" customFormat="1" ht="15" customHeight="1">
      <c r="A456" s="1"/>
      <c r="B456" s="1"/>
      <c r="C456" s="2"/>
      <c r="D456" s="124" t="s">
        <v>170</v>
      </c>
      <c r="E456" s="1"/>
      <c r="F456" s="107"/>
      <c r="G456" s="107"/>
      <c r="H456" s="107"/>
      <c r="I456" s="107"/>
      <c r="J456" s="107"/>
      <c r="K456" s="87" t="s">
        <v>41</v>
      </c>
      <c r="M456" s="85">
        <f t="shared" si="18"/>
        <v>0</v>
      </c>
      <c r="N456" s="107"/>
      <c r="O456" s="370"/>
      <c r="P456" s="370"/>
      <c r="Q456" s="370"/>
      <c r="R456" s="169" t="s">
        <v>182</v>
      </c>
      <c r="S456" s="169" t="s">
        <v>182</v>
      </c>
      <c r="T456" s="169" t="s">
        <v>182</v>
      </c>
      <c r="U456" s="169" t="s">
        <v>182</v>
      </c>
      <c r="V456" s="178" t="str">
        <f t="shared" si="19"/>
        <v>Spidslast</v>
      </c>
      <c r="W456" s="1"/>
    </row>
    <row r="457" spans="1:23" customFormat="1" ht="15" customHeight="1">
      <c r="A457" s="1"/>
      <c r="B457" s="1"/>
      <c r="C457" s="2"/>
      <c r="D457" s="124" t="s">
        <v>171</v>
      </c>
      <c r="E457" s="1"/>
      <c r="F457" s="107"/>
      <c r="G457" s="107"/>
      <c r="H457" s="107"/>
      <c r="I457" s="107"/>
      <c r="J457" s="107"/>
      <c r="K457" s="87" t="s">
        <v>41</v>
      </c>
      <c r="M457" s="85">
        <f t="shared" si="18"/>
        <v>0</v>
      </c>
      <c r="N457" s="107"/>
      <c r="O457" s="370"/>
      <c r="P457" s="370"/>
      <c r="Q457" s="370"/>
      <c r="R457" s="169" t="s">
        <v>182</v>
      </c>
      <c r="S457" s="169" t="s">
        <v>182</v>
      </c>
      <c r="T457" s="169" t="s">
        <v>182</v>
      </c>
      <c r="U457" s="169" t="s">
        <v>182</v>
      </c>
      <c r="V457" s="178" t="str">
        <f t="shared" si="19"/>
        <v>Spidslast</v>
      </c>
      <c r="W457" s="1"/>
    </row>
    <row r="458" spans="1:23" customFormat="1" ht="15" customHeight="1">
      <c r="A458" s="1"/>
      <c r="B458" s="1"/>
      <c r="C458" s="2"/>
      <c r="D458" s="124" t="s">
        <v>172</v>
      </c>
      <c r="E458" s="1"/>
      <c r="F458" s="107"/>
      <c r="G458" s="107"/>
      <c r="H458" s="107"/>
      <c r="I458" s="107"/>
      <c r="J458" s="107"/>
      <c r="K458" s="87" t="s">
        <v>41</v>
      </c>
      <c r="M458" s="85">
        <f t="shared" si="18"/>
        <v>0</v>
      </c>
      <c r="N458" s="107"/>
      <c r="O458" s="370"/>
      <c r="P458" s="370"/>
      <c r="Q458" s="370"/>
      <c r="R458" s="169" t="s">
        <v>182</v>
      </c>
      <c r="S458" s="169" t="s">
        <v>182</v>
      </c>
      <c r="T458" s="169" t="s">
        <v>182</v>
      </c>
      <c r="U458" s="169" t="s">
        <v>182</v>
      </c>
      <c r="V458" s="178" t="str">
        <f t="shared" si="19"/>
        <v>Spidslast</v>
      </c>
      <c r="W458" s="1"/>
    </row>
    <row r="459" spans="1:23" customFormat="1" ht="15" customHeight="1">
      <c r="A459" s="1"/>
      <c r="B459" s="1"/>
      <c r="C459" s="2"/>
      <c r="D459" s="124" t="s">
        <v>173</v>
      </c>
      <c r="E459" s="1"/>
      <c r="F459" s="107"/>
      <c r="G459" s="107"/>
      <c r="H459" s="107"/>
      <c r="I459" s="107"/>
      <c r="J459" s="107"/>
      <c r="K459" s="87" t="s">
        <v>41</v>
      </c>
      <c r="M459" s="85">
        <f t="shared" si="18"/>
        <v>0</v>
      </c>
      <c r="N459" s="107"/>
      <c r="O459" s="370"/>
      <c r="P459" s="370"/>
      <c r="Q459" s="370"/>
      <c r="R459" s="169" t="s">
        <v>182</v>
      </c>
      <c r="S459" s="169" t="s">
        <v>182</v>
      </c>
      <c r="T459" s="169" t="s">
        <v>182</v>
      </c>
      <c r="U459" s="169" t="s">
        <v>182</v>
      </c>
      <c r="V459" s="178" t="str">
        <f t="shared" si="19"/>
        <v>Højlast</v>
      </c>
      <c r="W459" s="1"/>
    </row>
    <row r="460" spans="1:23" customFormat="1" ht="15" customHeight="1">
      <c r="A460" s="1"/>
      <c r="B460" s="1"/>
      <c r="C460" s="2"/>
      <c r="D460" s="124" t="s">
        <v>174</v>
      </c>
      <c r="E460" s="1"/>
      <c r="F460" s="107"/>
      <c r="G460" s="107"/>
      <c r="H460" s="107"/>
      <c r="I460" s="107"/>
      <c r="J460" s="107"/>
      <c r="K460" s="87" t="s">
        <v>41</v>
      </c>
      <c r="M460" s="85">
        <f t="shared" si="18"/>
        <v>0</v>
      </c>
      <c r="N460" s="107"/>
      <c r="O460" s="370"/>
      <c r="P460" s="370"/>
      <c r="Q460" s="370"/>
      <c r="R460" s="169" t="s">
        <v>182</v>
      </c>
      <c r="S460" s="169" t="s">
        <v>182</v>
      </c>
      <c r="T460" s="169" t="s">
        <v>182</v>
      </c>
      <c r="U460" s="169" t="s">
        <v>182</v>
      </c>
      <c r="V460" s="178" t="str">
        <f t="shared" si="19"/>
        <v>Højlast</v>
      </c>
      <c r="W460" s="1"/>
    </row>
    <row r="461" spans="1:23" customFormat="1" ht="15" customHeight="1">
      <c r="A461" s="1"/>
      <c r="B461" s="1"/>
      <c r="C461" s="2"/>
      <c r="D461" s="125" t="s">
        <v>175</v>
      </c>
      <c r="E461" s="27"/>
      <c r="F461" s="115"/>
      <c r="G461" s="115"/>
      <c r="H461" s="115"/>
      <c r="I461" s="115"/>
      <c r="J461" s="115"/>
      <c r="K461" s="98" t="s">
        <v>41</v>
      </c>
      <c r="L461" s="60"/>
      <c r="M461" s="99">
        <f t="shared" si="18"/>
        <v>0</v>
      </c>
      <c r="N461" s="115"/>
      <c r="O461" s="368"/>
      <c r="P461" s="368"/>
      <c r="Q461" s="368"/>
      <c r="R461" s="170" t="s">
        <v>182</v>
      </c>
      <c r="S461" s="170" t="s">
        <v>182</v>
      </c>
      <c r="T461" s="170" t="s">
        <v>182</v>
      </c>
      <c r="U461" s="170" t="s">
        <v>182</v>
      </c>
      <c r="V461" s="179" t="str">
        <f t="shared" si="19"/>
        <v>Højlast</v>
      </c>
      <c r="W461" s="27"/>
    </row>
    <row r="462" spans="1:23" customFormat="1" ht="15" customHeight="1">
      <c r="A462" s="1"/>
      <c r="B462" s="1"/>
      <c r="C462" s="2"/>
      <c r="D462" s="85"/>
      <c r="E462" s="1"/>
      <c r="F462" s="86"/>
      <c r="G462" s="86"/>
      <c r="H462" s="86"/>
      <c r="I462" s="86"/>
      <c r="J462" s="86"/>
      <c r="K462" s="87"/>
      <c r="L462" s="85"/>
      <c r="M462" s="85"/>
      <c r="N462" s="86"/>
      <c r="O462" s="86"/>
      <c r="P462" s="86"/>
      <c r="Q462" s="86"/>
      <c r="R462" s="1"/>
      <c r="S462" s="1"/>
      <c r="T462" s="1"/>
      <c r="U462" s="1"/>
      <c r="V462" s="1"/>
      <c r="W462" s="1"/>
    </row>
    <row r="463" spans="1:23" customFormat="1" ht="15" customHeight="1">
      <c r="A463" s="1"/>
      <c r="B463" s="1"/>
      <c r="C463" s="2"/>
      <c r="D463" s="85"/>
      <c r="E463" s="1"/>
      <c r="F463" s="86"/>
      <c r="G463" s="86"/>
      <c r="H463" s="86"/>
      <c r="I463" s="86"/>
      <c r="J463" s="86"/>
      <c r="K463" s="87"/>
      <c r="L463" s="85"/>
      <c r="M463" s="85"/>
      <c r="N463" s="86"/>
      <c r="O463" s="86"/>
      <c r="P463" s="86"/>
      <c r="Q463" s="86"/>
      <c r="R463" s="1"/>
      <c r="S463" s="1"/>
      <c r="T463" s="1"/>
      <c r="U463" s="1"/>
      <c r="V463" s="1"/>
      <c r="W463" s="1"/>
    </row>
    <row r="464" spans="1:23" customFormat="1" ht="15" customHeight="1">
      <c r="A464" s="1"/>
      <c r="B464" s="1"/>
      <c r="C464" s="2"/>
      <c r="D464" s="85"/>
      <c r="E464" s="1"/>
      <c r="F464" s="86"/>
      <c r="G464" s="86"/>
      <c r="H464" s="86"/>
      <c r="I464" s="86"/>
      <c r="J464" s="86"/>
      <c r="K464" s="87"/>
      <c r="L464" s="85"/>
      <c r="M464" s="85"/>
      <c r="N464" s="86"/>
      <c r="O464" s="86"/>
      <c r="P464" s="86"/>
      <c r="Q464" s="86"/>
      <c r="R464" s="1"/>
      <c r="S464" s="1"/>
      <c r="T464" s="1"/>
      <c r="U464" s="1"/>
      <c r="V464" s="1"/>
      <c r="W464" s="1"/>
    </row>
    <row r="465" spans="2:11" s="475" customFormat="1" ht="15" customHeight="1">
      <c r="B465" s="479" t="s">
        <v>104</v>
      </c>
      <c r="C465" s="477"/>
      <c r="D465" s="478"/>
      <c r="K465" s="472"/>
    </row>
  </sheetData>
  <sheetProtection sheet="1" objects="1" scenarios="1"/>
  <conditionalFormatting sqref="I4:I5">
    <cfRule type="cellIs" dxfId="712" priority="166" operator="between">
      <formula>-ErrorTolerance</formula>
      <formula>ErrorTolerance</formula>
    </cfRule>
  </conditionalFormatting>
  <conditionalFormatting sqref="J2:Q3 B2:E3">
    <cfRule type="expression" dxfId="711" priority="205">
      <formula>$I$4&lt;ErrorTolerance</formula>
    </cfRule>
  </conditionalFormatting>
  <conditionalFormatting sqref="B3">
    <cfRule type="expression" dxfId="710" priority="214">
      <formula>$I$5&gt;=ErrorTolerance</formula>
    </cfRule>
  </conditionalFormatting>
  <conditionalFormatting sqref="M303:M308 M86:M92 M110:M116 M130:M136 M150:M156 M170:M176 M194:M200 M214:M220 M75:M84 M203:M212 M183:M192 M159:M168 M139:M148 M119:M128 M99:M108">
    <cfRule type="cellIs" dxfId="709" priority="97" operator="greaterThan">
      <formula>0</formula>
    </cfRule>
  </conditionalFormatting>
  <conditionalFormatting sqref="M282:M284 M269:M278">
    <cfRule type="cellIs" dxfId="708" priority="96" operator="greaterThan">
      <formula>0</formula>
    </cfRule>
  </conditionalFormatting>
  <conditionalFormatting sqref="M291:M293 M295:M300">
    <cfRule type="cellIs" dxfId="707" priority="95" operator="greaterThan">
      <formula>0</formula>
    </cfRule>
  </conditionalFormatting>
  <conditionalFormatting sqref="M412:M435">
    <cfRule type="cellIs" dxfId="706" priority="94" operator="greaterThan">
      <formula>0</formula>
    </cfRule>
  </conditionalFormatting>
  <conditionalFormatting sqref="M438:M461">
    <cfRule type="cellIs" dxfId="705" priority="93" operator="greaterThan">
      <formula>0</formula>
    </cfRule>
  </conditionalFormatting>
  <conditionalFormatting sqref="L86:L92 L110:L116 L130:L136 L150:L156 L170:L176 L194:L200 L214:L220 L75:L84 L203:L212 L183:L192 L159:L168 L139:L148 L119:L128 L99:L108">
    <cfRule type="cellIs" dxfId="704" priority="92" operator="greaterThan">
      <formula>0</formula>
    </cfRule>
  </conditionalFormatting>
  <conditionalFormatting sqref="L355:L357">
    <cfRule type="cellIs" dxfId="703" priority="82" operator="greaterThan">
      <formula>0</formula>
    </cfRule>
  </conditionalFormatting>
  <conditionalFormatting sqref="L350:L352">
    <cfRule type="cellIs" dxfId="702" priority="83" operator="greaterThan">
      <formula>0</formula>
    </cfRule>
  </conditionalFormatting>
  <conditionalFormatting sqref="L311:L314">
    <cfRule type="cellIs" dxfId="701" priority="84" operator="greaterThan">
      <formula>0</formula>
    </cfRule>
  </conditionalFormatting>
  <conditionalFormatting sqref="V438:V461">
    <cfRule type="expression" dxfId="700" priority="80">
      <formula>V438 = V386</formula>
    </cfRule>
  </conditionalFormatting>
  <conditionalFormatting sqref="V412:V435">
    <cfRule type="expression" dxfId="699" priority="81">
      <formula>V412 = V360</formula>
    </cfRule>
  </conditionalFormatting>
  <conditionalFormatting sqref="M355:M357">
    <cfRule type="cellIs" dxfId="698" priority="68" operator="greaterThan">
      <formula>0</formula>
    </cfRule>
  </conditionalFormatting>
  <conditionalFormatting sqref="M350:M352">
    <cfRule type="cellIs" dxfId="697" priority="69" operator="greaterThan">
      <formula>0</formula>
    </cfRule>
  </conditionalFormatting>
  <conditionalFormatting sqref="M311:M314">
    <cfRule type="cellIs" dxfId="696" priority="70" operator="greaterThan">
      <formula>0</formula>
    </cfRule>
  </conditionalFormatting>
  <conditionalFormatting sqref="M45:M48">
    <cfRule type="cellIs" dxfId="695" priority="71" operator="greaterThan">
      <formula>0</formula>
    </cfRule>
  </conditionalFormatting>
  <conditionalFormatting sqref="M15">
    <cfRule type="cellIs" dxfId="694" priority="72" operator="greaterThan">
      <formula>0</formula>
    </cfRule>
  </conditionalFormatting>
  <conditionalFormatting sqref="L45:L48">
    <cfRule type="cellIs" dxfId="693" priority="67" operator="greaterThan">
      <formula>0</formula>
    </cfRule>
  </conditionalFormatting>
  <conditionalFormatting sqref="L15">
    <cfRule type="cellIs" dxfId="692" priority="66" operator="greaterThan">
      <formula>0</formula>
    </cfRule>
  </conditionalFormatting>
  <conditionalFormatting sqref="R355:V357">
    <cfRule type="expression" dxfId="691" priority="52">
      <formula>R355 = R350</formula>
    </cfRule>
  </conditionalFormatting>
  <conditionalFormatting sqref="I6">
    <cfRule type="cellIs" dxfId="690" priority="51" operator="between">
      <formula>-ErrorTolerance</formula>
      <formula>ErrorTolerance</formula>
    </cfRule>
  </conditionalFormatting>
  <conditionalFormatting sqref="I7">
    <cfRule type="cellIs" dxfId="689" priority="50" operator="between">
      <formula>-ErrorTolerance</formula>
      <formula>ErrorTolerance</formula>
    </cfRule>
  </conditionalFormatting>
  <conditionalFormatting sqref="H2">
    <cfRule type="expression" dxfId="688" priority="41">
      <formula>Model.Navigation.View=No</formula>
    </cfRule>
  </conditionalFormatting>
  <conditionalFormatting sqref="H2">
    <cfRule type="expression" dxfId="687" priority="40">
      <formula>Model.Navigation.View=No</formula>
    </cfRule>
  </conditionalFormatting>
  <conditionalFormatting sqref="F2">
    <cfRule type="expression" dxfId="686" priority="39">
      <formula>Model.Navigation.View=No</formula>
    </cfRule>
  </conditionalFormatting>
  <conditionalFormatting sqref="F2">
    <cfRule type="expression" dxfId="685" priority="38">
      <formula>Model.Navigation.View=No</formula>
    </cfRule>
  </conditionalFormatting>
  <conditionalFormatting sqref="I2">
    <cfRule type="expression" dxfId="684" priority="37">
      <formula>Model.Navigation.View=No</formula>
    </cfRule>
  </conditionalFormatting>
  <conditionalFormatting sqref="I2">
    <cfRule type="expression" dxfId="683" priority="36">
      <formula>Model.Navigation.View=No</formula>
    </cfRule>
  </conditionalFormatting>
  <conditionalFormatting sqref="M85">
    <cfRule type="cellIs" dxfId="682" priority="35" operator="greaterThan">
      <formula>0</formula>
    </cfRule>
  </conditionalFormatting>
  <conditionalFormatting sqref="L85">
    <cfRule type="cellIs" dxfId="681" priority="34" operator="greaterThan">
      <formula>0</formula>
    </cfRule>
  </conditionalFormatting>
  <conditionalFormatting sqref="M109">
    <cfRule type="cellIs" dxfId="680" priority="33" operator="greaterThan">
      <formula>0</formula>
    </cfRule>
  </conditionalFormatting>
  <conditionalFormatting sqref="L109">
    <cfRule type="cellIs" dxfId="679" priority="32" operator="greaterThan">
      <formula>0</formula>
    </cfRule>
  </conditionalFormatting>
  <conditionalFormatting sqref="M129">
    <cfRule type="cellIs" dxfId="678" priority="31" operator="greaterThan">
      <formula>0</formula>
    </cfRule>
  </conditionalFormatting>
  <conditionalFormatting sqref="L129">
    <cfRule type="cellIs" dxfId="677" priority="30" operator="greaterThan">
      <formula>0</formula>
    </cfRule>
  </conditionalFormatting>
  <conditionalFormatting sqref="M149">
    <cfRule type="cellIs" dxfId="676" priority="29" operator="greaterThan">
      <formula>0</formula>
    </cfRule>
  </conditionalFormatting>
  <conditionalFormatting sqref="L149">
    <cfRule type="cellIs" dxfId="675" priority="28" operator="greaterThan">
      <formula>0</formula>
    </cfRule>
  </conditionalFormatting>
  <conditionalFormatting sqref="M169">
    <cfRule type="cellIs" dxfId="674" priority="27" operator="greaterThan">
      <formula>0</formula>
    </cfRule>
  </conditionalFormatting>
  <conditionalFormatting sqref="L169">
    <cfRule type="cellIs" dxfId="673" priority="26" operator="greaterThan">
      <formula>0</formula>
    </cfRule>
  </conditionalFormatting>
  <conditionalFormatting sqref="M193">
    <cfRule type="cellIs" dxfId="672" priority="25" operator="greaterThan">
      <formula>0</formula>
    </cfRule>
  </conditionalFormatting>
  <conditionalFormatting sqref="L193">
    <cfRule type="cellIs" dxfId="671" priority="24" operator="greaterThan">
      <formula>0</formula>
    </cfRule>
  </conditionalFormatting>
  <conditionalFormatting sqref="M213">
    <cfRule type="cellIs" dxfId="670" priority="23" operator="greaterThan">
      <formula>0</formula>
    </cfRule>
  </conditionalFormatting>
  <conditionalFormatting sqref="L213">
    <cfRule type="cellIs" dxfId="669" priority="22" operator="greaterThan">
      <formula>0</formula>
    </cfRule>
  </conditionalFormatting>
  <conditionalFormatting sqref="M279:M280">
    <cfRule type="cellIs" dxfId="668" priority="21" operator="greaterThan">
      <formula>0</formula>
    </cfRule>
  </conditionalFormatting>
  <conditionalFormatting sqref="M301">
    <cfRule type="cellIs" dxfId="667" priority="20" operator="greaterThan">
      <formula>0</formula>
    </cfRule>
  </conditionalFormatting>
  <conditionalFormatting sqref="G2">
    <cfRule type="expression" dxfId="666" priority="19">
      <formula>Model.Navigation.View=No</formula>
    </cfRule>
  </conditionalFormatting>
  <conditionalFormatting sqref="G2">
    <cfRule type="expression" dxfId="665" priority="18">
      <formula>Model.Navigation.View=No</formula>
    </cfRule>
  </conditionalFormatting>
  <conditionalFormatting sqref="M321:M336 N336:O336 M344:O345">
    <cfRule type="cellIs" dxfId="664" priority="12" operator="greaterThan">
      <formula>0</formula>
    </cfRule>
  </conditionalFormatting>
  <conditionalFormatting sqref="M238:M241 M227:M236">
    <cfRule type="cellIs" dxfId="663" priority="11" operator="greaterThan">
      <formula>0</formula>
    </cfRule>
  </conditionalFormatting>
  <conditionalFormatting sqref="L238:L241 L227:L236">
    <cfRule type="cellIs" dxfId="662" priority="10" operator="greaterThan">
      <formula>0</formula>
    </cfRule>
  </conditionalFormatting>
  <conditionalFormatting sqref="M237">
    <cfRule type="cellIs" dxfId="661" priority="9" operator="greaterThan">
      <formula>0</formula>
    </cfRule>
  </conditionalFormatting>
  <conditionalFormatting sqref="L237">
    <cfRule type="cellIs" dxfId="660" priority="8" operator="greaterThan">
      <formula>0</formula>
    </cfRule>
  </conditionalFormatting>
  <conditionalFormatting sqref="M338:M339">
    <cfRule type="cellIs" dxfId="659" priority="2" operator="greaterThan">
      <formula>0</formula>
    </cfRule>
  </conditionalFormatting>
  <conditionalFormatting sqref="M340:M343">
    <cfRule type="cellIs" dxfId="658" priority="3" operator="greaterThan">
      <formula>0</formula>
    </cfRule>
  </conditionalFormatting>
  <conditionalFormatting sqref="L338:L343">
    <cfRule type="cellIs" dxfId="657" priority="1" operator="greaterThan">
      <formula>0</formula>
    </cfRule>
  </conditionalFormatting>
  <dataValidations count="3">
    <dataValidation type="list" allowBlank="1" showInputMessage="1" showErrorMessage="1" sqref="R438:U461 R360:V383 R386:V409 R412:U435" xr:uid="{8EC0F84C-DD51-4FFD-AE57-11BE546D0630}">
      <formula1>List.Last</formula1>
    </dataValidation>
    <dataValidation type="list" allowBlank="1" showInputMessage="1" showErrorMessage="1" sqref="N67:N72 N55:N57 N59:N65" xr:uid="{DEB33C9E-A0DA-4F61-A139-0557EA1F09D6}">
      <formula1>List.tarifeffekt</formula1>
    </dataValidation>
    <dataValidation type="list" allowBlank="1" showInputMessage="1" showErrorMessage="1" sqref="N303:N308 N291:N293 N295:N301 N321:N322 N324 N329:N331" xr:uid="{70964C5E-F277-4573-A966-2F3203FD29DA}">
      <formula1>List.YesNo</formula1>
    </dataValidation>
  </dataValidations>
  <hyperlinks>
    <hyperlink ref="G2" location="'2.2 Generelle input'!B11" tooltip="Gå til toppen af arket" display="'2.2 Generelle input'!B11" xr:uid="{E05DBEF1-061B-4F4B-8864-E5034ACF13C5}"/>
    <hyperlink ref="H2" location="'2.3 Selskabsspecifikke input'!B2" tooltip="Gå til selskabsspecifikke input" display="'2.3 Selskabsspecifikke input'!B2" xr:uid="{7DF9260E-8952-4287-805C-B1A2BD0E6B2F}"/>
    <hyperlink ref="F2" location="Modeloverblik!B2" tooltip="Gå til modelbeskrivelse" display="Modeloverblik!B2" xr:uid="{136B8627-95ED-4CC0-8090-D09F86396692}"/>
    <hyperlink ref="I2" location="'4.1 Fejl- og kontroloversigt'!B2" tooltip="Gå til fejl- og kontrolchecks" display="'4.1 Fejl- og kontroloversigt'!B2" xr:uid="{8081AC28-1F7E-4025-8D61-3153C886E3E4}"/>
  </hyperlinks>
  <pageMargins left="0.70866141732283472" right="0.70866141732283472" top="0.74803149606299213" bottom="0.74803149606299213" header="0.31496062992125984" footer="0.31496062992125984"/>
  <pageSetup paperSize="9" scale="56"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ignoredErrors>
    <ignoredError sqref="D372 D398 D450 D424" twoDigitTextYear="1"/>
    <ignoredError sqref="M86"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57" id="{80FA137E-B858-487D-A502-CD989296A551}">
            <xm:f>R360 = '2.1 Model setup'!$K$67</xm:f>
            <x14:dxf>
              <fill>
                <gradientFill degree="225">
                  <stop position="0">
                    <color theme="0"/>
                  </stop>
                  <stop position="1">
                    <color rgb="FFC80000"/>
                  </stop>
                </gradientFill>
              </fill>
            </x14:dxf>
          </x14:cfRule>
          <x14:cfRule type="expression" priority="158" id="{32AD775F-1141-4766-B8F8-D364FB0A78AE}">
            <xm:f>R360 = '2.1 Model setup'!$K$66</xm:f>
            <x14:dxf>
              <fill>
                <gradientFill degree="225">
                  <stop position="0">
                    <color theme="0"/>
                  </stop>
                  <stop position="1">
                    <color rgb="FFFAC800"/>
                  </stop>
                </gradientFill>
              </fill>
            </x14:dxf>
          </x14:cfRule>
          <x14:cfRule type="expression" priority="159" id="{817A1878-FD8B-4D47-A21B-B4BEEF84EAF6}">
            <xm:f>R360 = '2.1 Model setup'!$K$65</xm:f>
            <x14:dxf>
              <fill>
                <gradientFill degree="225">
                  <stop position="0">
                    <color theme="0"/>
                  </stop>
                  <stop position="1">
                    <color rgb="FF00B050"/>
                  </stop>
                </gradientFill>
              </fill>
            </x14:dxf>
          </x14:cfRule>
          <xm:sqref>R360:V383</xm:sqref>
        </x14:conditionalFormatting>
        <x14:conditionalFormatting xmlns:xm="http://schemas.microsoft.com/office/excel/2006/main">
          <x14:cfRule type="expression" priority="107" id="{0CE1FE15-7765-41E0-88E1-1EEFBC2F183C}">
            <xm:f>R412 = '2.1 Model setup'!$K$67</xm:f>
            <x14:dxf>
              <fill>
                <gradientFill degree="225">
                  <stop position="0">
                    <color theme="0"/>
                  </stop>
                  <stop position="1">
                    <color rgb="FFC80000"/>
                  </stop>
                </gradientFill>
              </fill>
            </x14:dxf>
          </x14:cfRule>
          <x14:cfRule type="expression" priority="108" id="{A8699FAC-D242-4E60-865A-EA564554EA60}">
            <xm:f>R412 = '2.1 Model setup'!$K$66</xm:f>
            <x14:dxf>
              <fill>
                <gradientFill degree="225">
                  <stop position="0">
                    <color theme="0"/>
                  </stop>
                  <stop position="1">
                    <color rgb="FFFAC800"/>
                  </stop>
                </gradientFill>
              </fill>
            </x14:dxf>
          </x14:cfRule>
          <x14:cfRule type="expression" priority="109" id="{025B0C44-0DCC-4F8F-BE36-6D3778870EDA}">
            <xm:f>R412 = '2.1 Model setup'!$K$65</xm:f>
            <x14:dxf>
              <fill>
                <gradientFill degree="225">
                  <stop position="0">
                    <color theme="0"/>
                  </stop>
                  <stop position="1">
                    <color rgb="FF00B050"/>
                  </stop>
                </gradientFill>
              </fill>
            </x14:dxf>
          </x14:cfRule>
          <xm:sqref>R412:V435</xm:sqref>
        </x14:conditionalFormatting>
        <x14:conditionalFormatting xmlns:xm="http://schemas.microsoft.com/office/excel/2006/main">
          <x14:cfRule type="expression" priority="104" id="{5751349A-D9D7-430C-8363-2AB5E654E80A}">
            <xm:f>R438 = '2.1 Model setup'!$K$67</xm:f>
            <x14:dxf>
              <fill>
                <gradientFill degree="225">
                  <stop position="0">
                    <color theme="0"/>
                  </stop>
                  <stop position="1">
                    <color rgb="FFC80000"/>
                  </stop>
                </gradientFill>
              </fill>
            </x14:dxf>
          </x14:cfRule>
          <x14:cfRule type="expression" priority="105" id="{6A2CEA2F-3B53-4B65-879B-48BC310F784C}">
            <xm:f>R438 = '2.1 Model setup'!$K$66</xm:f>
            <x14:dxf>
              <fill>
                <gradientFill degree="225">
                  <stop position="0">
                    <color theme="0"/>
                  </stop>
                  <stop position="1">
                    <color rgb="FFFAC800"/>
                  </stop>
                </gradientFill>
              </fill>
            </x14:dxf>
          </x14:cfRule>
          <x14:cfRule type="expression" priority="106" id="{BD299205-CD54-4CCB-B82F-EEB324B52ADA}">
            <xm:f>R438 = '2.1 Model setup'!$K$65</xm:f>
            <x14:dxf>
              <fill>
                <gradientFill degree="225">
                  <stop position="0">
                    <color theme="0"/>
                  </stop>
                  <stop position="1">
                    <color rgb="FF00B050"/>
                  </stop>
                </gradientFill>
              </fill>
            </x14:dxf>
          </x14:cfRule>
          <xm:sqref>R438:U461</xm:sqref>
        </x14:conditionalFormatting>
        <x14:conditionalFormatting xmlns:xm="http://schemas.microsoft.com/office/excel/2006/main">
          <x14:cfRule type="expression" priority="110" id="{F914946E-2E03-4AD7-B2F0-2CAD21CAB48B}">
            <xm:f>R386 = '2.1 Model setup'!$K$67</xm:f>
            <x14:dxf>
              <fill>
                <gradientFill degree="225">
                  <stop position="0">
                    <color theme="0"/>
                  </stop>
                  <stop position="1">
                    <color rgb="FFC80000"/>
                  </stop>
                </gradientFill>
              </fill>
            </x14:dxf>
          </x14:cfRule>
          <x14:cfRule type="expression" priority="111" id="{D504DFE7-D8F2-456D-AA9C-E79AC695C489}">
            <xm:f>R386 = '2.1 Model setup'!$K$66</xm:f>
            <x14:dxf>
              <fill>
                <gradientFill degree="225">
                  <stop position="0">
                    <color theme="0"/>
                  </stop>
                  <stop position="1">
                    <color rgb="FFFAC800"/>
                  </stop>
                </gradientFill>
              </fill>
            </x14:dxf>
          </x14:cfRule>
          <x14:cfRule type="expression" priority="112" id="{1B33F461-97A7-4F14-8693-3FCE592CAC07}">
            <xm:f>R386 = '2.1 Model setup'!$K$65</xm:f>
            <x14:dxf>
              <fill>
                <gradientFill degree="225">
                  <stop position="0">
                    <color theme="0"/>
                  </stop>
                  <stop position="1">
                    <color rgb="FF00B050"/>
                  </stop>
                </gradientFill>
              </fill>
            </x14:dxf>
          </x14:cfRule>
          <xm:sqref>R386:U409</xm:sqref>
        </x14:conditionalFormatting>
        <x14:conditionalFormatting xmlns:xm="http://schemas.microsoft.com/office/excel/2006/main">
          <x14:cfRule type="expression" priority="101" id="{50FD7DAE-CF5E-4113-AA15-FF5B7250A314}">
            <xm:f>V386 = '2.1 Model setup'!$K$67</xm:f>
            <x14:dxf>
              <fill>
                <gradientFill degree="225">
                  <stop position="0">
                    <color theme="0"/>
                  </stop>
                  <stop position="1">
                    <color rgb="FFC80000"/>
                  </stop>
                </gradientFill>
              </fill>
            </x14:dxf>
          </x14:cfRule>
          <x14:cfRule type="expression" priority="102" id="{FD7841D7-66EE-4BA8-81AB-694BA5D8DA85}">
            <xm:f>V386 = '2.1 Model setup'!$K$66</xm:f>
            <x14:dxf>
              <fill>
                <gradientFill degree="225">
                  <stop position="0">
                    <color theme="0"/>
                  </stop>
                  <stop position="1">
                    <color rgb="FFFAC800"/>
                  </stop>
                </gradientFill>
              </fill>
            </x14:dxf>
          </x14:cfRule>
          <x14:cfRule type="expression" priority="103" id="{CAC1E7E9-99BD-4263-90CF-7EB527B86A73}">
            <xm:f>V386 = '2.1 Model setup'!$K$65</xm:f>
            <x14:dxf>
              <fill>
                <gradientFill degree="225">
                  <stop position="0">
                    <color theme="0"/>
                  </stop>
                  <stop position="1">
                    <color rgb="FF00B050"/>
                  </stop>
                </gradientFill>
              </fill>
            </x14:dxf>
          </x14:cfRule>
          <xm:sqref>V386:V409</xm:sqref>
        </x14:conditionalFormatting>
        <x14:conditionalFormatting xmlns:xm="http://schemas.microsoft.com/office/excel/2006/main">
          <x14:cfRule type="expression" priority="98" id="{FE3AA7FE-8F84-4601-8E1E-148367A5F9FE}">
            <xm:f>V438 = '2.1 Model setup'!$K$67</xm:f>
            <x14:dxf>
              <fill>
                <gradientFill degree="225">
                  <stop position="0">
                    <color theme="0"/>
                  </stop>
                  <stop position="1">
                    <color rgb="FFC80000"/>
                  </stop>
                </gradientFill>
              </fill>
            </x14:dxf>
          </x14:cfRule>
          <x14:cfRule type="expression" priority="99" id="{D2D5C8E3-75B9-41E0-8882-321C3289769C}">
            <xm:f>V438 = '2.1 Model setup'!$K$66</xm:f>
            <x14:dxf>
              <fill>
                <gradientFill degree="225">
                  <stop position="0">
                    <color theme="0"/>
                  </stop>
                  <stop position="1">
                    <color rgb="FFFAC800"/>
                  </stop>
                </gradientFill>
              </fill>
            </x14:dxf>
          </x14:cfRule>
          <x14:cfRule type="expression" priority="100" id="{4A3CB397-B1B1-4D22-9839-F471EF742B26}">
            <xm:f>V438 = '2.1 Model setup'!$K$65</xm:f>
            <x14:dxf>
              <fill>
                <gradientFill degree="225">
                  <stop position="0">
                    <color theme="0"/>
                  </stop>
                  <stop position="1">
                    <color rgb="FF00B050"/>
                  </stop>
                </gradientFill>
              </fill>
            </x14:dxf>
          </x14:cfRule>
          <xm:sqref>V438:V461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E680672-471D-4C22-8DA2-A9F7806E79FC}">
          <x14:formula1>
            <xm:f>'2.1 Model setup'!$K$140:$K$141</xm:f>
          </x14:formula1>
          <xm:sqref>O248:V262</xm:sqref>
        </x14:dataValidation>
        <x14:dataValidation type="list" allowBlank="1" showInputMessage="1" showErrorMessage="1" xr:uid="{3C907258-C5B0-4C9F-A871-7E8A94176D44}">
          <x14:formula1>
            <xm:f>'2.1 Model setup'!$K$50:$K$52</xm:f>
          </x14:formula1>
          <xm:sqref>N282:N284 N269:N280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507B-BEC6-4787-B97C-FDDA308EF148}">
  <sheetPr codeName="Sheet24">
    <tabColor rgb="FFCFCFCF"/>
    <outlinePr summaryBelow="0"/>
    <pageSetUpPr fitToPage="1"/>
  </sheetPr>
  <dimension ref="A1:AM360"/>
  <sheetViews>
    <sheetView showGridLines="0" zoomScale="85" zoomScaleNormal="85" workbookViewId="0">
      <pane xSplit="14" ySplit="10" topLeftCell="O11" activePane="bottomRight" state="frozen"/>
      <selection pane="topRight" activeCell="O1" sqref="O1"/>
      <selection pane="bottomLeft" activeCell="A11" sqref="A11"/>
      <selection pane="bottomRight"/>
    </sheetView>
  </sheetViews>
  <sheetFormatPr defaultColWidth="0" defaultRowHeight="15" customHeight="1" outlineLevelRow="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23" width="18.6640625" style="1" customWidth="1"/>
    <col min="24" max="24" width="5.6640625" style="1" customWidth="1"/>
    <col min="25" max="25" width="67.1640625" style="1" customWidth="1"/>
    <col min="26" max="38" width="16.6640625" style="1" customWidth="1"/>
    <col min="39" max="16384" width="16.6640625" style="1" hidden="1"/>
  </cols>
  <sheetData>
    <row r="1" spans="2:28" ht="4.9000000000000004" customHeight="1"/>
    <row r="2" spans="2:28" ht="19.899999999999999" customHeight="1">
      <c r="B2" s="6" t="str">
        <f ca="1" xml:space="preserve"> MID( CELL("filename", B2), FIND("]", CELL("filename",B2) ) + 1, Model.MaxChars)</f>
        <v>2.3 Selskabsspecifikke input</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2:28"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2:28" ht="15" customHeight="1">
      <c r="F4" s="74" t="s">
        <v>274</v>
      </c>
      <c r="G4" s="2"/>
      <c r="I4" s="25">
        <f xml:space="preserve"> SUM(L:L)</f>
        <v>0</v>
      </c>
    </row>
    <row r="5" spans="2:28" ht="15" customHeight="1">
      <c r="F5" s="74" t="s">
        <v>275</v>
      </c>
      <c r="G5" s="2"/>
      <c r="I5" s="84">
        <f xml:space="preserve"> SUM(M:M)</f>
        <v>53</v>
      </c>
      <c r="AB5"/>
    </row>
    <row r="6" spans="2:28" ht="15" customHeight="1">
      <c r="F6" s="74" t="s">
        <v>276</v>
      </c>
      <c r="G6" s="2"/>
      <c r="I6" s="25">
        <f xml:space="preserve"> SUM( L:L ) + SUM( '1.1 Provenu'!L:L ) + SUM( '1.2 Tarifoversigt'!L:L) + SUM( '1.3 Varslingsanalyse'!L:L) + SUM( '1.4 Hoveddata'!L:L) + SUM('2.1 Model setup'!L:L ) + SUM('2.2 Generelle input'!L:L ) + SUM( '3.1 Opsplitning af forbrug'!L:L) + SUM( '3.2 Abonnement'!L:L) + SUM( '3.3 Forbrugstariffer og effekt'!L:L) + SUM( '3.4 Tidsdifferentieret tarif'!L:L) + SUM('3.5 Indfødningstarif'!L:L)+ SUM( 'Hjælpeark, forbrugsnøgler'!L:L) + SUM( 'Hjælpeark, fall-back-metoden'!L:L )</f>
        <v>0</v>
      </c>
      <c r="AB6"/>
    </row>
    <row r="7" spans="2:28" ht="15" customHeight="1">
      <c r="F7" s="75" t="s">
        <v>236</v>
      </c>
      <c r="G7" s="26"/>
      <c r="H7" s="27"/>
      <c r="I7" s="329">
        <f xml:space="preserve"> '1.3 Varslingsanalyse'!I7</f>
        <v>0</v>
      </c>
      <c r="AB7"/>
    </row>
    <row r="8" spans="2:28" ht="15" customHeight="1">
      <c r="L8" s="484" t="str">
        <f xml:space="preserve"> Header.Labels</f>
        <v>Checks</v>
      </c>
      <c r="M8" s="484"/>
    </row>
    <row r="9" spans="2:28" ht="5.0999999999999996" customHeight="1">
      <c r="E9" s="14"/>
      <c r="F9" s="28"/>
      <c r="G9" s="28"/>
      <c r="H9" s="28"/>
      <c r="I9" s="28"/>
      <c r="J9" s="28"/>
      <c r="L9" s="485"/>
      <c r="M9" s="473"/>
      <c r="N9" s="28"/>
      <c r="O9" s="28"/>
      <c r="P9" s="28"/>
      <c r="Q9" s="28"/>
    </row>
    <row r="10" spans="2:28"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c r="Y10" s="475" t="s">
        <v>363</v>
      </c>
    </row>
    <row r="11" spans="2:28" s="15" customFormat="1" ht="15" customHeight="1">
      <c r="C11" s="16"/>
      <c r="D11" s="17"/>
      <c r="F11" s="1"/>
      <c r="K11" s="19"/>
    </row>
    <row r="12" spans="2:28" s="475" customFormat="1" ht="15" customHeight="1">
      <c r="B12" s="479" t="str">
        <f xml:space="preserve"> COUNTA(B$10:B11) &amp; ") Modelvalg"</f>
        <v>1) Modelvalg</v>
      </c>
      <c r="C12" s="477"/>
      <c r="D12" s="478"/>
      <c r="K12" s="472"/>
    </row>
    <row r="14" spans="2:28" ht="15" customHeight="1">
      <c r="D14" s="35" t="s">
        <v>652</v>
      </c>
      <c r="E14" s="27"/>
      <c r="F14" s="27"/>
      <c r="G14" s="27"/>
      <c r="H14" s="27"/>
      <c r="I14" s="27"/>
      <c r="J14" s="27"/>
      <c r="K14" s="32"/>
      <c r="L14" s="27"/>
      <c r="M14" s="27"/>
      <c r="N14" s="27"/>
      <c r="O14" s="27"/>
      <c r="P14" s="27"/>
      <c r="Q14" s="27"/>
      <c r="R14" s="27"/>
      <c r="S14" s="27"/>
      <c r="T14" s="27"/>
      <c r="U14" s="27"/>
      <c r="V14" s="27"/>
      <c r="W14" s="27"/>
      <c r="Y14" s="260" t="s">
        <v>362</v>
      </c>
    </row>
    <row r="15" spans="2:28" ht="15" customHeight="1">
      <c r="D15" s="33" t="s">
        <v>659</v>
      </c>
      <c r="E15" s="33"/>
      <c r="F15" s="33"/>
      <c r="G15" s="33"/>
      <c r="H15" s="33"/>
      <c r="I15" s="33"/>
      <c r="J15" s="33"/>
      <c r="K15" s="34" t="s">
        <v>41</v>
      </c>
      <c r="L15" s="33"/>
      <c r="M15" s="33"/>
      <c r="N15" s="598" t="s">
        <v>5</v>
      </c>
      <c r="O15" s="33"/>
      <c r="P15" s="33"/>
      <c r="Q15" s="33"/>
      <c r="R15" s="33"/>
      <c r="S15" s="33"/>
      <c r="T15" s="33"/>
      <c r="U15" s="33"/>
      <c r="V15" s="33"/>
      <c r="W15" s="33"/>
    </row>
    <row r="17" spans="1:25" ht="15" customHeight="1">
      <c r="D17" s="35" t="s">
        <v>668</v>
      </c>
      <c r="E17" s="27"/>
      <c r="F17" s="27"/>
      <c r="G17" s="27"/>
      <c r="H17" s="27"/>
      <c r="I17" s="27"/>
      <c r="J17" s="27"/>
      <c r="K17" s="32"/>
      <c r="L17" s="27"/>
      <c r="M17" s="27"/>
      <c r="N17" s="27"/>
      <c r="O17" s="27"/>
      <c r="P17" s="27"/>
      <c r="Q17" s="27"/>
      <c r="R17" s="27"/>
      <c r="S17" s="27"/>
      <c r="T17" s="27"/>
      <c r="U17" s="27"/>
      <c r="V17" s="27"/>
      <c r="W17" s="27"/>
    </row>
    <row r="18" spans="1:25" ht="15" customHeight="1">
      <c r="D18" s="1" t="str">
        <f>'2.1 Model setup'!K91</f>
        <v>1.1 Drift og vedligeholdelse af transformerstationer</v>
      </c>
      <c r="K18" s="5" t="s">
        <v>41</v>
      </c>
      <c r="N18" s="634" t="s">
        <v>520</v>
      </c>
    </row>
    <row r="19" spans="1:25" ht="15" customHeight="1">
      <c r="D19" s="1" t="str">
        <f>'2.1 Model setup'!K92</f>
        <v>1.2 Drift og vedligeholdelse af ledningsnet</v>
      </c>
      <c r="K19" s="5" t="s">
        <v>41</v>
      </c>
      <c r="N19" s="635" t="s">
        <v>520</v>
      </c>
    </row>
    <row r="20" spans="1:25" ht="15" customHeight="1">
      <c r="D20" s="1" t="str">
        <f>'2.1 Model setup'!K93</f>
        <v>4.1 Omkostninger vedrørende nettab i transformerstationer</v>
      </c>
      <c r="K20" s="5" t="s">
        <v>41</v>
      </c>
      <c r="N20" s="635" t="s">
        <v>520</v>
      </c>
    </row>
    <row r="21" spans="1:25" ht="15" customHeight="1">
      <c r="D21" s="27" t="str">
        <f>'2.1 Model setup'!K94</f>
        <v>4.2 Omkostninger vedrørende nettab i ledningsnettet</v>
      </c>
      <c r="E21" s="27"/>
      <c r="F21" s="27"/>
      <c r="G21" s="27"/>
      <c r="H21" s="27"/>
      <c r="I21" s="27"/>
      <c r="J21" s="27"/>
      <c r="K21" s="32" t="s">
        <v>41</v>
      </c>
      <c r="L21" s="27"/>
      <c r="M21" s="27"/>
      <c r="N21" s="636" t="s">
        <v>520</v>
      </c>
      <c r="O21" s="27"/>
      <c r="P21" s="27"/>
      <c r="Q21" s="27"/>
      <c r="R21" s="27"/>
      <c r="S21" s="27"/>
      <c r="T21" s="27"/>
      <c r="U21" s="27"/>
      <c r="V21" s="27"/>
      <c r="W21" s="27"/>
    </row>
    <row r="25" spans="1:25" s="475" customFormat="1" ht="15" customHeight="1" outlineLevel="1">
      <c r="B25" s="479" t="str">
        <f xml:space="preserve"> COUNTA(B$10:B24) &amp; ") Indtægtsramme"</f>
        <v>2) Indtægtsramme</v>
      </c>
      <c r="C25" s="477"/>
      <c r="D25" s="478"/>
      <c r="K25" s="472"/>
    </row>
    <row r="26" spans="1:25" customFormat="1" ht="15" customHeight="1" outlineLevel="1">
      <c r="A26" s="1"/>
      <c r="B26" s="1"/>
      <c r="C26" s="2"/>
      <c r="D26" s="85"/>
      <c r="E26" s="1"/>
      <c r="F26" s="86"/>
      <c r="G26" s="86"/>
      <c r="H26" s="86"/>
      <c r="I26" s="86"/>
      <c r="J26" s="86"/>
      <c r="K26" s="87"/>
      <c r="L26" s="85"/>
      <c r="M26" s="85"/>
      <c r="N26" s="86"/>
      <c r="O26" s="86"/>
      <c r="P26" s="86"/>
      <c r="Q26" s="86"/>
      <c r="R26" s="1"/>
      <c r="S26" s="1"/>
      <c r="T26" s="1"/>
      <c r="U26" s="1"/>
      <c r="V26" s="1"/>
      <c r="W26" s="1"/>
      <c r="X26" s="1"/>
      <c r="Y26" s="1"/>
    </row>
    <row r="27" spans="1:25" customFormat="1" ht="15" customHeight="1" outlineLevel="1">
      <c r="A27" s="1"/>
      <c r="B27" s="1"/>
      <c r="C27" s="2"/>
      <c r="D27" s="88" t="s">
        <v>458</v>
      </c>
      <c r="E27" s="1"/>
      <c r="F27" s="86"/>
      <c r="G27" s="86"/>
      <c r="H27" s="86"/>
      <c r="I27" s="86"/>
      <c r="J27" s="86"/>
      <c r="K27" s="87"/>
      <c r="L27" s="85"/>
      <c r="M27" s="85"/>
      <c r="N27" s="86"/>
      <c r="O27" s="86"/>
      <c r="P27" s="86"/>
      <c r="Q27" s="86"/>
      <c r="R27" s="1"/>
      <c r="S27" s="1"/>
      <c r="T27" s="1"/>
      <c r="U27" s="1"/>
      <c r="V27" s="1"/>
      <c r="W27" s="89" t="s">
        <v>16</v>
      </c>
      <c r="X27" s="89"/>
      <c r="Y27" s="260" t="s">
        <v>362</v>
      </c>
    </row>
    <row r="28" spans="1:25" customFormat="1" ht="15" customHeight="1" outlineLevel="1">
      <c r="A28" s="1"/>
      <c r="B28" s="1"/>
      <c r="C28" s="2"/>
      <c r="D28" s="90" t="s">
        <v>80</v>
      </c>
      <c r="E28" s="33"/>
      <c r="F28" s="91"/>
      <c r="G28" s="91"/>
      <c r="H28" s="91"/>
      <c r="I28" s="91"/>
      <c r="J28" s="91"/>
      <c r="K28" s="92" t="str">
        <f xml:space="preserve"> Model.Units</f>
        <v>DKKt</v>
      </c>
      <c r="L28" s="90">
        <f xml:space="preserve"> -- ( COUNTIF( R28:V28, "&lt;0" ) &gt; 0 ) +  -- ( COUNTIF( R28:V28, "*" ) &gt; 0 )</f>
        <v>0</v>
      </c>
      <c r="M28" s="139">
        <f xml:space="preserve"> -- ( OR( -- ( OR( COUNTIF( O28:P28,  "=0" ) &gt; 0, COUNTIF( O28:P28,  "" ) &gt; 0 ) ) &gt; 0, -- ( OR( COUNTIF( R28:V28,  "=0" ) &gt; 0, COUNTIF( R28:V28,  "" ) &gt; 0 ) ) &gt; 0 ) )</f>
        <v>1</v>
      </c>
      <c r="N28" s="91"/>
      <c r="O28" s="287"/>
      <c r="P28" s="287"/>
      <c r="Q28" s="380"/>
      <c r="R28" s="287"/>
      <c r="S28" s="287"/>
      <c r="T28" s="287"/>
      <c r="U28" s="287"/>
      <c r="V28" s="287"/>
      <c r="W28" s="186">
        <f xml:space="preserve"> SUM( O28:V28 )</f>
        <v>0</v>
      </c>
      <c r="X28" s="111"/>
      <c r="Y28" s="1"/>
    </row>
    <row r="29" spans="1:25" customFormat="1" ht="15" customHeight="1" outlineLevel="1">
      <c r="A29" s="1"/>
      <c r="B29" s="1"/>
      <c r="C29" s="2"/>
      <c r="D29" s="85"/>
      <c r="E29" s="1"/>
      <c r="F29" s="86"/>
      <c r="G29" s="86"/>
      <c r="H29" s="86"/>
      <c r="I29" s="86"/>
      <c r="J29" s="86"/>
      <c r="K29" s="87"/>
      <c r="L29" s="85"/>
      <c r="M29" s="85"/>
      <c r="N29" s="86"/>
      <c r="O29" s="86"/>
      <c r="P29" s="86"/>
      <c r="Q29" s="86"/>
      <c r="R29" s="1"/>
      <c r="S29" s="1"/>
      <c r="T29" s="1"/>
      <c r="U29" s="1"/>
      <c r="V29" s="1"/>
      <c r="W29" s="1"/>
      <c r="X29" s="1"/>
      <c r="Y29" s="1"/>
    </row>
    <row r="30" spans="1:25" customFormat="1" ht="15" customHeight="1" outlineLevel="1">
      <c r="A30" s="1"/>
      <c r="B30" s="1"/>
      <c r="C30" s="2"/>
      <c r="D30" s="88" t="s">
        <v>25</v>
      </c>
      <c r="E30" s="1"/>
      <c r="F30" s="86"/>
      <c r="G30" s="86"/>
      <c r="H30" s="86"/>
      <c r="I30" s="86"/>
      <c r="J30" s="86"/>
      <c r="K30" s="87"/>
      <c r="L30" s="85"/>
      <c r="M30" s="85"/>
      <c r="N30" s="86"/>
      <c r="O30" s="86"/>
      <c r="P30" s="86"/>
      <c r="Q30" s="86"/>
      <c r="R30" s="1"/>
      <c r="S30" s="1"/>
      <c r="T30" s="1"/>
      <c r="U30" s="1"/>
      <c r="V30" s="1"/>
      <c r="W30" s="1"/>
      <c r="X30" s="1"/>
      <c r="Y30" s="1"/>
    </row>
    <row r="31" spans="1:25" customFormat="1" ht="15" customHeight="1" outlineLevel="1">
      <c r="A31" s="1"/>
      <c r="B31" s="1"/>
      <c r="C31" s="2"/>
      <c r="D31" s="90" t="s">
        <v>287</v>
      </c>
      <c r="E31" s="33"/>
      <c r="F31" s="96"/>
      <c r="G31" s="96"/>
      <c r="H31" s="96"/>
      <c r="I31" s="96"/>
      <c r="J31" s="96"/>
      <c r="K31" s="92" t="str">
        <f xml:space="preserve"> Model.Units</f>
        <v>DKKt</v>
      </c>
      <c r="L31" s="90">
        <f xml:space="preserve"> -- ( N31 &lt; 0 ) + --( COUNTIF( N31, "*" ) &gt; 0 )</f>
        <v>0</v>
      </c>
      <c r="M31" s="139">
        <f xml:space="preserve"> -- OR( ( N31 = 0 ), N31 = "" )</f>
        <v>1</v>
      </c>
      <c r="N31" s="316"/>
      <c r="O31" s="363"/>
      <c r="P31" s="363"/>
      <c r="Q31" s="363"/>
      <c r="R31" s="33"/>
      <c r="S31" s="33"/>
      <c r="T31" s="33"/>
      <c r="U31" s="33"/>
      <c r="V31" s="33"/>
      <c r="W31" s="33"/>
      <c r="X31" s="1"/>
      <c r="Y31" s="1"/>
    </row>
    <row r="32" spans="1:25" customFormat="1" ht="15" customHeight="1" outlineLevel="1">
      <c r="A32" s="1"/>
      <c r="B32" s="1"/>
      <c r="C32" s="2"/>
      <c r="D32" s="85"/>
      <c r="E32" s="1"/>
      <c r="F32" s="86"/>
      <c r="G32" s="86"/>
      <c r="H32" s="86"/>
      <c r="I32" s="86"/>
      <c r="J32" s="86"/>
      <c r="K32" s="87"/>
      <c r="L32" s="85"/>
      <c r="M32" s="85"/>
      <c r="N32" s="86"/>
      <c r="O32" s="86"/>
      <c r="P32" s="86"/>
      <c r="Q32" s="86"/>
      <c r="R32" s="1"/>
      <c r="S32" s="1"/>
      <c r="T32" s="1"/>
      <c r="U32" s="1"/>
      <c r="V32" s="1"/>
      <c r="W32" s="1"/>
      <c r="X32" s="1"/>
      <c r="Y32" s="1"/>
    </row>
    <row r="33" spans="1:25" customFormat="1" ht="15" customHeight="1" outlineLevel="1">
      <c r="A33" s="1"/>
      <c r="B33" s="1"/>
      <c r="C33" s="2"/>
      <c r="D33" s="97" t="s">
        <v>26</v>
      </c>
      <c r="E33" s="27"/>
      <c r="F33" s="86"/>
      <c r="G33" s="86"/>
      <c r="H33" s="86"/>
      <c r="I33" s="86"/>
      <c r="J33" s="86"/>
      <c r="K33" s="98"/>
      <c r="L33" s="99"/>
      <c r="M33" s="85"/>
      <c r="N33" s="86"/>
      <c r="O33" s="86"/>
      <c r="P33" s="86"/>
      <c r="Q33" s="86"/>
      <c r="R33" s="1"/>
      <c r="S33" s="1"/>
      <c r="T33" s="1"/>
      <c r="U33" s="1"/>
      <c r="V33" s="1"/>
      <c r="W33" s="1"/>
      <c r="X33" s="1"/>
      <c r="Y33" s="1"/>
    </row>
    <row r="34" spans="1:25" customFormat="1" ht="15" customHeight="1" outlineLevel="1">
      <c r="A34" s="1"/>
      <c r="B34" s="1"/>
      <c r="C34" s="2"/>
      <c r="D34" s="85" t="s">
        <v>27</v>
      </c>
      <c r="E34" s="1"/>
      <c r="F34" s="100"/>
      <c r="G34" s="100"/>
      <c r="H34" s="100"/>
      <c r="I34" s="100"/>
      <c r="J34" s="100"/>
      <c r="K34" s="87" t="str">
        <f xml:space="preserve"> Model.Units</f>
        <v>DKKt</v>
      </c>
      <c r="L34" s="85">
        <f xml:space="preserve"> --( COUNTIF( N34, "*" ) &gt; 0 )</f>
        <v>0</v>
      </c>
      <c r="M34" s="142">
        <f xml:space="preserve"> -- OR( ( N34 = 0 ), N34 = "" )</f>
        <v>1</v>
      </c>
      <c r="N34" s="306"/>
      <c r="O34" s="364"/>
      <c r="P34" s="364"/>
      <c r="Q34" s="364"/>
      <c r="R34" s="15"/>
      <c r="S34" s="15"/>
      <c r="T34" s="15"/>
      <c r="U34" s="15"/>
      <c r="V34" s="15"/>
      <c r="W34" s="15"/>
      <c r="X34" s="1"/>
      <c r="Y34" s="1"/>
    </row>
    <row r="35" spans="1:25" customFormat="1" ht="15" customHeight="1" outlineLevel="1">
      <c r="A35" s="1"/>
      <c r="B35" s="1"/>
      <c r="C35" s="2"/>
      <c r="D35" s="85" t="s">
        <v>28</v>
      </c>
      <c r="E35" s="1"/>
      <c r="F35" s="102"/>
      <c r="G35" s="102"/>
      <c r="H35" s="102"/>
      <c r="I35" s="102"/>
      <c r="J35" s="102"/>
      <c r="K35" s="87" t="str">
        <f xml:space="preserve"> Model.Units</f>
        <v>DKKt</v>
      </c>
      <c r="L35" s="85">
        <f xml:space="preserve"> -- ( N35 &lt; 0 ) + --( COUNTIF( N35, "*" ) &gt; 0 )</f>
        <v>0</v>
      </c>
      <c r="M35" s="119">
        <f xml:space="preserve"> -- OR( ( N35 = 0 ), N35 = "" )</f>
        <v>1</v>
      </c>
      <c r="N35" s="311"/>
      <c r="O35" s="317"/>
      <c r="P35" s="317"/>
      <c r="Q35" s="317"/>
      <c r="R35" s="1"/>
      <c r="S35" s="1"/>
      <c r="T35" s="1"/>
      <c r="U35" s="1"/>
      <c r="V35" s="1"/>
      <c r="W35" s="1"/>
      <c r="X35" s="1"/>
      <c r="Y35" s="1"/>
    </row>
    <row r="36" spans="1:25" customFormat="1" ht="15" customHeight="1" outlineLevel="1">
      <c r="A36" s="1"/>
      <c r="B36" s="1"/>
      <c r="C36" s="2"/>
      <c r="D36" s="85" t="s">
        <v>29</v>
      </c>
      <c r="E36" s="1"/>
      <c r="F36" s="102"/>
      <c r="G36" s="102"/>
      <c r="H36" s="102"/>
      <c r="I36" s="102"/>
      <c r="J36" s="102"/>
      <c r="K36" s="87" t="str">
        <f xml:space="preserve"> Model.Units</f>
        <v>DKKt</v>
      </c>
      <c r="L36" s="85">
        <f xml:space="preserve"> -- ( N36 &lt; 0 ) + --( COUNTIF( N36, "*" ) &gt; 0 )</f>
        <v>0</v>
      </c>
      <c r="M36" s="119">
        <f xml:space="preserve"> -- OR( ( N36 = 0 ), N36 = "" )</f>
        <v>1</v>
      </c>
      <c r="N36" s="311"/>
      <c r="O36" s="317"/>
      <c r="P36" s="317"/>
      <c r="Q36" s="317"/>
      <c r="R36" s="1"/>
      <c r="S36" s="1"/>
      <c r="T36" s="1"/>
      <c r="U36" s="1"/>
      <c r="V36" s="1"/>
      <c r="W36" s="1"/>
      <c r="X36" s="1"/>
      <c r="Y36" s="1"/>
    </row>
    <row r="37" spans="1:25" customFormat="1" ht="15" customHeight="1" outlineLevel="1">
      <c r="A37" s="1"/>
      <c r="B37" s="1"/>
      <c r="C37" s="2"/>
      <c r="D37" s="85" t="s">
        <v>30</v>
      </c>
      <c r="E37" s="1"/>
      <c r="F37" s="104"/>
      <c r="G37" s="104"/>
      <c r="H37" s="104"/>
      <c r="I37" s="104"/>
      <c r="J37" s="104"/>
      <c r="K37" s="87" t="str">
        <f xml:space="preserve"> Model.Units</f>
        <v>DKKt</v>
      </c>
      <c r="L37" s="85">
        <f xml:space="preserve"> --( COUNTIF( N37, "*" ) &gt; 0 )</f>
        <v>0</v>
      </c>
      <c r="M37" s="151">
        <f xml:space="preserve"> -- OR( ( N37 = 0 ), N37 = "" )</f>
        <v>1</v>
      </c>
      <c r="N37" s="314"/>
      <c r="O37" s="317"/>
      <c r="P37" s="317"/>
      <c r="Q37" s="317"/>
      <c r="R37" s="1"/>
      <c r="S37" s="1"/>
      <c r="T37" s="1"/>
      <c r="U37" s="1"/>
      <c r="V37" s="1"/>
      <c r="W37" s="1"/>
      <c r="X37" s="1"/>
      <c r="Y37" s="1"/>
    </row>
    <row r="38" spans="1:25" customFormat="1" ht="15" customHeight="1" outlineLevel="1">
      <c r="A38" s="1"/>
      <c r="B38" s="1"/>
      <c r="C38" s="2"/>
      <c r="D38" s="105" t="s">
        <v>16</v>
      </c>
      <c r="E38" s="33"/>
      <c r="F38" s="104"/>
      <c r="G38" s="104"/>
      <c r="H38" s="104"/>
      <c r="I38" s="104"/>
      <c r="J38" s="104"/>
      <c r="K38" s="106" t="str">
        <f xml:space="preserve"> Model.Units</f>
        <v>DKKt</v>
      </c>
      <c r="L38" s="90"/>
      <c r="M38" s="99"/>
      <c r="N38" s="315">
        <f xml:space="preserve"> SUM( N34:N35, N37 ) - N36</f>
        <v>0</v>
      </c>
      <c r="O38" s="361"/>
      <c r="P38" s="361"/>
      <c r="Q38" s="361"/>
      <c r="R38" s="33"/>
      <c r="S38" s="33"/>
      <c r="T38" s="33"/>
      <c r="U38" s="33"/>
      <c r="V38" s="33"/>
      <c r="W38" s="33"/>
      <c r="X38" s="1"/>
      <c r="Y38" s="1"/>
    </row>
    <row r="39" spans="1:25" customFormat="1" ht="15" customHeight="1" outlineLevel="1">
      <c r="A39" s="1"/>
      <c r="B39" s="1"/>
      <c r="C39" s="2"/>
      <c r="D39" s="85"/>
      <c r="E39" s="1"/>
      <c r="F39" s="86"/>
      <c r="G39" s="86"/>
      <c r="H39" s="86"/>
      <c r="I39" s="86"/>
      <c r="J39" s="86"/>
      <c r="K39" s="87"/>
      <c r="L39" s="85"/>
      <c r="M39" s="85"/>
      <c r="N39" s="86"/>
      <c r="O39" s="86"/>
      <c r="P39" s="86"/>
      <c r="Q39" s="86"/>
      <c r="R39" s="1"/>
      <c r="S39" s="1"/>
      <c r="T39" s="1"/>
      <c r="U39" s="1"/>
      <c r="V39" s="1"/>
      <c r="W39" s="1"/>
      <c r="X39" s="1"/>
      <c r="Y39" s="1"/>
    </row>
    <row r="40" spans="1:25" customFormat="1" ht="15" customHeight="1" outlineLevel="1">
      <c r="A40" s="1"/>
      <c r="B40" s="1"/>
      <c r="C40" s="2"/>
      <c r="D40" s="97" t="s">
        <v>74</v>
      </c>
      <c r="E40" s="27"/>
      <c r="F40" s="86"/>
      <c r="G40" s="86"/>
      <c r="H40" s="86"/>
      <c r="I40" s="86"/>
      <c r="J40" s="86"/>
      <c r="K40" s="98"/>
      <c r="L40" s="99"/>
      <c r="M40" s="99"/>
      <c r="N40" s="86"/>
      <c r="O40" s="86"/>
      <c r="P40" s="86"/>
      <c r="Q40" s="86"/>
      <c r="R40" s="1"/>
      <c r="S40" s="1"/>
      <c r="T40" s="1"/>
      <c r="U40" s="1"/>
      <c r="V40" s="1"/>
      <c r="W40" s="1"/>
      <c r="X40" s="1"/>
      <c r="Y40" s="1"/>
    </row>
    <row r="41" spans="1:25" customFormat="1" ht="15" customHeight="1" outlineLevel="1">
      <c r="A41" s="1"/>
      <c r="B41" s="1"/>
      <c r="C41" s="2"/>
      <c r="D41" s="85" t="s">
        <v>31</v>
      </c>
      <c r="E41" s="1"/>
      <c r="F41" s="100"/>
      <c r="G41" s="100"/>
      <c r="H41" s="100"/>
      <c r="I41" s="100"/>
      <c r="J41" s="100"/>
      <c r="K41" s="87" t="str">
        <f xml:space="preserve"> Model.Units</f>
        <v>DKKt</v>
      </c>
      <c r="L41" s="85">
        <f xml:space="preserve"> -- ( N41 &lt; 0 )+ --( COUNTIF( N41, "*" ) &gt; 0 )</f>
        <v>0</v>
      </c>
      <c r="M41" s="119">
        <f xml:space="preserve"> -- OR( ( N41 = 0 ), N41 = "" )</f>
        <v>1</v>
      </c>
      <c r="N41" s="306"/>
      <c r="O41" s="364"/>
      <c r="P41" s="364"/>
      <c r="Q41" s="364"/>
      <c r="R41" s="15"/>
      <c r="S41" s="15"/>
      <c r="T41" s="15"/>
      <c r="U41" s="15"/>
      <c r="V41" s="15"/>
      <c r="W41" s="15"/>
      <c r="X41" s="1"/>
      <c r="Y41" s="1"/>
    </row>
    <row r="42" spans="1:25" customFormat="1" ht="15" customHeight="1" outlineLevel="1">
      <c r="A42" s="1"/>
      <c r="B42" s="1"/>
      <c r="C42" s="2"/>
      <c r="D42" s="85" t="s">
        <v>458</v>
      </c>
      <c r="E42" s="1"/>
      <c r="F42" s="102"/>
      <c r="G42" s="102"/>
      <c r="H42" s="102"/>
      <c r="I42" s="102"/>
      <c r="J42" s="102"/>
      <c r="K42" s="87" t="str">
        <f xml:space="preserve"> Model.Units</f>
        <v>DKKt</v>
      </c>
      <c r="L42" s="85">
        <f xml:space="preserve"> -- ( N42 &lt; 0 )+ --( COUNTIF( N42, "*" ) &gt; 0 )</f>
        <v>0</v>
      </c>
      <c r="M42" s="119">
        <f xml:space="preserve"> -- OR( ( N42 = 0 ), N42 = "" )</f>
        <v>1</v>
      </c>
      <c r="N42" s="317">
        <f xml:space="preserve"> W28</f>
        <v>0</v>
      </c>
      <c r="O42" s="317"/>
      <c r="P42" s="317"/>
      <c r="Q42" s="317"/>
      <c r="R42" s="1"/>
      <c r="S42" s="1"/>
      <c r="T42" s="1"/>
      <c r="U42" s="1"/>
      <c r="V42" s="1"/>
      <c r="W42" s="1"/>
      <c r="X42" s="1"/>
      <c r="Y42" s="1"/>
    </row>
    <row r="43" spans="1:25" customFormat="1" ht="15" customHeight="1" outlineLevel="1">
      <c r="A43" s="1"/>
      <c r="B43" s="1"/>
      <c r="C43" s="2"/>
      <c r="D43" s="85" t="s">
        <v>33</v>
      </c>
      <c r="E43" s="1"/>
      <c r="F43" s="102"/>
      <c r="G43" s="102"/>
      <c r="H43" s="102"/>
      <c r="I43" s="102"/>
      <c r="J43" s="102"/>
      <c r="K43" s="87" t="str">
        <f xml:space="preserve"> Model.Units</f>
        <v>DKKt</v>
      </c>
      <c r="L43" s="85">
        <f xml:space="preserve"> -- ( N43 &lt; 0 )+ --( COUNTIF( N43, "*" ) &gt; 0 )</f>
        <v>0</v>
      </c>
      <c r="M43" s="119">
        <f xml:space="preserve"> -- OR( ( N43 = 0 ), N43 = "" )</f>
        <v>1</v>
      </c>
      <c r="N43" s="318"/>
      <c r="O43" s="317"/>
      <c r="P43" s="317"/>
      <c r="Q43" s="317"/>
      <c r="R43" s="1"/>
      <c r="S43" s="1"/>
      <c r="T43" s="1"/>
      <c r="U43" s="1"/>
      <c r="V43" s="1"/>
      <c r="W43" s="1"/>
      <c r="X43" s="1"/>
      <c r="Y43" s="1"/>
    </row>
    <row r="44" spans="1:25" customFormat="1" ht="15" customHeight="1" outlineLevel="1">
      <c r="A44" s="1"/>
      <c r="B44" s="1"/>
      <c r="C44" s="2"/>
      <c r="D44" s="85" t="s">
        <v>34</v>
      </c>
      <c r="E44" s="1"/>
      <c r="F44" s="104"/>
      <c r="G44" s="104"/>
      <c r="H44" s="104"/>
      <c r="I44" s="104"/>
      <c r="J44" s="104"/>
      <c r="K44" s="87" t="str">
        <f xml:space="preserve"> Model.Units</f>
        <v>DKKt</v>
      </c>
      <c r="L44" s="85">
        <f xml:space="preserve"> -- ( N44 &lt; 0 )+ --( COUNTIF( N44, "*" ) &gt; 0 )</f>
        <v>0</v>
      </c>
      <c r="M44" s="119">
        <f xml:space="preserve"> -- OR( ( N44 = 0 ), N44 = "" )</f>
        <v>1</v>
      </c>
      <c r="N44" s="314"/>
      <c r="O44" s="317"/>
      <c r="P44" s="317"/>
      <c r="Q44" s="317"/>
      <c r="R44" s="1"/>
      <c r="S44" s="1"/>
      <c r="T44" s="1"/>
      <c r="U44" s="1"/>
      <c r="V44" s="1"/>
      <c r="W44" s="1"/>
      <c r="X44" s="1"/>
      <c r="Y44" s="1"/>
    </row>
    <row r="45" spans="1:25" customFormat="1" ht="15" customHeight="1" outlineLevel="1">
      <c r="A45" s="1"/>
      <c r="B45" s="1"/>
      <c r="C45" s="2"/>
      <c r="D45" s="105" t="s">
        <v>16</v>
      </c>
      <c r="E45" s="33"/>
      <c r="F45" s="104"/>
      <c r="G45" s="104"/>
      <c r="H45" s="104"/>
      <c r="I45" s="104"/>
      <c r="J45" s="104"/>
      <c r="K45" s="106" t="str">
        <f xml:space="preserve"> Model.Units</f>
        <v>DKKt</v>
      </c>
      <c r="L45" s="90"/>
      <c r="M45" s="90"/>
      <c r="N45" s="315">
        <f xml:space="preserve"> SUM( N41:N44 )</f>
        <v>0</v>
      </c>
      <c r="O45" s="361"/>
      <c r="P45" s="361"/>
      <c r="Q45" s="361"/>
      <c r="R45" s="33"/>
      <c r="S45" s="33"/>
      <c r="T45" s="33"/>
      <c r="U45" s="33"/>
      <c r="V45" s="33"/>
      <c r="W45" s="33"/>
      <c r="X45" s="1"/>
      <c r="Y45" s="1"/>
    </row>
    <row r="46" spans="1:25" customFormat="1" ht="15" customHeight="1" outlineLevel="1">
      <c r="A46" s="1"/>
      <c r="B46" s="1"/>
      <c r="C46" s="2"/>
      <c r="D46" s="85"/>
      <c r="E46" s="1"/>
      <c r="F46" s="86"/>
      <c r="G46" s="86"/>
      <c r="H46" s="86"/>
      <c r="I46" s="86"/>
      <c r="J46" s="86"/>
      <c r="K46" s="87"/>
      <c r="L46" s="85"/>
      <c r="M46" s="85"/>
      <c r="N46" s="86"/>
      <c r="O46" s="86"/>
      <c r="P46" s="86"/>
      <c r="Q46" s="86"/>
      <c r="R46" s="1"/>
      <c r="S46" s="1"/>
      <c r="T46" s="1"/>
      <c r="U46" s="1"/>
      <c r="V46" s="1"/>
      <c r="W46" s="1"/>
      <c r="X46" s="1"/>
      <c r="Y46" s="1"/>
    </row>
    <row r="47" spans="1:25" ht="15" customHeight="1" outlineLevel="1">
      <c r="D47" s="4" t="s">
        <v>69</v>
      </c>
    </row>
    <row r="48" spans="1:25" ht="15" customHeight="1" outlineLevel="1">
      <c r="D48" s="123" t="s">
        <v>287</v>
      </c>
      <c r="E48" s="15"/>
      <c r="F48" s="15"/>
      <c r="G48" s="15"/>
      <c r="H48" s="15"/>
      <c r="I48" s="15"/>
      <c r="J48" s="15"/>
      <c r="K48" s="19" t="str">
        <f xml:space="preserve"> Model.Units</f>
        <v>DKKt</v>
      </c>
      <c r="L48" s="15"/>
      <c r="M48" s="15"/>
      <c r="N48" s="15">
        <f xml:space="preserve"> N31</f>
        <v>0</v>
      </c>
      <c r="O48" s="15"/>
      <c r="P48" s="15"/>
      <c r="Q48" s="15"/>
      <c r="R48" s="15"/>
      <c r="S48" s="15"/>
      <c r="T48" s="15"/>
      <c r="U48" s="15"/>
      <c r="V48" s="15"/>
      <c r="W48" s="15"/>
    </row>
    <row r="49" spans="1:39" ht="15" customHeight="1" outlineLevel="1">
      <c r="D49" s="124" t="s">
        <v>73</v>
      </c>
      <c r="K49" s="5" t="str">
        <f xml:space="preserve"> Model.Units</f>
        <v>DKKt</v>
      </c>
      <c r="N49" s="1">
        <f xml:space="preserve"> N38</f>
        <v>0</v>
      </c>
    </row>
    <row r="50" spans="1:39" ht="15" customHeight="1" outlineLevel="1">
      <c r="D50" s="124" t="s">
        <v>75</v>
      </c>
      <c r="K50" s="5" t="str">
        <f xml:space="preserve"> Model.Units</f>
        <v>DKKt</v>
      </c>
      <c r="N50" s="1">
        <f xml:space="preserve"> N45</f>
        <v>0</v>
      </c>
    </row>
    <row r="51" spans="1:39" ht="15" customHeight="1" outlineLevel="1">
      <c r="D51" s="186" t="s">
        <v>69</v>
      </c>
      <c r="E51" s="33"/>
      <c r="F51" s="33"/>
      <c r="G51" s="33"/>
      <c r="H51" s="33"/>
      <c r="I51" s="33"/>
      <c r="J51" s="33"/>
      <c r="K51" s="34" t="str">
        <f xml:space="preserve"> Model.Units</f>
        <v>DKKt</v>
      </c>
      <c r="L51" s="33"/>
      <c r="M51" s="33"/>
      <c r="N51" s="33">
        <f xml:space="preserve"> N48 - N49 - N50</f>
        <v>0</v>
      </c>
      <c r="O51" s="33"/>
      <c r="P51" s="33"/>
      <c r="Q51" s="33"/>
      <c r="R51" s="33"/>
      <c r="S51" s="33"/>
      <c r="T51" s="33"/>
      <c r="U51" s="33"/>
      <c r="V51" s="33"/>
      <c r="W51" s="33"/>
    </row>
    <row r="52" spans="1:39" customFormat="1" ht="15" customHeight="1" outlineLevel="1">
      <c r="A52" s="1"/>
      <c r="B52" s="1"/>
      <c r="C52" s="2"/>
      <c r="D52" s="85"/>
      <c r="E52" s="1"/>
      <c r="F52" s="86"/>
      <c r="G52" s="86"/>
      <c r="H52" s="86"/>
      <c r="I52" s="86"/>
      <c r="J52" s="86"/>
      <c r="K52" s="87"/>
      <c r="L52" s="85"/>
      <c r="M52" s="85"/>
      <c r="N52" s="86"/>
      <c r="O52" s="86"/>
      <c r="P52" s="86"/>
      <c r="Q52" s="86"/>
      <c r="R52" s="1"/>
      <c r="S52" s="1"/>
      <c r="T52" s="1"/>
      <c r="U52" s="1"/>
      <c r="V52" s="1"/>
      <c r="W52" s="1"/>
      <c r="X52" s="1"/>
      <c r="Y52" s="1"/>
    </row>
    <row r="53" spans="1:39" customFormat="1" ht="15" customHeight="1" outlineLevel="1">
      <c r="A53" s="1"/>
      <c r="B53" s="1"/>
      <c r="C53" s="2"/>
      <c r="D53" s="85"/>
      <c r="E53" s="1"/>
      <c r="F53" s="86"/>
      <c r="G53" s="86"/>
      <c r="H53" s="86"/>
      <c r="I53" s="86"/>
      <c r="J53" s="86"/>
      <c r="K53" s="87"/>
      <c r="L53" s="85"/>
      <c r="M53" s="85"/>
      <c r="N53" s="86"/>
      <c r="O53" s="86"/>
      <c r="P53" s="86"/>
      <c r="Q53" s="86"/>
      <c r="R53" s="1"/>
      <c r="S53" s="1"/>
      <c r="T53" s="1"/>
      <c r="U53" s="1"/>
      <c r="V53" s="1"/>
      <c r="W53" s="1"/>
      <c r="X53" s="1"/>
      <c r="Y53" s="1"/>
    </row>
    <row r="54" spans="1:39" customFormat="1" ht="15" customHeight="1" outlineLevel="1">
      <c r="A54" s="1"/>
      <c r="B54" s="1"/>
      <c r="C54" s="2"/>
      <c r="D54" s="85"/>
      <c r="E54" s="1"/>
      <c r="F54" s="86"/>
      <c r="G54" s="86"/>
      <c r="H54" s="86"/>
      <c r="I54" s="86"/>
      <c r="J54" s="86"/>
      <c r="K54" s="87"/>
      <c r="L54" s="85"/>
      <c r="M54" s="85"/>
      <c r="N54" s="86"/>
      <c r="O54" s="86"/>
      <c r="P54" s="86"/>
      <c r="Q54" s="86"/>
      <c r="R54" s="1"/>
      <c r="S54" s="1"/>
      <c r="T54" s="1"/>
      <c r="U54" s="1"/>
      <c r="V54" s="1"/>
      <c r="W54" s="1"/>
      <c r="X54" s="1"/>
      <c r="Y54" s="1"/>
    </row>
    <row r="55" spans="1:39" s="475" customFormat="1" ht="15" customHeight="1" outlineLevel="1">
      <c r="B55" s="479" t="str">
        <f xml:space="preserve"> COUNTA(B$10:B46) &amp; ") Omkostninger til forbrug"</f>
        <v>3) Omkostninger til forbrug</v>
      </c>
      <c r="C55" s="477"/>
      <c r="D55" s="478"/>
      <c r="K55" s="472"/>
    </row>
    <row r="56" spans="1:39" customFormat="1" ht="15" customHeight="1" outlineLevel="1">
      <c r="A56" s="1"/>
      <c r="B56" s="1"/>
      <c r="C56" s="2"/>
      <c r="D56" s="85"/>
      <c r="E56" s="1"/>
      <c r="F56" s="86"/>
      <c r="G56" s="86"/>
      <c r="H56" s="86"/>
      <c r="I56" s="86"/>
      <c r="J56" s="86"/>
      <c r="K56" s="87"/>
      <c r="L56" s="85"/>
      <c r="M56" s="85"/>
      <c r="N56" s="86"/>
      <c r="O56" s="86"/>
      <c r="P56" s="86"/>
      <c r="Q56" s="86"/>
      <c r="R56" s="1"/>
      <c r="S56" s="1"/>
      <c r="T56" s="1"/>
      <c r="U56" s="1"/>
      <c r="V56" s="1"/>
      <c r="W56" s="1"/>
      <c r="X56" s="1"/>
      <c r="Y56" s="1"/>
    </row>
    <row r="57" spans="1:39" customFormat="1" ht="15" customHeight="1" outlineLevel="1">
      <c r="A57" s="1"/>
      <c r="B57" s="1"/>
      <c r="C57" s="2"/>
      <c r="D57" s="85"/>
      <c r="E57" s="1"/>
      <c r="F57" s="86"/>
      <c r="G57" s="86"/>
      <c r="H57" s="86"/>
      <c r="I57" s="86"/>
      <c r="J57" s="86"/>
      <c r="K57" s="87"/>
      <c r="L57" s="85"/>
      <c r="M57" s="85"/>
      <c r="N57" s="86"/>
      <c r="O57" s="658" t="s">
        <v>672</v>
      </c>
      <c r="P57" s="658"/>
      <c r="Q57" s="656"/>
      <c r="R57" s="658" t="s">
        <v>673</v>
      </c>
      <c r="S57" s="660" t="s">
        <v>674</v>
      </c>
      <c r="T57" s="660" t="s">
        <v>675</v>
      </c>
      <c r="U57" s="660" t="s">
        <v>676</v>
      </c>
      <c r="V57" s="660" t="s">
        <v>677</v>
      </c>
      <c r="W57" s="1"/>
      <c r="X57" s="1"/>
      <c r="Y57" s="1"/>
    </row>
    <row r="58" spans="1:39" customFormat="1" ht="15" customHeight="1" outlineLevel="1">
      <c r="A58" s="1"/>
      <c r="B58" s="1"/>
      <c r="C58" s="2"/>
      <c r="D58" s="97" t="s">
        <v>669</v>
      </c>
      <c r="E58" s="27"/>
      <c r="F58" s="86"/>
      <c r="G58" s="86"/>
      <c r="H58" s="86"/>
      <c r="I58" s="86"/>
      <c r="J58" s="86"/>
      <c r="K58" s="98"/>
      <c r="L58" s="99"/>
      <c r="M58" s="85"/>
      <c r="N58" s="107" t="s">
        <v>16</v>
      </c>
      <c r="O58" s="659"/>
      <c r="P58" s="659"/>
      <c r="Q58" s="657"/>
      <c r="R58" s="659"/>
      <c r="S58" s="661"/>
      <c r="T58" s="661"/>
      <c r="U58" s="661"/>
      <c r="V58" s="661"/>
      <c r="W58" s="89" t="s">
        <v>183</v>
      </c>
      <c r="X58" s="89"/>
      <c r="Y58" s="260" t="s">
        <v>362</v>
      </c>
      <c r="AC58" s="108"/>
      <c r="AM58" s="109"/>
    </row>
    <row r="59" spans="1:39" customFormat="1" ht="15" customHeight="1" outlineLevel="1">
      <c r="A59" s="1"/>
      <c r="B59" s="1"/>
      <c r="C59" s="2"/>
      <c r="D59" s="85" t="str">
        <f xml:space="preserve"> '2.1 Model setup'!K70</f>
        <v>1.1 Drift og vedligeholdelse af transformerstationer</v>
      </c>
      <c r="E59" s="1"/>
      <c r="F59" s="100"/>
      <c r="G59" s="100"/>
      <c r="H59" s="100"/>
      <c r="I59" s="100"/>
      <c r="J59" s="100"/>
      <c r="K59" s="87" t="str">
        <f t="shared" ref="K59:K74" si="0" xml:space="preserve"> Model.Units</f>
        <v>DKKt</v>
      </c>
      <c r="L59" s="85">
        <f xml:space="preserve"> ( --  ( COUNTIF( N59:W59, "&lt;0" ) &gt; 0 ) ) + -- ( ( ISNUMBER(R59) + ISNUMBER(T59) + ISNUMBER(V59) ) &lt;&gt; 0 ) +  -- ( COUNTIF( N59:W59, "*" ) &gt; 0 )</f>
        <v>0</v>
      </c>
      <c r="M59" s="160">
        <f xml:space="preserve"> -- ( IF( $N$18 = '2.1 Model setup'!K145, ( OR( N59 = 0, N59 = "" ) ), 0 ) )</f>
        <v>0</v>
      </c>
      <c r="N59" s="365"/>
      <c r="O59" s="502"/>
      <c r="P59" s="502"/>
      <c r="Q59" s="502"/>
      <c r="R59" s="307"/>
      <c r="S59" s="308"/>
      <c r="T59" s="309"/>
      <c r="U59" s="308"/>
      <c r="V59" s="310"/>
      <c r="W59" s="530">
        <f xml:space="preserve"> N59 - SUM( O59:V59 )</f>
        <v>0</v>
      </c>
      <c r="X59" s="111"/>
      <c r="Y59" s="121"/>
    </row>
    <row r="60" spans="1:39" customFormat="1" ht="15" customHeight="1" outlineLevel="1">
      <c r="A60" s="1"/>
      <c r="B60" s="1"/>
      <c r="C60" s="2"/>
      <c r="D60" s="85" t="str">
        <f xml:space="preserve"> '2.1 Model setup'!K71</f>
        <v>1.2 Drift og vedligeholdelse af ledningsnet</v>
      </c>
      <c r="E60" s="1"/>
      <c r="F60" s="102"/>
      <c r="G60" s="102"/>
      <c r="H60" s="102"/>
      <c r="I60" s="102"/>
      <c r="J60" s="102"/>
      <c r="K60" s="87" t="str">
        <f t="shared" si="0"/>
        <v>DKKt</v>
      </c>
      <c r="L60" s="85">
        <f xml:space="preserve"> ( --  ( COUNTIF( N60:W60, "&lt;0" ) &gt; 0 ) ) +  -- ( COUNTIF( N60:W60, "*" ) &gt; 0 )</f>
        <v>0</v>
      </c>
      <c r="M60" s="161">
        <f xml:space="preserve"> -- ( IF( $N$19 = '2.1 Model setup'!K145, ( OR( N60 = 0, N60 = "" ) ), 0 ) )</f>
        <v>0</v>
      </c>
      <c r="N60" s="366"/>
      <c r="O60" s="501"/>
      <c r="P60" s="501"/>
      <c r="Q60" s="501"/>
      <c r="R60" s="286"/>
      <c r="S60" s="286"/>
      <c r="T60" s="286"/>
      <c r="U60" s="286"/>
      <c r="V60" s="288"/>
      <c r="W60" s="531">
        <f t="shared" ref="W60:W68" si="1" xml:space="preserve"> N60 - SUM( O60:V60 )</f>
        <v>0</v>
      </c>
      <c r="X60" s="111"/>
      <c r="Y60" s="121"/>
    </row>
    <row r="61" spans="1:39" customFormat="1" ht="15" customHeight="1" outlineLevel="1">
      <c r="A61" s="1"/>
      <c r="B61" s="1"/>
      <c r="C61" s="2"/>
      <c r="D61" s="85" t="str">
        <f xml:space="preserve"> '2.1 Model setup'!K72</f>
        <v>1.3 Øvrige omkostninger til drift, styring og kontrol af elnettet</v>
      </c>
      <c r="E61" s="1"/>
      <c r="F61" s="102"/>
      <c r="G61" s="102"/>
      <c r="H61" s="102"/>
      <c r="I61" s="102"/>
      <c r="J61" s="102"/>
      <c r="K61" s="87" t="str">
        <f t="shared" si="0"/>
        <v>DKKt</v>
      </c>
      <c r="L61" s="85">
        <f xml:space="preserve"> ( --  ( COUNTIF( N61:W61, "&lt;0" ) &gt; 0 ) ) + -- ( ( ISNUMBER(S61) + ISNUMBER(U61) ) &lt;&gt; 0 ) +  -- ( COUNTIF( N61:W61, "*" ) &gt; 0 )</f>
        <v>0</v>
      </c>
      <c r="M61" s="119">
        <f t="shared" ref="M61" si="2" xml:space="preserve"> -- ( OR( N61 = 0, N61 = "" ) )</f>
        <v>1</v>
      </c>
      <c r="N61" s="366"/>
      <c r="O61" s="501"/>
      <c r="P61" s="501"/>
      <c r="Q61" s="501"/>
      <c r="R61" s="286"/>
      <c r="S61" s="501"/>
      <c r="T61" s="130"/>
      <c r="U61" s="501"/>
      <c r="V61" s="517"/>
      <c r="W61" s="531">
        <f t="shared" ref="W61:W66" si="3" xml:space="preserve"> N61 - SUM( O61:V61 )</f>
        <v>0</v>
      </c>
      <c r="X61" s="111"/>
      <c r="Y61" s="121"/>
    </row>
    <row r="62" spans="1:39" customFormat="1" ht="15" customHeight="1" outlineLevel="1">
      <c r="A62" s="1"/>
      <c r="B62" s="1"/>
      <c r="C62" s="2"/>
      <c r="D62" s="85" t="str">
        <f xml:space="preserve"> '2.1 Model setup'!K73</f>
        <v>1.4 Omkostninger vedrørende 132-150/30-60 kV-stationer</v>
      </c>
      <c r="E62" s="1"/>
      <c r="F62" s="102"/>
      <c r="G62" s="102"/>
      <c r="H62" s="102"/>
      <c r="I62" s="102"/>
      <c r="J62" s="102"/>
      <c r="K62" s="87" t="str">
        <f t="shared" si="0"/>
        <v>DKKt</v>
      </c>
      <c r="L62" s="85"/>
      <c r="M62" s="119"/>
      <c r="N62" s="290"/>
      <c r="O62" s="501"/>
      <c r="P62" s="501"/>
      <c r="Q62" s="501"/>
      <c r="R62" s="501"/>
      <c r="S62" s="501"/>
      <c r="T62" s="501"/>
      <c r="U62" s="501"/>
      <c r="V62" s="501"/>
      <c r="W62" s="531">
        <f t="shared" si="3"/>
        <v>0</v>
      </c>
      <c r="X62" s="111"/>
      <c r="Y62" s="121"/>
    </row>
    <row r="63" spans="1:39" customFormat="1" ht="15" customHeight="1" outlineLevel="1">
      <c r="A63" s="1"/>
      <c r="B63" s="1"/>
      <c r="C63" s="2"/>
      <c r="D63" s="85" t="str">
        <f xml:space="preserve"> '2.1 Model setup'!K74</f>
        <v>2.1 Drift og vedligeholdelse af målere</v>
      </c>
      <c r="E63" s="1"/>
      <c r="F63" s="102"/>
      <c r="G63" s="102"/>
      <c r="H63" s="102"/>
      <c r="I63" s="102"/>
      <c r="J63" s="102"/>
      <c r="K63" s="87" t="str">
        <f t="shared" si="0"/>
        <v>DKKt</v>
      </c>
      <c r="L63" s="85">
        <f xml:space="preserve"> --  ( COUNTIF( N63:W63, "&lt;0" ) &gt; 0 ) +  -- ( COUNTIF( N63:W63, "*" ) &gt; 0 )</f>
        <v>0</v>
      </c>
      <c r="M63" s="119">
        <f t="shared" ref="M63:M66" si="4" xml:space="preserve"> -- ( OR( N63 = 0, N63 = "" ) )</f>
        <v>1</v>
      </c>
      <c r="N63" s="366"/>
      <c r="O63" s="501"/>
      <c r="P63" s="501"/>
      <c r="Q63" s="501"/>
      <c r="R63" s="130"/>
      <c r="S63" s="290"/>
      <c r="T63" s="290"/>
      <c r="U63" s="290"/>
      <c r="V63" s="528"/>
      <c r="W63" s="531">
        <f t="shared" si="3"/>
        <v>0</v>
      </c>
      <c r="X63" s="111"/>
      <c r="Y63" s="121"/>
    </row>
    <row r="64" spans="1:39" customFormat="1" ht="15" customHeight="1" outlineLevel="1">
      <c r="A64" s="1"/>
      <c r="B64" s="1"/>
      <c r="C64" s="2"/>
      <c r="D64" s="85" t="str">
        <f xml:space="preserve"> '2.1 Model setup'!K75</f>
        <v>2.2 Indhentning og validering af målerdata</v>
      </c>
      <c r="E64" s="1"/>
      <c r="F64" s="102"/>
      <c r="G64" s="102"/>
      <c r="H64" s="102"/>
      <c r="I64" s="102"/>
      <c r="J64" s="102"/>
      <c r="K64" s="87" t="str">
        <f t="shared" si="0"/>
        <v>DKKt</v>
      </c>
      <c r="L64" s="85">
        <f xml:space="preserve"> --  ( COUNTIF( N64:W64, "&lt;0" ) &gt; 0 ) +  -- ( COUNTIF( N64:W64, "*" ) &gt; 0 )</f>
        <v>0</v>
      </c>
      <c r="M64" s="119">
        <f t="shared" si="4"/>
        <v>1</v>
      </c>
      <c r="N64" s="366"/>
      <c r="O64" s="501"/>
      <c r="P64" s="501"/>
      <c r="Q64" s="501"/>
      <c r="R64" s="130"/>
      <c r="S64" s="290"/>
      <c r="T64" s="290"/>
      <c r="U64" s="290"/>
      <c r="V64" s="528"/>
      <c r="W64" s="531">
        <f t="shared" si="3"/>
        <v>0</v>
      </c>
      <c r="X64" s="111"/>
      <c r="Y64" s="121"/>
    </row>
    <row r="65" spans="1:39" customFormat="1" ht="15" customHeight="1" outlineLevel="1">
      <c r="A65" s="1"/>
      <c r="B65" s="1"/>
      <c r="C65" s="2"/>
      <c r="D65" s="85" t="str">
        <f xml:space="preserve"> '2.1 Model setup'!K76</f>
        <v>2.3 Måleradministration og kundehåndtering</v>
      </c>
      <c r="E65" s="1"/>
      <c r="F65" s="102"/>
      <c r="G65" s="102"/>
      <c r="H65" s="102"/>
      <c r="I65" s="102"/>
      <c r="J65" s="102"/>
      <c r="K65" s="87" t="str">
        <f t="shared" si="0"/>
        <v>DKKt</v>
      </c>
      <c r="L65" s="85">
        <f xml:space="preserve"> --  ( COUNTIF( N65:W65, "&lt;0" ) &gt; 0 ) +  -- ( COUNTIF( N65:W65, "*" ) &gt; 0 )</f>
        <v>0</v>
      </c>
      <c r="M65" s="119">
        <f t="shared" si="4"/>
        <v>1</v>
      </c>
      <c r="N65" s="366"/>
      <c r="O65" s="501"/>
      <c r="P65" s="501"/>
      <c r="Q65" s="501"/>
      <c r="R65" s="214"/>
      <c r="S65" s="360"/>
      <c r="T65" s="360"/>
      <c r="U65" s="360"/>
      <c r="V65" s="529"/>
      <c r="W65" s="531">
        <f t="shared" si="3"/>
        <v>0</v>
      </c>
      <c r="X65" s="111"/>
      <c r="Y65" s="121"/>
    </row>
    <row r="66" spans="1:39" customFormat="1" ht="15" customHeight="1" outlineLevel="1">
      <c r="A66" s="1"/>
      <c r="B66" s="1"/>
      <c r="C66" s="2"/>
      <c r="D66" s="85" t="str">
        <f xml:space="preserve"> '2.1 Model setup'!K77</f>
        <v>3.1 Generel administration</v>
      </c>
      <c r="E66" s="1"/>
      <c r="F66" s="102"/>
      <c r="G66" s="102"/>
      <c r="H66" s="102"/>
      <c r="I66" s="102"/>
      <c r="J66" s="102"/>
      <c r="K66" s="87" t="str">
        <f t="shared" si="0"/>
        <v>DKKt</v>
      </c>
      <c r="L66" s="85">
        <f xml:space="preserve"> --  ( COUNTIF( N66:W66, "&lt;0" ) &gt; 0 ) +  -- ( COUNTIF( N66:W66, "*" ) &gt; 0 )</f>
        <v>0</v>
      </c>
      <c r="M66" s="119">
        <f t="shared" si="4"/>
        <v>1</v>
      </c>
      <c r="N66" s="366"/>
      <c r="O66" s="501"/>
      <c r="P66" s="501"/>
      <c r="Q66" s="501"/>
      <c r="R66" s="130"/>
      <c r="S66" s="360"/>
      <c r="T66" s="130"/>
      <c r="U66" s="360"/>
      <c r="V66" s="614"/>
      <c r="W66" s="4">
        <f t="shared" si="3"/>
        <v>0</v>
      </c>
      <c r="X66" s="111"/>
      <c r="Y66" s="121"/>
    </row>
    <row r="67" spans="1:39" customFormat="1" ht="15" customHeight="1" outlineLevel="1">
      <c r="A67" s="1"/>
      <c r="B67" s="1"/>
      <c r="C67" s="2"/>
      <c r="D67" s="85" t="str">
        <f xml:space="preserve"> '2.1 Model setup'!K78</f>
        <v>4.1 Omkostninger vedrørende nettab i transformerstationer</v>
      </c>
      <c r="E67" s="1"/>
      <c r="F67" s="102"/>
      <c r="G67" s="102"/>
      <c r="H67" s="102"/>
      <c r="I67" s="102"/>
      <c r="J67" s="102"/>
      <c r="K67" s="87" t="str">
        <f t="shared" si="0"/>
        <v>DKKt</v>
      </c>
      <c r="L67" s="85">
        <f xml:space="preserve"> ( --  ( COUNTIF( N67:W67, "&lt;0" ) &gt; 0 ) ) + -- ( ( ISNUMBER(R67) + ISNUMBER(T67) + ISNUMBER(V67) ) &lt;&gt; 0 )+  -- ( COUNTIF( N67:W67, "*" ) &gt; 0 )</f>
        <v>0</v>
      </c>
      <c r="M67" s="161">
        <f xml:space="preserve"> -- ( IF( $N$20 = '2.1 Model setup'!K145, ( OR( N67 = 0, N67 = "" ) ), 0 ) )</f>
        <v>0</v>
      </c>
      <c r="N67" s="366"/>
      <c r="O67" s="501"/>
      <c r="P67" s="501"/>
      <c r="Q67" s="501"/>
      <c r="R67" s="620"/>
      <c r="S67" s="130"/>
      <c r="T67" s="621"/>
      <c r="U67" s="130"/>
      <c r="V67" s="622"/>
      <c r="W67" s="531">
        <f t="shared" si="1"/>
        <v>0</v>
      </c>
      <c r="X67" s="111"/>
      <c r="Y67" s="121"/>
    </row>
    <row r="68" spans="1:39" customFormat="1" ht="15" customHeight="1" outlineLevel="1">
      <c r="A68" s="1"/>
      <c r="B68" s="1"/>
      <c r="C68" s="2"/>
      <c r="D68" s="85" t="str">
        <f xml:space="preserve"> '2.1 Model setup'!K79</f>
        <v>4.2 Omkostninger vedrørende nettab i ledningsnettet</v>
      </c>
      <c r="E68" s="1"/>
      <c r="F68" s="102"/>
      <c r="G68" s="102"/>
      <c r="H68" s="102"/>
      <c r="I68" s="102"/>
      <c r="J68" s="102"/>
      <c r="K68" s="87" t="str">
        <f t="shared" si="0"/>
        <v>DKKt</v>
      </c>
      <c r="L68" s="85">
        <f xml:space="preserve"> ( --  ( COUNTIF( N68:W68, "&lt;0" ) &gt; 0 ) ) +  -- ( COUNTIF( N68:W68, "*" ) &gt; 0 )</f>
        <v>0</v>
      </c>
      <c r="M68" s="119">
        <f xml:space="preserve"> -- ( IF( $N$21 = '2.1 Model setup'!K145, ( OR( N68 = 0, N68 = "" ) ), 0 ) )</f>
        <v>0</v>
      </c>
      <c r="N68" s="366"/>
      <c r="O68" s="501"/>
      <c r="P68" s="501"/>
      <c r="Q68" s="501"/>
      <c r="R68" s="286"/>
      <c r="S68" s="286"/>
      <c r="T68" s="286"/>
      <c r="U68" s="286"/>
      <c r="V68" s="614"/>
      <c r="W68" s="4">
        <f t="shared" si="1"/>
        <v>0</v>
      </c>
      <c r="X68" s="111"/>
      <c r="Y68" s="121"/>
    </row>
    <row r="69" spans="1:39" customFormat="1" ht="15" customHeight="1" outlineLevel="1">
      <c r="A69" s="1"/>
      <c r="B69" s="1"/>
      <c r="C69" s="2"/>
      <c r="D69" s="85" t="str">
        <f xml:space="preserve"> '2.1 Model setup'!K80</f>
        <v>5.1 Omkostninger til overliggende net ifm. forbrug</v>
      </c>
      <c r="E69" s="1"/>
      <c r="F69" s="102"/>
      <c r="G69" s="102"/>
      <c r="H69" s="102"/>
      <c r="I69" s="102"/>
      <c r="J69" s="102"/>
      <c r="K69" s="87" t="str">
        <f t="shared" si="0"/>
        <v>DKKt</v>
      </c>
      <c r="L69" s="85">
        <f xml:space="preserve"> --  ( COUNTIF( N69:W69, "&lt;0" ) &gt; 0 ) +  -- ( COUNTIF( N69:W69, "*" ) &gt; 0 )</f>
        <v>0</v>
      </c>
      <c r="M69" s="119">
        <f xml:space="preserve"> -- ( OR( N69 = 0, N69 = "" ) ) + -- ( N69 &lt;&gt; N36 )</f>
        <v>1</v>
      </c>
      <c r="N69" s="366"/>
      <c r="O69" s="501"/>
      <c r="P69" s="501"/>
      <c r="Q69" s="501"/>
      <c r="R69" s="501"/>
      <c r="S69" s="501"/>
      <c r="T69" s="501"/>
      <c r="U69" s="501"/>
      <c r="V69" s="501"/>
      <c r="W69" s="531">
        <f t="shared" ref="W69:W73" si="5" xml:space="preserve"> N69 - SUM( O69:V69 )</f>
        <v>0</v>
      </c>
      <c r="X69" s="111"/>
      <c r="Y69" s="121"/>
    </row>
    <row r="70" spans="1:39" customFormat="1" ht="15" customHeight="1" outlineLevel="1">
      <c r="A70" s="1"/>
      <c r="B70" s="1"/>
      <c r="C70" s="2"/>
      <c r="D70" s="85" t="str">
        <f xml:space="preserve"> '2.1 Model setup'!K81</f>
        <v>5.2 Øvrige omkostninger</v>
      </c>
      <c r="E70" s="1"/>
      <c r="F70" s="102"/>
      <c r="G70" s="102"/>
      <c r="H70" s="102"/>
      <c r="I70" s="102"/>
      <c r="J70" s="102"/>
      <c r="K70" s="87" t="str">
        <f t="shared" si="0"/>
        <v>DKKt</v>
      </c>
      <c r="L70" s="85">
        <f xml:space="preserve"> --  ( COUNTIF( N70:W70, "&lt;0" ) &gt; 0 ) +  -- ( COUNTIF( N70:W70, "*" ) &gt; 0 )</f>
        <v>0</v>
      </c>
      <c r="M70" s="119">
        <f t="shared" ref="M70:M73" si="6" xml:space="preserve"> -- ( OR( N70 = 0, N70 = "" ) )</f>
        <v>1</v>
      </c>
      <c r="N70" s="366"/>
      <c r="O70" s="501"/>
      <c r="P70" s="501"/>
      <c r="Q70" s="501"/>
      <c r="R70" s="130"/>
      <c r="S70" s="130"/>
      <c r="T70" s="130"/>
      <c r="U70" s="130"/>
      <c r="V70" s="130"/>
      <c r="W70" s="531">
        <f t="shared" si="5"/>
        <v>0</v>
      </c>
      <c r="X70" s="111"/>
      <c r="Y70" s="121"/>
    </row>
    <row r="71" spans="1:39" customFormat="1" ht="15" customHeight="1" outlineLevel="1">
      <c r="A71" s="1"/>
      <c r="B71" s="1"/>
      <c r="C71" s="2"/>
      <c r="D71" s="85" t="str">
        <f xml:space="preserve"> '2.1 Model setup'!K82</f>
        <v>6.1 Afskrivninger på transformerstationer</v>
      </c>
      <c r="E71" s="1"/>
      <c r="F71" s="102"/>
      <c r="G71" s="102"/>
      <c r="H71" s="102"/>
      <c r="I71" s="102"/>
      <c r="J71" s="102"/>
      <c r="K71" s="87" t="str">
        <f t="shared" si="0"/>
        <v>DKKt</v>
      </c>
      <c r="L71" s="85">
        <f xml:space="preserve"> ( --  ( COUNTIF( N71:W71, "&lt;0" ) &gt; 0 ) ) + -- ( ( ISNUMBER(R71) + ISNUMBER(T71) + ISNUMBER(V71) ) &lt;&gt; 0 ) + -- ( W71 &lt;&gt; 0 ) +  -- ( COUNTIF( N71:W71, "*" ) &gt; 0 )</f>
        <v>0</v>
      </c>
      <c r="M71" s="119">
        <f t="shared" si="6"/>
        <v>1</v>
      </c>
      <c r="N71" s="366"/>
      <c r="O71" s="501"/>
      <c r="P71" s="501"/>
      <c r="Q71" s="501"/>
      <c r="R71" s="313"/>
      <c r="S71" s="130"/>
      <c r="T71" s="313"/>
      <c r="U71" s="130"/>
      <c r="V71" s="516"/>
      <c r="W71" s="531">
        <f t="shared" si="5"/>
        <v>0</v>
      </c>
      <c r="X71" s="111"/>
      <c r="Y71" s="121"/>
    </row>
    <row r="72" spans="1:39" customFormat="1" ht="15" customHeight="1" outlineLevel="1">
      <c r="A72" s="1"/>
      <c r="B72" s="1"/>
      <c r="C72" s="2"/>
      <c r="D72" s="85" t="str">
        <f xml:space="preserve"> '2.1 Model setup'!K83</f>
        <v>6.2 Afskrivninger på netaktiver ekskl. målere og transformerstationer</v>
      </c>
      <c r="E72" s="1"/>
      <c r="F72" s="102"/>
      <c r="G72" s="102"/>
      <c r="H72" s="102"/>
      <c r="I72" s="102"/>
      <c r="J72" s="102"/>
      <c r="K72" s="87" t="str">
        <f t="shared" si="0"/>
        <v>DKKt</v>
      </c>
      <c r="L72" s="85">
        <f xml:space="preserve"> --  ( COUNTIF( N72:W72, "&lt;0" ) &gt; 0 ) + -- ( ( ISNUMBER(S72) + ISNUMBER(U72) ) &lt;&gt; 0 ) + -- (W72 &lt;&gt; 0 )+  -- ( COUNTIF( N72:W72, "*" ) &gt; 0 )</f>
        <v>0</v>
      </c>
      <c r="M72" s="119">
        <f t="shared" si="6"/>
        <v>1</v>
      </c>
      <c r="N72" s="366"/>
      <c r="O72" s="501"/>
      <c r="P72" s="501"/>
      <c r="Q72" s="501"/>
      <c r="R72" s="286"/>
      <c r="S72" s="377"/>
      <c r="T72" s="286"/>
      <c r="U72" s="377"/>
      <c r="V72" s="288"/>
      <c r="W72" s="531">
        <f t="shared" si="5"/>
        <v>0</v>
      </c>
      <c r="X72" s="111"/>
      <c r="Y72" s="121"/>
    </row>
    <row r="73" spans="1:39" customFormat="1" ht="15" customHeight="1" outlineLevel="1">
      <c r="A73" s="1"/>
      <c r="B73" s="1"/>
      <c r="C73" s="2"/>
      <c r="D73" s="85" t="str">
        <f xml:space="preserve"> '2.1 Model setup'!K84</f>
        <v>6.3 Afskrivninger på målere</v>
      </c>
      <c r="E73" s="1"/>
      <c r="F73" s="102"/>
      <c r="G73" s="102"/>
      <c r="H73" s="102"/>
      <c r="I73" s="102"/>
      <c r="J73" s="102"/>
      <c r="K73" s="87" t="str">
        <f t="shared" si="0"/>
        <v>DKKt</v>
      </c>
      <c r="L73" s="85">
        <f xml:space="preserve"> --  ( COUNTIF( N73:W73, "&lt;0" ) &gt; 0 ) +  -- ( COUNTIF( N73:W73, "*" ) &gt; 0 )</f>
        <v>0</v>
      </c>
      <c r="M73" s="119">
        <f t="shared" si="6"/>
        <v>1</v>
      </c>
      <c r="N73" s="367"/>
      <c r="O73" s="503"/>
      <c r="P73" s="503"/>
      <c r="Q73" s="503"/>
      <c r="R73" s="214"/>
      <c r="S73" s="360"/>
      <c r="T73" s="360"/>
      <c r="U73" s="360"/>
      <c r="V73" s="529"/>
      <c r="W73" s="532">
        <f t="shared" si="5"/>
        <v>0</v>
      </c>
      <c r="X73" s="111"/>
      <c r="Y73" s="121"/>
    </row>
    <row r="74" spans="1:39" customFormat="1" ht="15" customHeight="1" outlineLevel="1">
      <c r="A74" s="1"/>
      <c r="B74" s="1"/>
      <c r="C74" s="2"/>
      <c r="D74" s="105" t="s">
        <v>16</v>
      </c>
      <c r="E74" s="33"/>
      <c r="F74" s="96"/>
      <c r="G74" s="96"/>
      <c r="H74" s="96"/>
      <c r="I74" s="96"/>
      <c r="J74" s="96"/>
      <c r="K74" s="106" t="str">
        <f t="shared" si="0"/>
        <v>DKKt</v>
      </c>
      <c r="L74" s="90"/>
      <c r="M74" s="139">
        <f t="shared" ref="M74" si="7" xml:space="preserve"> -- ( OR( N74 = 0, N74 = "" ) )</f>
        <v>1</v>
      </c>
      <c r="N74" s="361">
        <f xml:space="preserve"> SUM( N59:N73 )</f>
        <v>0</v>
      </c>
      <c r="O74" s="417"/>
      <c r="P74" s="417"/>
      <c r="Q74" s="417"/>
      <c r="R74" s="186">
        <f t="shared" ref="R74:W74" si="8" xml:space="preserve"> SUM( R59:R73 )</f>
        <v>0</v>
      </c>
      <c r="S74" s="186">
        <f t="shared" si="8"/>
        <v>0</v>
      </c>
      <c r="T74" s="186">
        <f t="shared" si="8"/>
        <v>0</v>
      </c>
      <c r="U74" s="186">
        <f t="shared" si="8"/>
        <v>0</v>
      </c>
      <c r="V74" s="186">
        <f t="shared" si="8"/>
        <v>0</v>
      </c>
      <c r="W74" s="35">
        <f t="shared" si="8"/>
        <v>0</v>
      </c>
      <c r="X74" s="111"/>
      <c r="Y74" s="121"/>
    </row>
    <row r="75" spans="1:39" customFormat="1" ht="15" customHeight="1" outlineLevel="1">
      <c r="A75" s="1"/>
      <c r="B75" s="1"/>
      <c r="C75" s="2"/>
      <c r="D75" s="85"/>
      <c r="E75" s="1"/>
      <c r="F75" s="86"/>
      <c r="G75" s="86"/>
      <c r="H75" s="86"/>
      <c r="I75" s="86"/>
      <c r="J75" s="86"/>
      <c r="K75" s="87"/>
      <c r="L75" s="85"/>
      <c r="M75" s="85"/>
      <c r="N75" s="86"/>
      <c r="O75" s="86"/>
      <c r="P75" s="86"/>
      <c r="Q75" s="86"/>
      <c r="R75" s="1"/>
      <c r="S75" s="1"/>
      <c r="T75" s="1"/>
      <c r="U75" s="1"/>
      <c r="V75" s="1"/>
      <c r="W75" s="1"/>
      <c r="X75" s="1"/>
      <c r="Y75" s="121"/>
    </row>
    <row r="76" spans="1:39" customFormat="1" ht="15" customHeight="1" outlineLevel="1">
      <c r="A76" s="1"/>
      <c r="B76" s="1"/>
      <c r="C76" s="2"/>
      <c r="D76" s="97" t="s">
        <v>49</v>
      </c>
      <c r="E76" s="27"/>
      <c r="F76" s="86"/>
      <c r="G76" s="86"/>
      <c r="H76" s="86"/>
      <c r="I76" s="86"/>
      <c r="J76" s="86"/>
      <c r="K76" s="98"/>
      <c r="L76" s="99"/>
      <c r="M76" s="85"/>
      <c r="N76" s="107" t="s">
        <v>16</v>
      </c>
      <c r="O76" s="107"/>
      <c r="P76" s="107"/>
      <c r="Q76" s="107"/>
      <c r="R76" s="1"/>
      <c r="S76" s="1"/>
      <c r="T76" s="1"/>
      <c r="U76" s="1"/>
      <c r="V76" s="1"/>
      <c r="W76" s="89" t="s">
        <v>183</v>
      </c>
      <c r="X76" s="89"/>
      <c r="Y76" s="121"/>
      <c r="AC76" s="108"/>
      <c r="AM76" s="109"/>
    </row>
    <row r="77" spans="1:39" customFormat="1" ht="15" customHeight="1" outlineLevel="1">
      <c r="A77" s="1"/>
      <c r="B77" s="1"/>
      <c r="C77" s="2"/>
      <c r="D77" s="85" t="str">
        <f xml:space="preserve"> '2.1 Model setup'!K70</f>
        <v>1.1 Drift og vedligeholdelse af transformerstationer</v>
      </c>
      <c r="E77" s="1"/>
      <c r="F77" s="100"/>
      <c r="G77" s="100"/>
      <c r="H77" s="100"/>
      <c r="I77" s="100"/>
      <c r="J77" s="100"/>
      <c r="K77" s="87" t="str">
        <f t="shared" ref="K77:K92" si="9" xml:space="preserve"> Model.Units</f>
        <v>DKKt</v>
      </c>
      <c r="L77" s="85"/>
      <c r="M77" s="160"/>
      <c r="N77" s="613">
        <f xml:space="preserve"> IF( $N$18 = '2.1 Model setup'!K144, 'Hjælpeark, fall-back-metoden'!N191, N59 )</f>
        <v>0</v>
      </c>
      <c r="O77" s="502"/>
      <c r="P77" s="502"/>
      <c r="Q77" s="502"/>
      <c r="R77" s="307"/>
      <c r="S77" s="548">
        <f xml:space="preserve"> IF( $N$18 = '2.1 Model setup'!K144, 'Hjælpeark, fall-back-metoden'!S191, S59 )</f>
        <v>0</v>
      </c>
      <c r="T77" s="309"/>
      <c r="U77" s="611">
        <f xml:space="preserve"> IF( $N$18 = '2.1 Model setup'!K144, 'Hjælpeark, fall-back-metoden'!U191, U59 )</f>
        <v>0</v>
      </c>
      <c r="V77" s="310"/>
      <c r="W77" s="530">
        <f xml:space="preserve"> N77 - SUM( O77:V77 )</f>
        <v>0</v>
      </c>
      <c r="X77" s="111"/>
      <c r="Y77" s="121"/>
    </row>
    <row r="78" spans="1:39" customFormat="1" ht="15" customHeight="1" outlineLevel="1">
      <c r="A78" s="1"/>
      <c r="B78" s="1"/>
      <c r="C78" s="2"/>
      <c r="D78" s="85" t="str">
        <f xml:space="preserve"> '2.1 Model setup'!K71</f>
        <v>1.2 Drift og vedligeholdelse af ledningsnet</v>
      </c>
      <c r="E78" s="1"/>
      <c r="F78" s="102"/>
      <c r="G78" s="102"/>
      <c r="H78" s="102"/>
      <c r="I78" s="102"/>
      <c r="J78" s="102"/>
      <c r="K78" s="87" t="str">
        <f t="shared" si="9"/>
        <v>DKKt</v>
      </c>
      <c r="L78" s="85"/>
      <c r="M78" s="119"/>
      <c r="N78" s="609">
        <f xml:space="preserve"> IF( $N$19 = '2.1 Model setup'!K144, 'Hjælpeark, fall-back-metoden'!N192, N60 )</f>
        <v>0</v>
      </c>
      <c r="O78" s="501"/>
      <c r="P78" s="501"/>
      <c r="Q78" s="501"/>
      <c r="R78" s="612">
        <f xml:space="preserve"> IF( $N$19 = '2.1 Model setup'!K144, 'Hjælpeark, fall-back-metoden'!R192, R60 )</f>
        <v>0</v>
      </c>
      <c r="S78" s="610">
        <f xml:space="preserve"> IF( $N$19 = '2.1 Model setup'!K144, 'Hjælpeark, fall-back-metoden'!S192, S60 )</f>
        <v>0</v>
      </c>
      <c r="T78" s="610">
        <f xml:space="preserve"> IF( $N$19 = '2.1 Model setup'!K144, 'Hjælpeark, fall-back-metoden'!T192, T60 )</f>
        <v>0</v>
      </c>
      <c r="U78" s="610">
        <f xml:space="preserve"> IF( $N$19 = '2.1 Model setup'!K144, 'Hjælpeark, fall-back-metoden'!U192, U60 )</f>
        <v>0</v>
      </c>
      <c r="V78" s="610">
        <f xml:space="preserve"> IF( $N$19 = '2.1 Model setup'!K144, 'Hjælpeark, fall-back-metoden'!V192, V60 )</f>
        <v>0</v>
      </c>
      <c r="W78" s="531">
        <f t="shared" ref="W78:W91" si="10" xml:space="preserve"> N78 - SUM( O78:V78 )</f>
        <v>0</v>
      </c>
      <c r="X78" s="111"/>
      <c r="Y78" s="121"/>
    </row>
    <row r="79" spans="1:39" customFormat="1" ht="15" customHeight="1" outlineLevel="1">
      <c r="A79" s="1"/>
      <c r="B79" s="1"/>
      <c r="C79" s="2"/>
      <c r="D79" s="85" t="str">
        <f xml:space="preserve"> '2.1 Model setup'!K72</f>
        <v>1.3 Øvrige omkostninger til drift, styring og kontrol af elnettet</v>
      </c>
      <c r="E79" s="1"/>
      <c r="F79" s="102"/>
      <c r="G79" s="102"/>
      <c r="H79" s="102"/>
      <c r="I79" s="102"/>
      <c r="J79" s="102"/>
      <c r="K79" s="87" t="str">
        <f t="shared" si="9"/>
        <v>DKKt</v>
      </c>
      <c r="L79" s="85"/>
      <c r="M79" s="119"/>
      <c r="N79" s="609">
        <f>N61</f>
        <v>0</v>
      </c>
      <c r="O79" s="501"/>
      <c r="P79" s="501"/>
      <c r="Q79" s="501"/>
      <c r="R79" s="612">
        <f>R61</f>
        <v>0</v>
      </c>
      <c r="S79" s="501"/>
      <c r="T79" s="526">
        <f>T61</f>
        <v>0</v>
      </c>
      <c r="U79" s="501"/>
      <c r="V79" s="615">
        <f>V61</f>
        <v>0</v>
      </c>
      <c r="W79" s="531">
        <f t="shared" si="10"/>
        <v>0</v>
      </c>
      <c r="X79" s="111"/>
      <c r="Y79" s="121"/>
    </row>
    <row r="80" spans="1:39" customFormat="1" ht="15" customHeight="1" outlineLevel="1">
      <c r="A80" s="1"/>
      <c r="B80" s="1"/>
      <c r="C80" s="2"/>
      <c r="D80" s="85" t="str">
        <f xml:space="preserve"> '2.1 Model setup'!K73</f>
        <v>1.4 Omkostninger vedrørende 132-150/30-60 kV-stationer</v>
      </c>
      <c r="E80" s="1"/>
      <c r="F80" s="102"/>
      <c r="G80" s="102"/>
      <c r="H80" s="102"/>
      <c r="I80" s="102"/>
      <c r="J80" s="102"/>
      <c r="K80" s="87" t="str">
        <f t="shared" si="9"/>
        <v>DKKt</v>
      </c>
      <c r="L80" s="85"/>
      <c r="M80" s="119"/>
      <c r="N80" s="610"/>
      <c r="O80" s="501"/>
      <c r="P80" s="501"/>
      <c r="Q80" s="501"/>
      <c r="R80" s="501"/>
      <c r="S80" s="501"/>
      <c r="T80" s="501"/>
      <c r="U80" s="501"/>
      <c r="V80" s="501"/>
      <c r="W80" s="531">
        <f t="shared" si="10"/>
        <v>0</v>
      </c>
      <c r="X80" s="111"/>
      <c r="Y80" s="121"/>
    </row>
    <row r="81" spans="1:25" customFormat="1" ht="15" customHeight="1" outlineLevel="1">
      <c r="A81" s="1"/>
      <c r="B81" s="1"/>
      <c r="C81" s="2"/>
      <c r="D81" s="85" t="str">
        <f xml:space="preserve"> '2.1 Model setup'!K74</f>
        <v>2.1 Drift og vedligeholdelse af målere</v>
      </c>
      <c r="E81" s="1"/>
      <c r="F81" s="102"/>
      <c r="G81" s="102"/>
      <c r="H81" s="102"/>
      <c r="I81" s="102"/>
      <c r="J81" s="102"/>
      <c r="K81" s="87" t="str">
        <f t="shared" si="9"/>
        <v>DKKt</v>
      </c>
      <c r="L81" s="85"/>
      <c r="M81" s="119"/>
      <c r="N81" s="609">
        <f>N63</f>
        <v>0</v>
      </c>
      <c r="O81" s="501"/>
      <c r="P81" s="501"/>
      <c r="Q81" s="501"/>
      <c r="R81" s="526"/>
      <c r="S81" s="610"/>
      <c r="T81" s="610"/>
      <c r="U81" s="610"/>
      <c r="V81" s="616"/>
      <c r="W81" s="531">
        <f t="shared" si="10"/>
        <v>0</v>
      </c>
      <c r="X81" s="111"/>
      <c r="Y81" s="121"/>
    </row>
    <row r="82" spans="1:25" customFormat="1" ht="15" customHeight="1" outlineLevel="1">
      <c r="A82" s="1"/>
      <c r="B82" s="1"/>
      <c r="C82" s="2"/>
      <c r="D82" s="85" t="str">
        <f xml:space="preserve"> '2.1 Model setup'!K75</f>
        <v>2.2 Indhentning og validering af målerdata</v>
      </c>
      <c r="E82" s="1"/>
      <c r="F82" s="102"/>
      <c r="G82" s="102"/>
      <c r="H82" s="102"/>
      <c r="I82" s="102"/>
      <c r="J82" s="102"/>
      <c r="K82" s="87" t="str">
        <f t="shared" si="9"/>
        <v>DKKt</v>
      </c>
      <c r="L82" s="85"/>
      <c r="M82" s="119"/>
      <c r="N82" s="609">
        <f t="shared" ref="N82:N84" si="11">N64</f>
        <v>0</v>
      </c>
      <c r="O82" s="501"/>
      <c r="P82" s="501"/>
      <c r="Q82" s="501"/>
      <c r="R82" s="526"/>
      <c r="S82" s="610"/>
      <c r="T82" s="610"/>
      <c r="U82" s="610"/>
      <c r="V82" s="616"/>
      <c r="W82" s="531">
        <f t="shared" si="10"/>
        <v>0</v>
      </c>
      <c r="X82" s="111"/>
      <c r="Y82" s="121"/>
    </row>
    <row r="83" spans="1:25" customFormat="1" ht="15" customHeight="1" outlineLevel="1">
      <c r="A83" s="1"/>
      <c r="B83" s="1"/>
      <c r="C83" s="2"/>
      <c r="D83" s="85" t="str">
        <f xml:space="preserve"> '2.1 Model setup'!K76</f>
        <v>2.3 Måleradministration og kundehåndtering</v>
      </c>
      <c r="E83" s="1"/>
      <c r="F83" s="102"/>
      <c r="G83" s="102"/>
      <c r="H83" s="102"/>
      <c r="I83" s="102"/>
      <c r="J83" s="102"/>
      <c r="K83" s="87" t="str">
        <f t="shared" si="9"/>
        <v>DKKt</v>
      </c>
      <c r="L83" s="85"/>
      <c r="M83" s="119"/>
      <c r="N83" s="609">
        <f t="shared" si="11"/>
        <v>0</v>
      </c>
      <c r="O83" s="501"/>
      <c r="P83" s="501"/>
      <c r="Q83" s="501"/>
      <c r="R83" s="526"/>
      <c r="S83" s="610"/>
      <c r="T83" s="610"/>
      <c r="U83" s="610"/>
      <c r="V83" s="616"/>
      <c r="W83" s="531">
        <f t="shared" si="10"/>
        <v>0</v>
      </c>
      <c r="X83" s="111"/>
      <c r="Y83" s="121"/>
    </row>
    <row r="84" spans="1:25" customFormat="1" ht="15" customHeight="1" outlineLevel="1">
      <c r="A84" s="1"/>
      <c r="B84" s="1"/>
      <c r="C84" s="2"/>
      <c r="D84" s="85" t="str">
        <f xml:space="preserve"> '2.1 Model setup'!K77</f>
        <v>3.1 Generel administration</v>
      </c>
      <c r="E84" s="1"/>
      <c r="F84" s="102"/>
      <c r="G84" s="102"/>
      <c r="H84" s="102"/>
      <c r="I84" s="102"/>
      <c r="J84" s="102"/>
      <c r="K84" s="87" t="str">
        <f t="shared" si="9"/>
        <v>DKKt</v>
      </c>
      <c r="L84" s="85"/>
      <c r="M84" s="119"/>
      <c r="N84" s="609">
        <f t="shared" si="11"/>
        <v>0</v>
      </c>
      <c r="O84" s="501"/>
      <c r="P84" s="501"/>
      <c r="Q84" s="501"/>
      <c r="R84" s="526"/>
      <c r="S84" s="610"/>
      <c r="T84" s="610"/>
      <c r="U84" s="610"/>
      <c r="V84" s="616"/>
      <c r="W84" s="531">
        <f t="shared" si="10"/>
        <v>0</v>
      </c>
      <c r="X84" s="111"/>
      <c r="Y84" s="121"/>
    </row>
    <row r="85" spans="1:25" customFormat="1" ht="15" customHeight="1" outlineLevel="1">
      <c r="A85" s="1"/>
      <c r="B85" s="1"/>
      <c r="C85" s="2"/>
      <c r="D85" s="85" t="str">
        <f xml:space="preserve"> '2.1 Model setup'!K78</f>
        <v>4.1 Omkostninger vedrørende nettab i transformerstationer</v>
      </c>
      <c r="E85" s="1"/>
      <c r="F85" s="102"/>
      <c r="G85" s="102"/>
      <c r="H85" s="102"/>
      <c r="I85" s="102"/>
      <c r="J85" s="102"/>
      <c r="K85" s="87" t="str">
        <f t="shared" si="9"/>
        <v>DKKt</v>
      </c>
      <c r="L85" s="85"/>
      <c r="M85" s="119"/>
      <c r="N85" s="609">
        <f xml:space="preserve"> IF( $N$20 = '2.1 Model setup'!K144, 'Hjælpeark, fall-back-metoden'!N193, N67 )</f>
        <v>0</v>
      </c>
      <c r="O85" s="501"/>
      <c r="P85" s="501"/>
      <c r="Q85" s="501"/>
      <c r="R85" s="313"/>
      <c r="S85" s="610">
        <f xml:space="preserve"> IF( $N$20 = '2.1 Model setup'!K144, 'Hjælpeark, fall-back-metoden'!S193, S67 )</f>
        <v>0</v>
      </c>
      <c r="T85" s="313"/>
      <c r="U85" s="610">
        <f xml:space="preserve"> IF( $N$20 = '2.1 Model setup'!K144, 'Hjælpeark, fall-back-metoden'!U193, U67 )</f>
        <v>0</v>
      </c>
      <c r="V85" s="516"/>
      <c r="W85" s="531">
        <f t="shared" si="10"/>
        <v>0</v>
      </c>
      <c r="X85" s="111"/>
      <c r="Y85" s="121"/>
    </row>
    <row r="86" spans="1:25" customFormat="1" ht="15" customHeight="1" outlineLevel="1">
      <c r="A86" s="1"/>
      <c r="B86" s="1"/>
      <c r="C86" s="2"/>
      <c r="D86" s="85" t="str">
        <f xml:space="preserve"> '2.1 Model setup'!K79</f>
        <v>4.2 Omkostninger vedrørende nettab i ledningsnettet</v>
      </c>
      <c r="E86" s="1"/>
      <c r="F86" s="102"/>
      <c r="G86" s="102"/>
      <c r="H86" s="102"/>
      <c r="I86" s="102"/>
      <c r="J86" s="102"/>
      <c r="K86" s="87" t="str">
        <f t="shared" si="9"/>
        <v>DKKt</v>
      </c>
      <c r="L86" s="85"/>
      <c r="M86" s="119"/>
      <c r="N86" s="609">
        <f xml:space="preserve"> IF( $N$21 = '2.1 Model setup'!K144, 'Hjælpeark, fall-back-metoden'!N194, N68 )</f>
        <v>0</v>
      </c>
      <c r="O86" s="501"/>
      <c r="P86" s="501"/>
      <c r="Q86" s="501"/>
      <c r="R86" s="612">
        <f xml:space="preserve"> IF( $N$21 = '2.1 Model setup'!K144, 'Hjælpeark, fall-back-metoden'!R194, R68 )</f>
        <v>0</v>
      </c>
      <c r="S86" s="610">
        <f xml:space="preserve"> IF( $N$21 = '2.1 Model setup'!K144, 'Hjælpeark, fall-back-metoden'!S194, S68 )</f>
        <v>0</v>
      </c>
      <c r="T86" s="610">
        <f xml:space="preserve"> IF( $N$21 = '2.1 Model setup'!K144, 'Hjælpeark, fall-back-metoden'!T194, T68 )</f>
        <v>0</v>
      </c>
      <c r="U86" s="610">
        <f xml:space="preserve"> IF( $N$21 = '2.1 Model setup'!K144, 'Hjælpeark, fall-back-metoden'!U194, U68 )</f>
        <v>0</v>
      </c>
      <c r="V86" s="610">
        <f xml:space="preserve"> IF( $N$21 = '2.1 Model setup'!K144, 'Hjælpeark, fall-back-metoden'!V194, V68 )</f>
        <v>0</v>
      </c>
      <c r="W86" s="531">
        <f t="shared" si="10"/>
        <v>0</v>
      </c>
      <c r="X86" s="111"/>
      <c r="Y86" s="121"/>
    </row>
    <row r="87" spans="1:25" customFormat="1" ht="15" customHeight="1" outlineLevel="1">
      <c r="A87" s="1"/>
      <c r="B87" s="1"/>
      <c r="C87" s="2"/>
      <c r="D87" s="85" t="str">
        <f xml:space="preserve"> '2.1 Model setup'!K80</f>
        <v>5.1 Omkostninger til overliggende net ifm. forbrug</v>
      </c>
      <c r="E87" s="1"/>
      <c r="F87" s="102"/>
      <c r="G87" s="102"/>
      <c r="H87" s="102"/>
      <c r="I87" s="102"/>
      <c r="J87" s="102"/>
      <c r="K87" s="87" t="str">
        <f t="shared" si="9"/>
        <v>DKKt</v>
      </c>
      <c r="L87" s="85"/>
      <c r="M87" s="119"/>
      <c r="N87" s="609">
        <f>N69</f>
        <v>0</v>
      </c>
      <c r="O87" s="501"/>
      <c r="P87" s="501"/>
      <c r="Q87" s="501"/>
      <c r="R87" s="501"/>
      <c r="S87" s="501"/>
      <c r="T87" s="501"/>
      <c r="U87" s="501"/>
      <c r="V87" s="501"/>
      <c r="W87" s="531">
        <f t="shared" si="10"/>
        <v>0</v>
      </c>
      <c r="X87" s="111"/>
      <c r="Y87" s="121"/>
    </row>
    <row r="88" spans="1:25" customFormat="1" ht="15" customHeight="1" outlineLevel="1">
      <c r="A88" s="1"/>
      <c r="B88" s="1"/>
      <c r="C88" s="2"/>
      <c r="D88" s="85" t="str">
        <f xml:space="preserve"> '2.1 Model setup'!K81</f>
        <v>5.2 Øvrige omkostninger</v>
      </c>
      <c r="E88" s="1"/>
      <c r="F88" s="102"/>
      <c r="G88" s="102"/>
      <c r="H88" s="102"/>
      <c r="I88" s="102"/>
      <c r="J88" s="102"/>
      <c r="K88" s="87" t="str">
        <f t="shared" si="9"/>
        <v>DKKt</v>
      </c>
      <c r="L88" s="85"/>
      <c r="M88" s="119"/>
      <c r="N88" s="609">
        <f t="shared" ref="N88:N91" si="12">N70</f>
        <v>0</v>
      </c>
      <c r="O88" s="501"/>
      <c r="P88" s="501"/>
      <c r="Q88" s="501"/>
      <c r="R88" s="526">
        <f>R70</f>
        <v>0</v>
      </c>
      <c r="S88" s="526">
        <f t="shared" ref="S88:V88" si="13">S70</f>
        <v>0</v>
      </c>
      <c r="T88" s="526">
        <f t="shared" si="13"/>
        <v>0</v>
      </c>
      <c r="U88" s="526">
        <f t="shared" si="13"/>
        <v>0</v>
      </c>
      <c r="V88" s="526">
        <f t="shared" si="13"/>
        <v>0</v>
      </c>
      <c r="W88" s="531">
        <f t="shared" si="10"/>
        <v>0</v>
      </c>
      <c r="X88" s="111"/>
      <c r="Y88" s="121"/>
    </row>
    <row r="89" spans="1:25" customFormat="1" ht="15" customHeight="1" outlineLevel="1">
      <c r="A89" s="1"/>
      <c r="B89" s="1"/>
      <c r="C89" s="2"/>
      <c r="D89" s="85" t="str">
        <f xml:space="preserve"> '2.1 Model setup'!K82</f>
        <v>6.1 Afskrivninger på transformerstationer</v>
      </c>
      <c r="E89" s="1"/>
      <c r="F89" s="102"/>
      <c r="G89" s="102"/>
      <c r="H89" s="102"/>
      <c r="I89" s="102"/>
      <c r="J89" s="102"/>
      <c r="K89" s="87" t="str">
        <f t="shared" si="9"/>
        <v>DKKt</v>
      </c>
      <c r="L89" s="85"/>
      <c r="M89" s="119"/>
      <c r="N89" s="609">
        <f t="shared" si="12"/>
        <v>0</v>
      </c>
      <c r="O89" s="501"/>
      <c r="P89" s="501"/>
      <c r="Q89" s="501"/>
      <c r="R89" s="313"/>
      <c r="S89" s="526">
        <f>S71</f>
        <v>0</v>
      </c>
      <c r="T89" s="313"/>
      <c r="U89" s="526">
        <f>U71</f>
        <v>0</v>
      </c>
      <c r="V89" s="516"/>
      <c r="W89" s="531">
        <f t="shared" si="10"/>
        <v>0</v>
      </c>
      <c r="X89" s="111"/>
      <c r="Y89" s="121"/>
    </row>
    <row r="90" spans="1:25" customFormat="1" ht="15" customHeight="1" outlineLevel="1">
      <c r="A90" s="1"/>
      <c r="B90" s="1"/>
      <c r="C90" s="2"/>
      <c r="D90" s="85" t="str">
        <f xml:space="preserve"> '2.1 Model setup'!K83</f>
        <v>6.2 Afskrivninger på netaktiver ekskl. målere og transformerstationer</v>
      </c>
      <c r="E90" s="1"/>
      <c r="F90" s="102"/>
      <c r="G90" s="102"/>
      <c r="H90" s="102"/>
      <c r="I90" s="102"/>
      <c r="J90" s="102"/>
      <c r="K90" s="87" t="str">
        <f t="shared" si="9"/>
        <v>DKKt</v>
      </c>
      <c r="L90" s="85"/>
      <c r="M90" s="119"/>
      <c r="N90" s="609">
        <f t="shared" si="12"/>
        <v>0</v>
      </c>
      <c r="O90" s="501"/>
      <c r="P90" s="501"/>
      <c r="Q90" s="501"/>
      <c r="R90" s="612">
        <f>R72</f>
        <v>0</v>
      </c>
      <c r="S90" s="377"/>
      <c r="T90" s="612">
        <f>T72</f>
        <v>0</v>
      </c>
      <c r="U90" s="377"/>
      <c r="V90" s="617">
        <f>V72</f>
        <v>0</v>
      </c>
      <c r="W90" s="531">
        <f t="shared" si="10"/>
        <v>0</v>
      </c>
      <c r="X90" s="111"/>
      <c r="Y90" s="121"/>
    </row>
    <row r="91" spans="1:25" customFormat="1" ht="15" customHeight="1" outlineLevel="1">
      <c r="A91" s="1"/>
      <c r="B91" s="1"/>
      <c r="C91" s="2"/>
      <c r="D91" s="85" t="str">
        <f xml:space="preserve"> '2.1 Model setup'!K84</f>
        <v>6.3 Afskrivninger på målere</v>
      </c>
      <c r="E91" s="1"/>
      <c r="F91" s="102"/>
      <c r="G91" s="102"/>
      <c r="H91" s="102"/>
      <c r="I91" s="102"/>
      <c r="J91" s="102"/>
      <c r="K91" s="87" t="str">
        <f t="shared" si="9"/>
        <v>DKKt</v>
      </c>
      <c r="L91" s="85"/>
      <c r="M91" s="119"/>
      <c r="N91" s="609">
        <f t="shared" si="12"/>
        <v>0</v>
      </c>
      <c r="O91" s="503"/>
      <c r="P91" s="503"/>
      <c r="Q91" s="503"/>
      <c r="R91" s="619"/>
      <c r="S91" s="618"/>
      <c r="T91" s="618"/>
      <c r="U91" s="618"/>
      <c r="V91" s="291"/>
      <c r="W91" s="532">
        <f t="shared" si="10"/>
        <v>0</v>
      </c>
      <c r="X91" s="111"/>
      <c r="Y91" s="121"/>
    </row>
    <row r="92" spans="1:25" customFormat="1" ht="15" customHeight="1" outlineLevel="1">
      <c r="A92" s="1"/>
      <c r="B92" s="1"/>
      <c r="C92" s="2"/>
      <c r="D92" s="105" t="s">
        <v>16</v>
      </c>
      <c r="E92" s="33"/>
      <c r="F92" s="96"/>
      <c r="G92" s="96"/>
      <c r="H92" s="96"/>
      <c r="I92" s="96"/>
      <c r="J92" s="96"/>
      <c r="K92" s="106" t="str">
        <f t="shared" si="9"/>
        <v>DKKt</v>
      </c>
      <c r="L92" s="90"/>
      <c r="M92" s="139"/>
      <c r="N92" s="361">
        <f xml:space="preserve"> SUM( N77:N91 )</f>
        <v>0</v>
      </c>
      <c r="O92" s="417"/>
      <c r="P92" s="417"/>
      <c r="Q92" s="417"/>
      <c r="R92" s="186">
        <f t="shared" ref="R92:W92" si="14" xml:space="preserve"> SUM( R77:R91 )</f>
        <v>0</v>
      </c>
      <c r="S92" s="186">
        <f t="shared" si="14"/>
        <v>0</v>
      </c>
      <c r="T92" s="186">
        <f t="shared" si="14"/>
        <v>0</v>
      </c>
      <c r="U92" s="186">
        <f t="shared" si="14"/>
        <v>0</v>
      </c>
      <c r="V92" s="186">
        <f t="shared" si="14"/>
        <v>0</v>
      </c>
      <c r="W92" s="35">
        <f t="shared" si="14"/>
        <v>0</v>
      </c>
      <c r="X92" s="111"/>
      <c r="Y92" s="121"/>
    </row>
    <row r="93" spans="1:25" customFormat="1" ht="15" customHeight="1" outlineLevel="1">
      <c r="A93" s="1"/>
      <c r="B93" s="1"/>
      <c r="C93" s="2"/>
      <c r="D93" s="88"/>
      <c r="E93" s="1"/>
      <c r="F93" s="102"/>
      <c r="G93" s="102"/>
      <c r="H93" s="102"/>
      <c r="I93" s="102"/>
      <c r="J93" s="102"/>
      <c r="K93" s="114"/>
      <c r="L93" s="85"/>
      <c r="M93" s="119"/>
      <c r="N93" s="524"/>
      <c r="O93" s="4"/>
      <c r="P93" s="4"/>
      <c r="Q93" s="4"/>
      <c r="R93" s="4"/>
      <c r="S93" s="4"/>
      <c r="T93" s="4"/>
      <c r="U93" s="4"/>
      <c r="V93" s="4"/>
      <c r="W93" s="4"/>
      <c r="X93" s="111"/>
      <c r="Y93" s="121"/>
    </row>
    <row r="94" spans="1:25" customFormat="1" ht="15" customHeight="1" outlineLevel="1">
      <c r="A94" s="1"/>
      <c r="B94" s="1"/>
      <c r="C94" s="2"/>
      <c r="D94" s="88"/>
      <c r="E94" s="1"/>
      <c r="F94" s="102"/>
      <c r="G94" s="102"/>
      <c r="H94" s="102"/>
      <c r="I94" s="102"/>
      <c r="J94" s="102"/>
      <c r="K94" s="114"/>
      <c r="L94" s="85"/>
      <c r="M94" s="119"/>
      <c r="N94" s="524"/>
      <c r="O94" s="4"/>
      <c r="P94" s="4"/>
      <c r="Q94" s="4"/>
      <c r="R94" s="4"/>
      <c r="S94" s="4"/>
      <c r="T94" s="4"/>
      <c r="U94" s="4"/>
      <c r="V94" s="4"/>
      <c r="W94" s="4"/>
      <c r="X94" s="111"/>
      <c r="Y94" s="121"/>
    </row>
    <row r="95" spans="1:25" customFormat="1" ht="15" customHeight="1" outlineLevel="1">
      <c r="A95" s="1"/>
      <c r="B95" s="1"/>
      <c r="C95" s="2"/>
      <c r="D95" s="88"/>
      <c r="E95" s="1"/>
      <c r="F95" s="102"/>
      <c r="G95" s="102"/>
      <c r="H95" s="102"/>
      <c r="I95" s="102"/>
      <c r="J95" s="102"/>
      <c r="K95" s="114"/>
      <c r="L95" s="85"/>
      <c r="M95" s="119"/>
      <c r="N95" s="524"/>
      <c r="O95" s="4"/>
      <c r="P95" s="4"/>
      <c r="Q95" s="4"/>
      <c r="R95" s="4"/>
      <c r="S95" s="4"/>
      <c r="T95" s="4"/>
      <c r="U95" s="4"/>
      <c r="V95" s="4"/>
      <c r="W95" s="4"/>
      <c r="X95" s="111"/>
      <c r="Y95" s="121"/>
    </row>
    <row r="96" spans="1:25" s="475" customFormat="1" ht="15" customHeight="1">
      <c r="B96" s="479" t="str">
        <f xml:space="preserve"> COUNTA(B$10:B87) &amp; ") Omkostninger til indfødning"</f>
        <v>4) Omkostninger til indfødning</v>
      </c>
      <c r="C96" s="477"/>
      <c r="D96" s="478"/>
      <c r="K96" s="472"/>
    </row>
    <row r="97" spans="1:39" customFormat="1" ht="15" customHeight="1">
      <c r="A97" s="1"/>
      <c r="B97" s="1"/>
      <c r="C97" s="2"/>
      <c r="D97" s="88"/>
      <c r="E97" s="1"/>
      <c r="F97" s="102"/>
      <c r="G97" s="102"/>
      <c r="H97" s="102"/>
      <c r="I97" s="102"/>
      <c r="J97" s="102"/>
      <c r="K97" s="114"/>
      <c r="L97" s="85"/>
      <c r="M97" s="524"/>
      <c r="N97" s="524"/>
      <c r="O97" s="4"/>
      <c r="P97" s="4"/>
      <c r="Q97" s="4"/>
      <c r="R97" s="4"/>
      <c r="S97" s="4"/>
      <c r="T97" s="4"/>
      <c r="U97" s="4"/>
      <c r="V97" s="4"/>
      <c r="W97" s="4"/>
      <c r="X97" s="111"/>
      <c r="Y97" s="121"/>
    </row>
    <row r="98" spans="1:39" customFormat="1" ht="15" customHeight="1">
      <c r="A98" s="1"/>
      <c r="B98" s="1"/>
      <c r="C98" s="2"/>
      <c r="D98" s="88"/>
      <c r="E98" s="1"/>
      <c r="F98" s="102"/>
      <c r="G98" s="102"/>
      <c r="H98" s="102"/>
      <c r="I98" s="102"/>
      <c r="J98" s="102"/>
      <c r="K98" s="114"/>
      <c r="L98" s="85"/>
      <c r="M98" s="524"/>
      <c r="N98" s="524"/>
      <c r="O98" s="658" t="s">
        <v>672</v>
      </c>
      <c r="P98" s="658"/>
      <c r="Q98" s="656"/>
      <c r="R98" s="658" t="s">
        <v>673</v>
      </c>
      <c r="S98" s="660" t="s">
        <v>674</v>
      </c>
      <c r="T98" s="660" t="s">
        <v>675</v>
      </c>
      <c r="U98" s="660" t="s">
        <v>676</v>
      </c>
      <c r="V98" s="660" t="s">
        <v>677</v>
      </c>
      <c r="W98" s="4"/>
      <c r="X98" s="111"/>
      <c r="Y98" s="121"/>
    </row>
    <row r="99" spans="1:39" customFormat="1" ht="15" customHeight="1">
      <c r="A99" s="1"/>
      <c r="B99" s="1"/>
      <c r="C99" s="2"/>
      <c r="D99" s="97" t="s">
        <v>669</v>
      </c>
      <c r="E99" s="27"/>
      <c r="F99" s="86"/>
      <c r="G99" s="86"/>
      <c r="H99" s="86"/>
      <c r="I99" s="86"/>
      <c r="J99" s="86"/>
      <c r="K99" s="98"/>
      <c r="L99" s="99"/>
      <c r="M99" s="85"/>
      <c r="N99" s="107" t="s">
        <v>16</v>
      </c>
      <c r="O99" s="659"/>
      <c r="P99" s="659"/>
      <c r="Q99" s="657"/>
      <c r="R99" s="659"/>
      <c r="S99" s="661"/>
      <c r="T99" s="661"/>
      <c r="U99" s="661"/>
      <c r="V99" s="661"/>
      <c r="W99" s="89" t="s">
        <v>183</v>
      </c>
      <c r="X99" s="89"/>
      <c r="Y99" s="260" t="s">
        <v>362</v>
      </c>
      <c r="AC99" s="108"/>
      <c r="AM99" s="109"/>
    </row>
    <row r="100" spans="1:39" customFormat="1" ht="15" customHeight="1">
      <c r="A100" s="1"/>
      <c r="B100" s="1"/>
      <c r="C100" s="2"/>
      <c r="D100" s="85" t="str">
        <f xml:space="preserve"> '2.1 Model setup'!K70</f>
        <v>1.1 Drift og vedligeholdelse af transformerstationer</v>
      </c>
      <c r="E100" s="1"/>
      <c r="F100" s="100"/>
      <c r="G100" s="100"/>
      <c r="H100" s="100"/>
      <c r="I100" s="100"/>
      <c r="J100" s="100"/>
      <c r="K100" s="87" t="str">
        <f t="shared" ref="K100:K115" si="15" xml:space="preserve"> Model.Units</f>
        <v>DKKt</v>
      </c>
      <c r="L100" s="85">
        <f xml:space="preserve"> ( --  ( COUNTIF( N100:W100, "&lt;0" ) &gt; 0 ) ) +  -- ( COUNTIF( N100:W100, "*" ) &gt; 0 )</f>
        <v>0</v>
      </c>
      <c r="M100" s="142">
        <f xml:space="preserve"> -- ( IF( $N$18 = '2.1 Model setup'!K145, ( OR( N100 = 0, N100 = "" ) ), 0 ) )</f>
        <v>0</v>
      </c>
      <c r="N100" s="365"/>
      <c r="O100" s="502"/>
      <c r="P100" s="502"/>
      <c r="Q100" s="502"/>
      <c r="R100" s="307"/>
      <c r="S100" s="126"/>
      <c r="T100" s="502"/>
      <c r="U100" s="502"/>
      <c r="V100" s="502"/>
      <c r="W100" s="530">
        <f xml:space="preserve"> N100 - SUM( O100:V100 )</f>
        <v>0</v>
      </c>
      <c r="X100" s="111"/>
      <c r="Y100" s="121"/>
    </row>
    <row r="101" spans="1:39" customFormat="1" ht="15" customHeight="1">
      <c r="A101" s="1"/>
      <c r="B101" s="1"/>
      <c r="C101" s="2"/>
      <c r="D101" s="85" t="str">
        <f xml:space="preserve"> '2.1 Model setup'!K71</f>
        <v>1.2 Drift og vedligeholdelse af ledningsnet</v>
      </c>
      <c r="E101" s="1"/>
      <c r="F101" s="102"/>
      <c r="G101" s="102"/>
      <c r="H101" s="102"/>
      <c r="I101" s="102"/>
      <c r="J101" s="102"/>
      <c r="K101" s="87" t="str">
        <f t="shared" si="15"/>
        <v>DKKt</v>
      </c>
      <c r="L101" s="85">
        <f xml:space="preserve"> ( --  ( COUNTIF( N101:W101, "&lt;0" ) &gt; 0 ) ) +  -- ( COUNTIF( N101:W101, "*" ) &gt; 0 )</f>
        <v>0</v>
      </c>
      <c r="M101" s="161">
        <f xml:space="preserve"> -- ( IF( $N$19 = '2.1 Model setup'!K145, ( OR( N101 = 0, N101 = "" ) ), 0 ) )</f>
        <v>0</v>
      </c>
      <c r="N101" s="366"/>
      <c r="O101" s="501"/>
      <c r="P101" s="501"/>
      <c r="Q101" s="501"/>
      <c r="R101" s="286"/>
      <c r="S101" s="286"/>
      <c r="T101" s="130"/>
      <c r="U101" s="501"/>
      <c r="V101" s="501"/>
      <c r="W101" s="531">
        <f t="shared" ref="W101" si="16" xml:space="preserve"> N101 - SUM( O101:V101 )</f>
        <v>0</v>
      </c>
      <c r="X101" s="111"/>
      <c r="Y101" s="121"/>
    </row>
    <row r="102" spans="1:39" customFormat="1" ht="15" customHeight="1">
      <c r="A102" s="1"/>
      <c r="B102" s="1"/>
      <c r="C102" s="2"/>
      <c r="D102" s="85" t="str">
        <f xml:space="preserve"> '2.1 Model setup'!K72</f>
        <v>1.3 Øvrige omkostninger til drift, styring og kontrol af elnettet</v>
      </c>
      <c r="E102" s="1"/>
      <c r="F102" s="102"/>
      <c r="G102" s="102"/>
      <c r="H102" s="102"/>
      <c r="I102" s="102"/>
      <c r="J102" s="102"/>
      <c r="K102" s="87" t="str">
        <f t="shared" si="15"/>
        <v>DKKt</v>
      </c>
      <c r="L102" s="85"/>
      <c r="M102" s="119"/>
      <c r="N102" s="290"/>
      <c r="O102" s="501"/>
      <c r="P102" s="501"/>
      <c r="Q102" s="501"/>
      <c r="R102" s="501"/>
      <c r="S102" s="501"/>
      <c r="T102" s="501"/>
      <c r="U102" s="501"/>
      <c r="V102" s="501"/>
      <c r="W102" s="531">
        <f t="shared" ref="W102:W107" si="17" xml:space="preserve"> N102 - SUM( O102:V102 )</f>
        <v>0</v>
      </c>
      <c r="X102" s="111"/>
      <c r="Y102" s="121"/>
    </row>
    <row r="103" spans="1:39" customFormat="1" ht="15" customHeight="1">
      <c r="A103" s="1"/>
      <c r="B103" s="1"/>
      <c r="C103" s="2"/>
      <c r="D103" s="85" t="str">
        <f xml:space="preserve"> '2.1 Model setup'!K73</f>
        <v>1.4 Omkostninger vedrørende 132-150/30-60 kV-stationer</v>
      </c>
      <c r="E103" s="1"/>
      <c r="F103" s="102"/>
      <c r="G103" s="102"/>
      <c r="H103" s="102"/>
      <c r="I103" s="102"/>
      <c r="J103" s="102"/>
      <c r="K103" s="87" t="str">
        <f t="shared" si="15"/>
        <v>DKKt</v>
      </c>
      <c r="L103" s="85">
        <f xml:space="preserve"> ( --  ( COUNTIF( N103:W103, "&lt;0" ) &gt; 0 ) ) +  -- ( COUNTIF( N103:W103, "*" ) &gt; 0 )</f>
        <v>0</v>
      </c>
      <c r="M103" s="119">
        <f xml:space="preserve"> -- ( OR( N103 = 0, N103 = "" ) )</f>
        <v>1</v>
      </c>
      <c r="N103" s="366"/>
      <c r="O103" s="130"/>
      <c r="P103" s="130"/>
      <c r="Q103" s="501"/>
      <c r="R103" s="501"/>
      <c r="S103" s="501"/>
      <c r="T103" s="501"/>
      <c r="U103" s="501"/>
      <c r="V103" s="501"/>
      <c r="W103" s="531">
        <f t="shared" si="17"/>
        <v>0</v>
      </c>
      <c r="X103" s="111"/>
      <c r="Y103" s="121"/>
    </row>
    <row r="104" spans="1:39" customFormat="1" ht="15" customHeight="1">
      <c r="A104" s="1"/>
      <c r="B104" s="1"/>
      <c r="C104" s="2"/>
      <c r="D104" s="85" t="str">
        <f xml:space="preserve"> '2.1 Model setup'!K74</f>
        <v>2.1 Drift og vedligeholdelse af målere</v>
      </c>
      <c r="E104" s="1"/>
      <c r="F104" s="102"/>
      <c r="G104" s="102"/>
      <c r="H104" s="102"/>
      <c r="I104" s="102"/>
      <c r="J104" s="102"/>
      <c r="K104" s="87" t="str">
        <f t="shared" si="15"/>
        <v>DKKt</v>
      </c>
      <c r="L104" s="85"/>
      <c r="M104" s="119"/>
      <c r="N104" s="290"/>
      <c r="O104" s="501"/>
      <c r="P104" s="501"/>
      <c r="Q104" s="501"/>
      <c r="R104" s="501"/>
      <c r="S104" s="501"/>
      <c r="T104" s="501"/>
      <c r="U104" s="501"/>
      <c r="V104" s="501"/>
      <c r="W104" s="531">
        <f t="shared" si="17"/>
        <v>0</v>
      </c>
      <c r="X104" s="111"/>
      <c r="Y104" s="121"/>
    </row>
    <row r="105" spans="1:39" customFormat="1" ht="15" customHeight="1">
      <c r="A105" s="1"/>
      <c r="B105" s="1"/>
      <c r="C105" s="2"/>
      <c r="D105" s="85" t="str">
        <f xml:space="preserve"> '2.1 Model setup'!K75</f>
        <v>2.2 Indhentning og validering af målerdata</v>
      </c>
      <c r="E105" s="1"/>
      <c r="F105" s="102"/>
      <c r="G105" s="102"/>
      <c r="H105" s="102"/>
      <c r="I105" s="102"/>
      <c r="J105" s="102"/>
      <c r="K105" s="87" t="str">
        <f t="shared" si="15"/>
        <v>DKKt</v>
      </c>
      <c r="L105" s="85"/>
      <c r="M105" s="119"/>
      <c r="N105" s="290"/>
      <c r="O105" s="501"/>
      <c r="P105" s="501"/>
      <c r="Q105" s="501"/>
      <c r="R105" s="501"/>
      <c r="S105" s="501"/>
      <c r="T105" s="501"/>
      <c r="U105" s="501"/>
      <c r="V105" s="501"/>
      <c r="W105" s="531">
        <f t="shared" si="17"/>
        <v>0</v>
      </c>
      <c r="X105" s="111"/>
      <c r="Y105" s="121"/>
    </row>
    <row r="106" spans="1:39" customFormat="1" ht="15" customHeight="1">
      <c r="A106" s="1"/>
      <c r="B106" s="1"/>
      <c r="C106" s="2"/>
      <c r="D106" s="85" t="str">
        <f xml:space="preserve"> '2.1 Model setup'!K76</f>
        <v>2.3 Måleradministration og kundehåndtering</v>
      </c>
      <c r="E106" s="1"/>
      <c r="F106" s="102"/>
      <c r="G106" s="102"/>
      <c r="H106" s="102"/>
      <c r="I106" s="102"/>
      <c r="J106" s="102"/>
      <c r="K106" s="87" t="str">
        <f t="shared" si="15"/>
        <v>DKKt</v>
      </c>
      <c r="L106" s="85"/>
      <c r="M106" s="119"/>
      <c r="N106" s="290"/>
      <c r="O106" s="501"/>
      <c r="P106" s="501"/>
      <c r="Q106" s="501"/>
      <c r="R106" s="501"/>
      <c r="S106" s="501"/>
      <c r="T106" s="501"/>
      <c r="U106" s="501"/>
      <c r="V106" s="623"/>
      <c r="W106" s="4">
        <f t="shared" si="17"/>
        <v>0</v>
      </c>
      <c r="X106" s="111"/>
      <c r="Y106" s="121"/>
    </row>
    <row r="107" spans="1:39" customFormat="1" ht="15" customHeight="1">
      <c r="A107" s="1"/>
      <c r="B107" s="1"/>
      <c r="C107" s="2"/>
      <c r="D107" s="85" t="str">
        <f xml:space="preserve"> '2.1 Model setup'!K77</f>
        <v>3.1 Generel administration</v>
      </c>
      <c r="E107" s="1"/>
      <c r="F107" s="102"/>
      <c r="G107" s="102"/>
      <c r="H107" s="102"/>
      <c r="I107" s="102"/>
      <c r="J107" s="102"/>
      <c r="K107" s="87" t="str">
        <f t="shared" si="15"/>
        <v>DKKt</v>
      </c>
      <c r="L107" s="85"/>
      <c r="M107" s="119"/>
      <c r="N107" s="290"/>
      <c r="O107" s="501"/>
      <c r="P107" s="501"/>
      <c r="Q107" s="501"/>
      <c r="R107" s="501"/>
      <c r="S107" s="501"/>
      <c r="T107" s="501"/>
      <c r="U107" s="501"/>
      <c r="V107" s="623"/>
      <c r="W107" s="4">
        <f t="shared" si="17"/>
        <v>0</v>
      </c>
      <c r="X107" s="111"/>
      <c r="Y107" s="121"/>
    </row>
    <row r="108" spans="1:39" customFormat="1" ht="15" customHeight="1">
      <c r="A108" s="1"/>
      <c r="B108" s="1"/>
      <c r="C108" s="2"/>
      <c r="D108" s="85" t="str">
        <f xml:space="preserve"> '2.1 Model setup'!K78</f>
        <v>4.1 Omkostninger vedrørende nettab i transformerstationer</v>
      </c>
      <c r="E108" s="1"/>
      <c r="F108" s="102"/>
      <c r="G108" s="102"/>
      <c r="H108" s="102"/>
      <c r="I108" s="102"/>
      <c r="J108" s="102"/>
      <c r="K108" s="87" t="str">
        <f t="shared" si="15"/>
        <v>DKKt</v>
      </c>
      <c r="L108" s="85">
        <f xml:space="preserve"> ( --  ( COUNTIF( N108:W108, "&lt;0" ) &gt; 0 ) ) +  -- ( COUNTIF( N108:W108, "*" ) &gt; 0 )</f>
        <v>0</v>
      </c>
      <c r="M108" s="161">
        <f xml:space="preserve"> -- ( IF( $N$20 = '2.1 Model setup'!K145, ( OR( N108 = 0, N108 = "" ) ), 0 ) )</f>
        <v>0</v>
      </c>
      <c r="N108" s="366"/>
      <c r="O108" s="501"/>
      <c r="P108" s="501"/>
      <c r="Q108" s="501"/>
      <c r="R108" s="620"/>
      <c r="S108" s="130"/>
      <c r="T108" s="501"/>
      <c r="U108" s="501"/>
      <c r="V108" s="623"/>
      <c r="W108" s="4">
        <f t="shared" ref="W108:W109" si="18" xml:space="preserve"> N108 - SUM( O108:V108 )</f>
        <v>0</v>
      </c>
      <c r="X108" s="111"/>
      <c r="Y108" s="121"/>
    </row>
    <row r="109" spans="1:39" customFormat="1" ht="15" customHeight="1">
      <c r="A109" s="1"/>
      <c r="B109" s="1"/>
      <c r="C109" s="2"/>
      <c r="D109" s="85" t="str">
        <f xml:space="preserve"> '2.1 Model setup'!K79</f>
        <v>4.2 Omkostninger vedrørende nettab i ledningsnettet</v>
      </c>
      <c r="E109" s="1"/>
      <c r="F109" s="102"/>
      <c r="G109" s="102"/>
      <c r="H109" s="102"/>
      <c r="I109" s="102"/>
      <c r="J109" s="102"/>
      <c r="K109" s="87" t="str">
        <f t="shared" si="15"/>
        <v>DKKt</v>
      </c>
      <c r="L109" s="85">
        <f xml:space="preserve"> ( --  ( COUNTIF( N109:W109, "&lt;0" ) &gt; 0 ) ) +  -- ( COUNTIF( N109:W109, "*" ) &gt; 0 )</f>
        <v>0</v>
      </c>
      <c r="M109" s="119">
        <f xml:space="preserve"> -- ( IF( $N$21 = '2.1 Model setup'!K145, ( OR( N109 = 0, N109 = "" ) ), 0 ) )</f>
        <v>0</v>
      </c>
      <c r="N109" s="366"/>
      <c r="O109" s="501"/>
      <c r="P109" s="501"/>
      <c r="Q109" s="501"/>
      <c r="R109" s="286"/>
      <c r="S109" s="286"/>
      <c r="T109" s="130"/>
      <c r="U109" s="501"/>
      <c r="V109" s="623"/>
      <c r="W109" s="4">
        <f t="shared" si="18"/>
        <v>0</v>
      </c>
      <c r="X109" s="111"/>
      <c r="Y109" s="121"/>
    </row>
    <row r="110" spans="1:39" customFormat="1" ht="15" customHeight="1">
      <c r="A110" s="1"/>
      <c r="B110" s="1"/>
      <c r="C110" s="2"/>
      <c r="D110" s="85" t="str">
        <f xml:space="preserve"> '2.1 Model setup'!K88</f>
        <v>5.1 Omkostninger til overliggende net ifm. indfødning</v>
      </c>
      <c r="E110" s="1"/>
      <c r="F110" s="102"/>
      <c r="G110" s="102"/>
      <c r="H110" s="102"/>
      <c r="I110" s="102"/>
      <c r="J110" s="102"/>
      <c r="K110" s="87" t="str">
        <f t="shared" si="15"/>
        <v>DKKt</v>
      </c>
      <c r="L110" s="85">
        <f xml:space="preserve"> ( --  ( COUNTIF( N110:W110, "&lt;0" ) &gt; 0 ) ) +  -- ( COUNTIF( N110:W110, "*" ) &gt; 0 )</f>
        <v>0</v>
      </c>
      <c r="M110" s="119">
        <f xml:space="preserve"> -- ( OR( N110 = 0, N110 = "" ) )</f>
        <v>1</v>
      </c>
      <c r="N110" s="366"/>
      <c r="O110" s="501"/>
      <c r="P110" s="501"/>
      <c r="Q110" s="501"/>
      <c r="R110" s="501"/>
      <c r="S110" s="501"/>
      <c r="T110" s="501"/>
      <c r="U110" s="501"/>
      <c r="V110" s="501"/>
      <c r="W110" s="531">
        <f t="shared" ref="W110:W114" si="19" xml:space="preserve"> N110 - SUM( O110:V110 )</f>
        <v>0</v>
      </c>
      <c r="X110" s="111"/>
      <c r="Y110" s="121"/>
    </row>
    <row r="111" spans="1:39" customFormat="1" ht="15" customHeight="1">
      <c r="A111" s="1"/>
      <c r="B111" s="1"/>
      <c r="C111" s="2"/>
      <c r="D111" s="85" t="str">
        <f xml:space="preserve"> '2.1 Model setup'!K81</f>
        <v>5.2 Øvrige omkostninger</v>
      </c>
      <c r="E111" s="1"/>
      <c r="F111" s="102"/>
      <c r="G111" s="102"/>
      <c r="H111" s="102"/>
      <c r="I111" s="102"/>
      <c r="J111" s="102"/>
      <c r="K111" s="87" t="str">
        <f t="shared" si="15"/>
        <v>DKKt</v>
      </c>
      <c r="L111" s="85"/>
      <c r="M111" s="119"/>
      <c r="N111" s="290"/>
      <c r="O111" s="501"/>
      <c r="P111" s="501"/>
      <c r="Q111" s="501"/>
      <c r="R111" s="501"/>
      <c r="S111" s="501"/>
      <c r="T111" s="501"/>
      <c r="U111" s="501"/>
      <c r="V111" s="501"/>
      <c r="W111" s="531">
        <f t="shared" si="19"/>
        <v>0</v>
      </c>
      <c r="X111" s="111"/>
      <c r="Y111" s="121"/>
    </row>
    <row r="112" spans="1:39" customFormat="1" ht="15" customHeight="1">
      <c r="A112" s="1"/>
      <c r="B112" s="1"/>
      <c r="C112" s="2"/>
      <c r="D112" s="85" t="str">
        <f xml:space="preserve"> '2.1 Model setup'!K82</f>
        <v>6.1 Afskrivninger på transformerstationer</v>
      </c>
      <c r="E112" s="1"/>
      <c r="F112" s="102"/>
      <c r="G112" s="102"/>
      <c r="H112" s="102"/>
      <c r="I112" s="102"/>
      <c r="J112" s="102"/>
      <c r="K112" s="87" t="str">
        <f t="shared" si="15"/>
        <v>DKKt</v>
      </c>
      <c r="L112" s="85"/>
      <c r="M112" s="119"/>
      <c r="N112" s="290"/>
      <c r="O112" s="501"/>
      <c r="P112" s="501"/>
      <c r="Q112" s="501"/>
      <c r="R112" s="501"/>
      <c r="S112" s="501"/>
      <c r="T112" s="501"/>
      <c r="U112" s="501"/>
      <c r="V112" s="501"/>
      <c r="W112" s="531">
        <f t="shared" si="19"/>
        <v>0</v>
      </c>
      <c r="X112" s="111"/>
      <c r="Y112" s="121"/>
    </row>
    <row r="113" spans="1:39" customFormat="1" ht="15" customHeight="1">
      <c r="A113" s="1"/>
      <c r="B113" s="1"/>
      <c r="C113" s="2"/>
      <c r="D113" s="85" t="str">
        <f xml:space="preserve"> '2.1 Model setup'!K83</f>
        <v>6.2 Afskrivninger på netaktiver ekskl. målere og transformerstationer</v>
      </c>
      <c r="E113" s="1"/>
      <c r="F113" s="102"/>
      <c r="G113" s="102"/>
      <c r="H113" s="102"/>
      <c r="I113" s="102"/>
      <c r="J113" s="102"/>
      <c r="K113" s="87" t="str">
        <f t="shared" si="15"/>
        <v>DKKt</v>
      </c>
      <c r="L113" s="85"/>
      <c r="M113" s="119"/>
      <c r="N113" s="290"/>
      <c r="O113" s="501"/>
      <c r="P113" s="501"/>
      <c r="Q113" s="501"/>
      <c r="R113" s="501"/>
      <c r="S113" s="501"/>
      <c r="T113" s="501"/>
      <c r="U113" s="501"/>
      <c r="V113" s="501"/>
      <c r="W113" s="531">
        <f t="shared" si="19"/>
        <v>0</v>
      </c>
      <c r="X113" s="111"/>
      <c r="Y113" s="121"/>
    </row>
    <row r="114" spans="1:39" customFormat="1" ht="15" customHeight="1">
      <c r="A114" s="1"/>
      <c r="B114" s="1"/>
      <c r="C114" s="2"/>
      <c r="D114" s="85" t="str">
        <f xml:space="preserve"> '2.1 Model setup'!K84</f>
        <v>6.3 Afskrivninger på målere</v>
      </c>
      <c r="E114" s="1"/>
      <c r="F114" s="102"/>
      <c r="G114" s="102"/>
      <c r="H114" s="102"/>
      <c r="I114" s="102"/>
      <c r="J114" s="102"/>
      <c r="K114" s="87" t="str">
        <f t="shared" si="15"/>
        <v>DKKt</v>
      </c>
      <c r="L114" s="85"/>
      <c r="M114" s="119"/>
      <c r="N114" s="290"/>
      <c r="O114" s="503"/>
      <c r="P114" s="501"/>
      <c r="Q114" s="501"/>
      <c r="R114" s="501"/>
      <c r="S114" s="501"/>
      <c r="T114" s="501"/>
      <c r="U114" s="501"/>
      <c r="V114" s="501"/>
      <c r="W114" s="532">
        <f t="shared" si="19"/>
        <v>0</v>
      </c>
      <c r="X114" s="111"/>
      <c r="Y114" s="121"/>
    </row>
    <row r="115" spans="1:39" customFormat="1" ht="15" customHeight="1">
      <c r="A115" s="1"/>
      <c r="B115" s="1"/>
      <c r="C115" s="2"/>
      <c r="D115" s="105" t="s">
        <v>16</v>
      </c>
      <c r="E115" s="33"/>
      <c r="F115" s="96"/>
      <c r="G115" s="96"/>
      <c r="H115" s="96"/>
      <c r="I115" s="96"/>
      <c r="J115" s="96"/>
      <c r="K115" s="106" t="str">
        <f t="shared" si="15"/>
        <v>DKKt</v>
      </c>
      <c r="L115" s="90">
        <f xml:space="preserve">  -- ( IF( N33 = 0, 0, ( N74 + N115 ) &gt; N33 ) )</f>
        <v>0</v>
      </c>
      <c r="M115" s="139"/>
      <c r="N115" s="361">
        <f t="shared" ref="N115" si="20" xml:space="preserve"> SUM( N100:N114 )</f>
        <v>0</v>
      </c>
      <c r="O115" s="361">
        <f xml:space="preserve"> SUM( O100:O114 )</f>
        <v>0</v>
      </c>
      <c r="P115" s="361">
        <f xml:space="preserve"> SUM( P100:P114 )</f>
        <v>0</v>
      </c>
      <c r="Q115" s="271"/>
      <c r="R115" s="599">
        <f t="shared" ref="R115:T115" si="21" xml:space="preserve"> SUM( R100:R114 )</f>
        <v>0</v>
      </c>
      <c r="S115" s="361">
        <f t="shared" si="21"/>
        <v>0</v>
      </c>
      <c r="T115" s="361">
        <f t="shared" si="21"/>
        <v>0</v>
      </c>
      <c r="U115" s="271"/>
      <c r="V115" s="271"/>
      <c r="W115" s="35">
        <f t="shared" ref="W115" si="22" xml:space="preserve"> SUM( W100:W114 )</f>
        <v>0</v>
      </c>
      <c r="X115" s="111"/>
      <c r="Y115" s="121"/>
    </row>
    <row r="116" spans="1:39" customFormat="1" ht="15" customHeight="1">
      <c r="A116" s="1"/>
      <c r="B116" s="1"/>
      <c r="C116" s="2"/>
      <c r="D116" s="88"/>
      <c r="E116" s="1"/>
      <c r="F116" s="102"/>
      <c r="G116" s="102"/>
      <c r="H116" s="102"/>
      <c r="I116" s="102"/>
      <c r="J116" s="102"/>
      <c r="K116" s="114"/>
      <c r="L116" s="85"/>
      <c r="M116" s="524"/>
      <c r="N116" s="524"/>
      <c r="O116" s="4"/>
      <c r="P116" s="4"/>
      <c r="Q116" s="4"/>
      <c r="R116" s="4"/>
      <c r="S116" s="4"/>
      <c r="T116" s="4"/>
      <c r="U116" s="4"/>
      <c r="V116" s="4"/>
      <c r="W116" s="4"/>
      <c r="X116" s="111"/>
      <c r="Y116" s="121"/>
    </row>
    <row r="117" spans="1:39" customFormat="1" ht="15" customHeight="1">
      <c r="A117" s="1"/>
      <c r="B117" s="1"/>
      <c r="C117" s="2"/>
      <c r="D117" s="97" t="s">
        <v>49</v>
      </c>
      <c r="E117" s="27"/>
      <c r="F117" s="86"/>
      <c r="G117" s="86"/>
      <c r="H117" s="86"/>
      <c r="I117" s="86"/>
      <c r="J117" s="86"/>
      <c r="K117" s="98"/>
      <c r="L117" s="99"/>
      <c r="M117" s="85"/>
      <c r="N117" s="107" t="s">
        <v>16</v>
      </c>
      <c r="O117" s="107"/>
      <c r="P117" s="107"/>
      <c r="Q117" s="107"/>
      <c r="R117" s="1"/>
      <c r="S117" s="1"/>
      <c r="T117" s="1"/>
      <c r="U117" s="1"/>
      <c r="V117" s="1"/>
      <c r="W117" s="89" t="s">
        <v>183</v>
      </c>
      <c r="X117" s="89"/>
      <c r="Y117" s="121"/>
      <c r="AC117" s="108"/>
      <c r="AM117" s="109"/>
    </row>
    <row r="118" spans="1:39" customFormat="1" ht="15" customHeight="1">
      <c r="A118" s="1"/>
      <c r="B118" s="1"/>
      <c r="C118" s="2"/>
      <c r="D118" s="85" t="str">
        <f>'2.1 Model setup'!K70</f>
        <v>1.1 Drift og vedligeholdelse af transformerstationer</v>
      </c>
      <c r="E118" s="1"/>
      <c r="F118" s="100"/>
      <c r="G118" s="100"/>
      <c r="H118" s="100"/>
      <c r="I118" s="100"/>
      <c r="J118" s="100"/>
      <c r="K118" s="87" t="str">
        <f t="shared" ref="K118:K123" si="23" xml:space="preserve"> Model.Units</f>
        <v>DKKt</v>
      </c>
      <c r="L118" s="85"/>
      <c r="M118" s="142"/>
      <c r="N118" s="613">
        <f xml:space="preserve"> IF( $N$18 = '2.1 Model setup'!K144, 'Hjælpeark, fall-back-metoden'!N198, N100 )</f>
        <v>0</v>
      </c>
      <c r="O118" s="502"/>
      <c r="P118" s="502"/>
      <c r="Q118" s="502"/>
      <c r="R118" s="307"/>
      <c r="S118" s="548">
        <f xml:space="preserve"> IF( $N$18 = '2.1 Model setup'!K144, 'Hjælpeark, fall-back-metoden'!S198, S100 )</f>
        <v>0</v>
      </c>
      <c r="T118" s="502"/>
      <c r="U118" s="502"/>
      <c r="V118" s="502"/>
      <c r="W118" s="18">
        <f xml:space="preserve"> N118 - SUM( O118:V118 )</f>
        <v>0</v>
      </c>
      <c r="X118" s="111"/>
      <c r="Y118" s="121"/>
    </row>
    <row r="119" spans="1:39" customFormat="1" ht="15" customHeight="1">
      <c r="A119" s="1"/>
      <c r="B119" s="1"/>
      <c r="C119" s="2"/>
      <c r="D119" s="85" t="str">
        <f>'2.1 Model setup'!K71</f>
        <v>1.2 Drift og vedligeholdelse af ledningsnet</v>
      </c>
      <c r="E119" s="1"/>
      <c r="F119" s="102"/>
      <c r="G119" s="102"/>
      <c r="H119" s="102"/>
      <c r="I119" s="102"/>
      <c r="J119" s="102"/>
      <c r="K119" s="87" t="str">
        <f t="shared" si="23"/>
        <v>DKKt</v>
      </c>
      <c r="L119" s="85"/>
      <c r="M119" s="119"/>
      <c r="N119" s="609">
        <f xml:space="preserve"> IF( $N$19 = '2.1 Model setup'!K144, 'Hjælpeark, fall-back-metoden'!N199, N101 )</f>
        <v>0</v>
      </c>
      <c r="O119" s="501"/>
      <c r="P119" s="501"/>
      <c r="Q119" s="501"/>
      <c r="R119" s="612">
        <f xml:space="preserve"> IF( $N$19 = '2.1 Model setup'!K144, 'Hjælpeark, fall-back-metoden'!R199, R101 )</f>
        <v>0</v>
      </c>
      <c r="S119" s="610">
        <f xml:space="preserve"> IF( $N$19 = '2.1 Model setup'!K144, 'Hjælpeark, fall-back-metoden'!S199, S101 )</f>
        <v>0</v>
      </c>
      <c r="T119" s="610">
        <f xml:space="preserve"> IF( $N$19 = '2.1 Model setup'!K144, 'Hjælpeark, fall-back-metoden'!T199, T101 )</f>
        <v>0</v>
      </c>
      <c r="U119" s="501"/>
      <c r="V119" s="501"/>
      <c r="W119" s="4">
        <f t="shared" ref="W119:W132" si="24" xml:space="preserve"> N119 - SUM( O119:V119 )</f>
        <v>0</v>
      </c>
      <c r="X119" s="111"/>
      <c r="Y119" s="121"/>
    </row>
    <row r="120" spans="1:39" customFormat="1" ht="15" customHeight="1">
      <c r="A120" s="1"/>
      <c r="B120" s="1"/>
      <c r="C120" s="2"/>
      <c r="D120" s="85" t="str">
        <f>'2.1 Model setup'!K72</f>
        <v>1.3 Øvrige omkostninger til drift, styring og kontrol af elnettet</v>
      </c>
      <c r="E120" s="1"/>
      <c r="F120" s="102"/>
      <c r="G120" s="102"/>
      <c r="H120" s="102"/>
      <c r="I120" s="102"/>
      <c r="J120" s="102"/>
      <c r="K120" s="87" t="str">
        <f t="shared" si="23"/>
        <v>DKKt</v>
      </c>
      <c r="L120" s="85"/>
      <c r="M120" s="119"/>
      <c r="N120" s="610"/>
      <c r="O120" s="501"/>
      <c r="P120" s="501"/>
      <c r="Q120" s="501"/>
      <c r="R120" s="501"/>
      <c r="S120" s="501"/>
      <c r="T120" s="501"/>
      <c r="U120" s="501"/>
      <c r="V120" s="501"/>
      <c r="W120" s="4">
        <f t="shared" si="24"/>
        <v>0</v>
      </c>
      <c r="X120" s="111"/>
      <c r="Y120" s="121"/>
    </row>
    <row r="121" spans="1:39" customFormat="1" ht="15" customHeight="1">
      <c r="A121" s="1"/>
      <c r="B121" s="1"/>
      <c r="C121" s="2"/>
      <c r="D121" s="85" t="str">
        <f>'2.1 Model setup'!K73</f>
        <v>1.4 Omkostninger vedrørende 132-150/30-60 kV-stationer</v>
      </c>
      <c r="E121" s="1"/>
      <c r="F121" s="102"/>
      <c r="G121" s="102"/>
      <c r="H121" s="102"/>
      <c r="I121" s="102"/>
      <c r="J121" s="102"/>
      <c r="K121" s="87" t="str">
        <f t="shared" si="23"/>
        <v>DKKt</v>
      </c>
      <c r="L121" s="85"/>
      <c r="M121" s="119"/>
      <c r="N121" s="609">
        <f>N103</f>
        <v>0</v>
      </c>
      <c r="O121" s="526">
        <f>O103</f>
        <v>0</v>
      </c>
      <c r="P121" s="526">
        <f>P103</f>
        <v>0</v>
      </c>
      <c r="Q121" s="501"/>
      <c r="R121" s="501"/>
      <c r="S121" s="501"/>
      <c r="T121" s="501"/>
      <c r="U121" s="501"/>
      <c r="V121" s="501"/>
      <c r="W121" s="4">
        <f t="shared" si="24"/>
        <v>0</v>
      </c>
      <c r="X121" s="111"/>
      <c r="Y121" s="121"/>
    </row>
    <row r="122" spans="1:39" customFormat="1" ht="15" customHeight="1">
      <c r="A122" s="1"/>
      <c r="B122" s="1"/>
      <c r="C122" s="2"/>
      <c r="D122" s="85" t="str">
        <f>'2.1 Model setup'!K74</f>
        <v>2.1 Drift og vedligeholdelse af målere</v>
      </c>
      <c r="E122" s="1"/>
      <c r="F122" s="102"/>
      <c r="G122" s="102"/>
      <c r="H122" s="102"/>
      <c r="I122" s="102"/>
      <c r="J122" s="102"/>
      <c r="K122" s="87" t="str">
        <f t="shared" si="23"/>
        <v>DKKt</v>
      </c>
      <c r="L122" s="85"/>
      <c r="M122" s="119"/>
      <c r="N122" s="610"/>
      <c r="O122" s="501"/>
      <c r="P122" s="501"/>
      <c r="Q122" s="501"/>
      <c r="R122" s="501"/>
      <c r="S122" s="501"/>
      <c r="T122" s="501"/>
      <c r="U122" s="501"/>
      <c r="V122" s="501"/>
      <c r="W122" s="4">
        <f t="shared" si="24"/>
        <v>0</v>
      </c>
      <c r="X122" s="111"/>
      <c r="Y122" s="121"/>
    </row>
    <row r="123" spans="1:39" customFormat="1" ht="15" customHeight="1">
      <c r="A123" s="1"/>
      <c r="B123" s="1"/>
      <c r="C123" s="2"/>
      <c r="D123" s="85" t="str">
        <f>'2.1 Model setup'!K75</f>
        <v>2.2 Indhentning og validering af målerdata</v>
      </c>
      <c r="E123" s="1"/>
      <c r="F123" s="102"/>
      <c r="G123" s="102"/>
      <c r="H123" s="102"/>
      <c r="I123" s="102"/>
      <c r="J123" s="102"/>
      <c r="K123" s="87" t="str">
        <f t="shared" si="23"/>
        <v>DKKt</v>
      </c>
      <c r="L123" s="85"/>
      <c r="M123" s="119"/>
      <c r="N123" s="610"/>
      <c r="O123" s="501"/>
      <c r="P123" s="501"/>
      <c r="Q123" s="501"/>
      <c r="R123" s="501"/>
      <c r="S123" s="501"/>
      <c r="T123" s="501"/>
      <c r="U123" s="501"/>
      <c r="V123" s="501"/>
      <c r="W123" s="4">
        <f t="shared" si="24"/>
        <v>0</v>
      </c>
      <c r="X123" s="111"/>
      <c r="Y123" s="121"/>
    </row>
    <row r="124" spans="1:39" customFormat="1" ht="15" customHeight="1">
      <c r="A124" s="1"/>
      <c r="B124" s="1"/>
      <c r="C124" s="2"/>
      <c r="D124" s="85" t="str">
        <f>'2.1 Model setup'!K76</f>
        <v>2.3 Måleradministration og kundehåndtering</v>
      </c>
      <c r="E124" s="1"/>
      <c r="F124" s="102"/>
      <c r="G124" s="102"/>
      <c r="H124" s="102"/>
      <c r="I124" s="102"/>
      <c r="J124" s="102"/>
      <c r="K124" s="87" t="str">
        <f t="shared" ref="K124:K132" si="25" xml:space="preserve"> Model.Units</f>
        <v>DKKt</v>
      </c>
      <c r="L124" s="85"/>
      <c r="M124" s="119"/>
      <c r="N124" s="610"/>
      <c r="O124" s="501"/>
      <c r="P124" s="501"/>
      <c r="Q124" s="501"/>
      <c r="R124" s="501"/>
      <c r="S124" s="501"/>
      <c r="T124" s="501"/>
      <c r="U124" s="501"/>
      <c r="V124" s="501"/>
      <c r="W124" s="4">
        <f xml:space="preserve"> N124 - SUM( O124:V124 )</f>
        <v>0</v>
      </c>
      <c r="X124" s="111"/>
      <c r="Y124" s="121"/>
    </row>
    <row r="125" spans="1:39" customFormat="1" ht="15" customHeight="1">
      <c r="A125" s="1"/>
      <c r="B125" s="1"/>
      <c r="C125" s="2"/>
      <c r="D125" s="85" t="str">
        <f>'2.1 Model setup'!K77</f>
        <v>3.1 Generel administration</v>
      </c>
      <c r="E125" s="1"/>
      <c r="F125" s="102"/>
      <c r="G125" s="102"/>
      <c r="H125" s="102"/>
      <c r="I125" s="102"/>
      <c r="J125" s="102"/>
      <c r="K125" s="87" t="str">
        <f t="shared" si="25"/>
        <v>DKKt</v>
      </c>
      <c r="L125" s="85"/>
      <c r="M125" s="119"/>
      <c r="N125" s="610"/>
      <c r="O125" s="501"/>
      <c r="P125" s="501"/>
      <c r="Q125" s="501"/>
      <c r="R125" s="501"/>
      <c r="S125" s="501"/>
      <c r="T125" s="501"/>
      <c r="U125" s="501"/>
      <c r="V125" s="501"/>
      <c r="W125" s="4">
        <f t="shared" si="24"/>
        <v>0</v>
      </c>
      <c r="X125" s="111"/>
      <c r="Y125" s="121"/>
    </row>
    <row r="126" spans="1:39" customFormat="1" ht="15" customHeight="1">
      <c r="A126" s="1"/>
      <c r="B126" s="1"/>
      <c r="C126" s="2"/>
      <c r="D126" s="85" t="str">
        <f>'2.1 Model setup'!K78</f>
        <v>4.1 Omkostninger vedrørende nettab i transformerstationer</v>
      </c>
      <c r="E126" s="1"/>
      <c r="F126" s="102"/>
      <c r="G126" s="102"/>
      <c r="H126" s="102"/>
      <c r="I126" s="102"/>
      <c r="J126" s="102"/>
      <c r="K126" s="87" t="str">
        <f t="shared" si="25"/>
        <v>DKKt</v>
      </c>
      <c r="L126" s="85"/>
      <c r="M126" s="119"/>
      <c r="N126" s="612">
        <f xml:space="preserve"> IF( $N$20 = '2.1 Model setup'!K144, 'Hjælpeark, fall-back-metoden'!N200, N108 )</f>
        <v>0</v>
      </c>
      <c r="O126" s="501"/>
      <c r="P126" s="501"/>
      <c r="Q126" s="501"/>
      <c r="R126" s="620"/>
      <c r="S126" s="526">
        <f xml:space="preserve"> IF( $N$20 = '2.1 Model setup'!K144, 'Hjælpeark, fall-back-metoden'!S200, S108 )</f>
        <v>0</v>
      </c>
      <c r="T126" s="501"/>
      <c r="U126" s="501"/>
      <c r="V126" s="501"/>
      <c r="W126" s="4">
        <f t="shared" si="24"/>
        <v>0</v>
      </c>
      <c r="X126" s="111"/>
      <c r="Y126" s="121"/>
    </row>
    <row r="127" spans="1:39" customFormat="1" ht="15" customHeight="1">
      <c r="A127" s="1"/>
      <c r="B127" s="1"/>
      <c r="C127" s="2"/>
      <c r="D127" s="85" t="str">
        <f>'2.1 Model setup'!K79</f>
        <v>4.2 Omkostninger vedrørende nettab i ledningsnettet</v>
      </c>
      <c r="E127" s="1"/>
      <c r="F127" s="102"/>
      <c r="G127" s="102"/>
      <c r="H127" s="102"/>
      <c r="I127" s="102"/>
      <c r="J127" s="102"/>
      <c r="K127" s="87" t="str">
        <f t="shared" si="25"/>
        <v>DKKt</v>
      </c>
      <c r="L127" s="85"/>
      <c r="M127" s="119"/>
      <c r="N127" s="612">
        <f xml:space="preserve"> IF( $N$21 = '2.1 Model setup'!K144, 'Hjælpeark, fall-back-metoden'!N201, N109 )</f>
        <v>0</v>
      </c>
      <c r="O127" s="501"/>
      <c r="P127" s="501"/>
      <c r="Q127" s="501"/>
      <c r="R127" s="612">
        <f xml:space="preserve"> IF( $N$21 = '2.1 Model setup'!K144, 'Hjælpeark, fall-back-metoden'!R201, R109 )</f>
        <v>0</v>
      </c>
      <c r="S127" s="610">
        <f xml:space="preserve"> IF( $N$21 = '2.1 Model setup'!K144, 'Hjælpeark, fall-back-metoden'!S201, S109 )</f>
        <v>0</v>
      </c>
      <c r="T127" s="610">
        <f xml:space="preserve"> IF( $N$21 = '2.1 Model setup'!K144, 'Hjælpeark, fall-back-metoden'!T201, T109 )</f>
        <v>0</v>
      </c>
      <c r="U127" s="501"/>
      <c r="V127" s="501"/>
      <c r="W127" s="4">
        <f t="shared" si="24"/>
        <v>0</v>
      </c>
      <c r="X127" s="111"/>
      <c r="Y127" s="121"/>
    </row>
    <row r="128" spans="1:39" customFormat="1" ht="15" customHeight="1">
      <c r="A128" s="1"/>
      <c r="B128" s="1"/>
      <c r="C128" s="2"/>
      <c r="D128" s="85" t="str">
        <f>'2.1 Model setup'!K88</f>
        <v>5.1 Omkostninger til overliggende net ifm. indfødning</v>
      </c>
      <c r="E128" s="1"/>
      <c r="F128" s="102"/>
      <c r="G128" s="102"/>
      <c r="H128" s="102"/>
      <c r="I128" s="102"/>
      <c r="J128" s="102"/>
      <c r="K128" s="87" t="str">
        <f t="shared" si="25"/>
        <v>DKKt</v>
      </c>
      <c r="L128" s="85"/>
      <c r="M128" s="119"/>
      <c r="N128" s="612">
        <f>N110</f>
        <v>0</v>
      </c>
      <c r="O128" s="501"/>
      <c r="P128" s="501"/>
      <c r="Q128" s="501"/>
      <c r="R128" s="501"/>
      <c r="S128" s="501"/>
      <c r="T128" s="501"/>
      <c r="U128" s="501"/>
      <c r="V128" s="501"/>
      <c r="W128" s="4">
        <f t="shared" si="24"/>
        <v>0</v>
      </c>
      <c r="X128" s="111"/>
      <c r="Y128" s="121"/>
    </row>
    <row r="129" spans="1:25" customFormat="1" ht="15" customHeight="1">
      <c r="A129" s="1"/>
      <c r="B129" s="1"/>
      <c r="C129" s="2"/>
      <c r="D129" s="85" t="str">
        <f>'2.1 Model setup'!K81</f>
        <v>5.2 Øvrige omkostninger</v>
      </c>
      <c r="E129" s="1"/>
      <c r="F129" s="102"/>
      <c r="G129" s="102"/>
      <c r="H129" s="102"/>
      <c r="I129" s="102"/>
      <c r="J129" s="102"/>
      <c r="K129" s="87" t="str">
        <f t="shared" si="25"/>
        <v>DKKt</v>
      </c>
      <c r="L129" s="85"/>
      <c r="M129" s="119"/>
      <c r="N129" s="610"/>
      <c r="O129" s="501"/>
      <c r="P129" s="501"/>
      <c r="Q129" s="501"/>
      <c r="R129" s="501"/>
      <c r="S129" s="501"/>
      <c r="T129" s="501"/>
      <c r="U129" s="501"/>
      <c r="V129" s="501"/>
      <c r="W129" s="4">
        <f t="shared" si="24"/>
        <v>0</v>
      </c>
      <c r="X129" s="111"/>
      <c r="Y129" s="121"/>
    </row>
    <row r="130" spans="1:25" customFormat="1" ht="15" customHeight="1">
      <c r="A130" s="1"/>
      <c r="B130" s="1"/>
      <c r="C130" s="2"/>
      <c r="D130" s="85" t="str">
        <f>'2.1 Model setup'!K82</f>
        <v>6.1 Afskrivninger på transformerstationer</v>
      </c>
      <c r="E130" s="1"/>
      <c r="F130" s="102"/>
      <c r="G130" s="102"/>
      <c r="H130" s="102"/>
      <c r="I130" s="102"/>
      <c r="J130" s="102"/>
      <c r="K130" s="87" t="str">
        <f t="shared" si="25"/>
        <v>DKKt</v>
      </c>
      <c r="L130" s="85"/>
      <c r="M130" s="119"/>
      <c r="N130" s="610"/>
      <c r="O130" s="501"/>
      <c r="P130" s="501"/>
      <c r="Q130" s="501"/>
      <c r="R130" s="501"/>
      <c r="S130" s="501"/>
      <c r="T130" s="501"/>
      <c r="U130" s="501"/>
      <c r="V130" s="501"/>
      <c r="W130" s="4">
        <f t="shared" si="24"/>
        <v>0</v>
      </c>
      <c r="X130" s="111"/>
      <c r="Y130" s="121"/>
    </row>
    <row r="131" spans="1:25" customFormat="1" ht="15" customHeight="1">
      <c r="A131" s="1"/>
      <c r="B131" s="1"/>
      <c r="C131" s="2"/>
      <c r="D131" s="85" t="str">
        <f>'2.1 Model setup'!K83</f>
        <v>6.2 Afskrivninger på netaktiver ekskl. målere og transformerstationer</v>
      </c>
      <c r="E131" s="1"/>
      <c r="F131" s="102"/>
      <c r="G131" s="102"/>
      <c r="H131" s="102"/>
      <c r="I131" s="102"/>
      <c r="J131" s="102"/>
      <c r="K131" s="87" t="str">
        <f t="shared" si="25"/>
        <v>DKKt</v>
      </c>
      <c r="L131" s="85"/>
      <c r="M131" s="119"/>
      <c r="N131" s="610"/>
      <c r="O131" s="501"/>
      <c r="P131" s="501"/>
      <c r="Q131" s="501"/>
      <c r="R131" s="501"/>
      <c r="S131" s="501"/>
      <c r="T131" s="501"/>
      <c r="U131" s="501"/>
      <c r="V131" s="501"/>
      <c r="W131" s="4">
        <f t="shared" si="24"/>
        <v>0</v>
      </c>
      <c r="X131" s="111"/>
      <c r="Y131" s="121"/>
    </row>
    <row r="132" spans="1:25" customFormat="1" ht="15" customHeight="1">
      <c r="A132" s="1"/>
      <c r="B132" s="1"/>
      <c r="C132" s="2"/>
      <c r="D132" s="85" t="str">
        <f>'2.1 Model setup'!K84</f>
        <v>6.3 Afskrivninger på målere</v>
      </c>
      <c r="E132" s="1"/>
      <c r="F132" s="102"/>
      <c r="G132" s="102"/>
      <c r="H132" s="102"/>
      <c r="I132" s="102"/>
      <c r="J132" s="102"/>
      <c r="K132" s="87" t="str">
        <f t="shared" si="25"/>
        <v>DKKt</v>
      </c>
      <c r="L132" s="85"/>
      <c r="M132" s="119"/>
      <c r="N132" s="610"/>
      <c r="O132" s="503"/>
      <c r="P132" s="501"/>
      <c r="Q132" s="501"/>
      <c r="R132" s="501"/>
      <c r="S132" s="501"/>
      <c r="T132" s="501"/>
      <c r="U132" s="501"/>
      <c r="V132" s="501"/>
      <c r="W132" s="4">
        <f t="shared" si="24"/>
        <v>0</v>
      </c>
      <c r="X132" s="111"/>
      <c r="Y132" s="121"/>
    </row>
    <row r="133" spans="1:25" customFormat="1" ht="15" customHeight="1">
      <c r="A133" s="1"/>
      <c r="B133" s="1"/>
      <c r="C133" s="2"/>
      <c r="D133" s="105" t="s">
        <v>16</v>
      </c>
      <c r="E133" s="33"/>
      <c r="F133" s="96"/>
      <c r="G133" s="96"/>
      <c r="H133" s="96"/>
      <c r="I133" s="96"/>
      <c r="J133" s="96"/>
      <c r="K133" s="106" t="str">
        <f xml:space="preserve"> Model.Units</f>
        <v>DKKt</v>
      </c>
      <c r="L133" s="90">
        <f xml:space="preserve">  -- ( IF( N51 = 0, 0, ( N92 + N133 ) &gt; N51 ) )</f>
        <v>0</v>
      </c>
      <c r="M133" s="139"/>
      <c r="N133" s="361">
        <f t="shared" ref="N133" si="26" xml:space="preserve"> SUM( N118:N132 )</f>
        <v>0</v>
      </c>
      <c r="O133" s="361">
        <f xml:space="preserve"> SUM( O118:O132 )</f>
        <v>0</v>
      </c>
      <c r="P133" s="361">
        <f xml:space="preserve"> SUM( P118:P132 )</f>
        <v>0</v>
      </c>
      <c r="Q133" s="271"/>
      <c r="R133" s="599">
        <f t="shared" ref="R133:W133" si="27" xml:space="preserve"> SUM( R118:R132 )</f>
        <v>0</v>
      </c>
      <c r="S133" s="361">
        <f t="shared" si="27"/>
        <v>0</v>
      </c>
      <c r="T133" s="361">
        <f t="shared" si="27"/>
        <v>0</v>
      </c>
      <c r="U133" s="271"/>
      <c r="V133" s="271"/>
      <c r="W133" s="361">
        <f t="shared" si="27"/>
        <v>0</v>
      </c>
      <c r="X133" s="111"/>
      <c r="Y133" s="121"/>
    </row>
    <row r="134" spans="1:25" customFormat="1" ht="15" customHeight="1">
      <c r="A134" s="1"/>
      <c r="B134" s="1"/>
      <c r="C134" s="2"/>
      <c r="D134" s="88"/>
      <c r="E134" s="1"/>
      <c r="F134" s="102"/>
      <c r="G134" s="102"/>
      <c r="H134" s="102"/>
      <c r="I134" s="102"/>
      <c r="J134" s="102"/>
      <c r="K134" s="114"/>
      <c r="L134" s="85"/>
      <c r="M134" s="119"/>
      <c r="N134" s="524"/>
      <c r="O134" s="4"/>
      <c r="P134" s="4"/>
      <c r="Q134" s="4"/>
      <c r="R134" s="566"/>
      <c r="S134" s="4"/>
      <c r="T134" s="4"/>
      <c r="U134" s="4"/>
      <c r="V134" s="4"/>
      <c r="W134" s="4"/>
      <c r="X134" s="111"/>
      <c r="Y134" s="121"/>
    </row>
    <row r="135" spans="1:25" customFormat="1" ht="15" customHeight="1">
      <c r="A135" s="1"/>
      <c r="B135" s="1"/>
      <c r="C135" s="2"/>
      <c r="D135" s="88"/>
      <c r="E135" s="1"/>
      <c r="F135" s="102"/>
      <c r="G135" s="102"/>
      <c r="H135" s="102"/>
      <c r="I135" s="102"/>
      <c r="J135" s="102"/>
      <c r="K135" s="114"/>
      <c r="L135" s="85"/>
      <c r="M135" s="119"/>
      <c r="N135" s="524"/>
      <c r="O135" s="4"/>
      <c r="P135" s="4"/>
      <c r="Q135" s="4"/>
      <c r="R135" s="4"/>
      <c r="S135" s="4"/>
      <c r="T135" s="4"/>
      <c r="U135" s="4"/>
      <c r="V135" s="4"/>
      <c r="W135" s="4"/>
      <c r="X135" s="111"/>
      <c r="Y135" s="121"/>
    </row>
    <row r="136" spans="1:25" customFormat="1" ht="15" customHeight="1" outlineLevel="1" collapsed="1">
      <c r="A136" s="1"/>
      <c r="B136" s="1"/>
      <c r="C136" s="2"/>
      <c r="D136" s="85"/>
      <c r="E136" s="1"/>
      <c r="F136" s="86"/>
      <c r="G136" s="86"/>
      <c r="H136" s="86"/>
      <c r="I136" s="86"/>
      <c r="J136" s="86"/>
      <c r="K136" s="87"/>
      <c r="L136" s="85"/>
      <c r="M136" s="85"/>
      <c r="N136" s="86"/>
      <c r="O136" s="86"/>
      <c r="P136" s="86"/>
      <c r="Q136" s="86"/>
      <c r="R136" s="1"/>
      <c r="S136" s="1"/>
      <c r="T136" s="1"/>
      <c r="U136" s="1"/>
      <c r="V136" s="1"/>
      <c r="W136" s="1"/>
      <c r="X136" s="1"/>
      <c r="Y136" s="1"/>
    </row>
    <row r="137" spans="1:25" s="475" customFormat="1" ht="15" customHeight="1" outlineLevel="1">
      <c r="B137" s="479" t="str">
        <f xml:space="preserve"> COUNTA(B$10:B136) &amp; ") Stamdata"</f>
        <v>5) Stamdata</v>
      </c>
      <c r="C137" s="477"/>
      <c r="D137" s="478"/>
      <c r="K137" s="472"/>
    </row>
    <row r="138" spans="1:25" customFormat="1" ht="15" customHeight="1" outlineLevel="1">
      <c r="A138" s="1"/>
      <c r="B138" s="1"/>
      <c r="C138" s="2"/>
      <c r="D138" s="88"/>
      <c r="E138" s="1"/>
      <c r="F138" s="107"/>
      <c r="G138" s="107"/>
      <c r="H138" s="107"/>
      <c r="I138" s="107"/>
      <c r="J138" s="107"/>
      <c r="K138" s="114"/>
      <c r="L138" s="85"/>
      <c r="M138" s="85"/>
      <c r="N138" s="107"/>
      <c r="O138" s="107"/>
      <c r="P138" s="107"/>
      <c r="Q138" s="107"/>
      <c r="R138" s="231"/>
      <c r="S138" s="1"/>
      <c r="T138" s="1"/>
      <c r="U138" s="1"/>
      <c r="V138" s="1"/>
      <c r="W138" s="1"/>
      <c r="X138" s="1"/>
      <c r="Y138" s="1"/>
    </row>
    <row r="139" spans="1:25" customFormat="1" ht="15" customHeight="1" outlineLevel="1">
      <c r="A139" s="1"/>
      <c r="B139" s="1"/>
      <c r="C139" s="2"/>
      <c r="D139" s="88" t="s">
        <v>337</v>
      </c>
      <c r="E139" s="1"/>
      <c r="F139" s="85"/>
      <c r="G139" s="85"/>
      <c r="H139" s="85"/>
      <c r="I139" s="85"/>
      <c r="J139" s="85"/>
      <c r="K139" s="87"/>
      <c r="L139" s="85"/>
      <c r="M139" s="85"/>
      <c r="N139" s="341" t="s">
        <v>16</v>
      </c>
      <c r="O139" s="362"/>
      <c r="P139" s="362"/>
      <c r="Q139" s="362"/>
      <c r="R139" s="231"/>
      <c r="S139" s="1"/>
      <c r="T139" s="1"/>
      <c r="U139" s="1"/>
      <c r="V139" s="1"/>
      <c r="W139" s="89" t="s">
        <v>16</v>
      </c>
      <c r="X139" s="89"/>
      <c r="Y139" s="260" t="s">
        <v>362</v>
      </c>
    </row>
    <row r="140" spans="1:25" customFormat="1" ht="15" customHeight="1" outlineLevel="1">
      <c r="A140" s="1"/>
      <c r="B140" s="1"/>
      <c r="C140" s="2"/>
      <c r="D140" s="123" t="s">
        <v>65</v>
      </c>
      <c r="E140" s="15"/>
      <c r="F140" s="116"/>
      <c r="G140" s="116"/>
      <c r="H140" s="116"/>
      <c r="I140" s="116"/>
      <c r="J140" s="116"/>
      <c r="K140" s="117" t="s">
        <v>3</v>
      </c>
      <c r="L140" s="123">
        <f xml:space="preserve"> -- ( COUNTIF( R140:V140, "&lt;0" ) &gt; 0 ) +  -- ( COUNTIF( R140:V140, "*" ) &gt; 0 )</f>
        <v>0</v>
      </c>
      <c r="M140" s="142">
        <f xml:space="preserve"> -- ( OR( COUNTIF( R140:V140,  "=0" ) &gt; 0, COUNTIF( R140:V140,  "" ) &gt; 0 ) )</f>
        <v>1</v>
      </c>
      <c r="N140" s="116"/>
      <c r="O140" s="15">
        <f t="shared" ref="O140:V140" si="28" xml:space="preserve"> O327</f>
        <v>0</v>
      </c>
      <c r="P140" s="537">
        <f t="shared" si="28"/>
        <v>0</v>
      </c>
      <c r="Q140" s="537">
        <f t="shared" si="28"/>
        <v>0</v>
      </c>
      <c r="R140" s="537">
        <f t="shared" si="28"/>
        <v>0</v>
      </c>
      <c r="S140" s="537">
        <f t="shared" si="28"/>
        <v>0</v>
      </c>
      <c r="T140" s="537">
        <f t="shared" si="28"/>
        <v>0</v>
      </c>
      <c r="U140" s="537">
        <f t="shared" si="28"/>
        <v>0</v>
      </c>
      <c r="V140" s="537">
        <f t="shared" si="28"/>
        <v>0</v>
      </c>
      <c r="W140" s="18">
        <f xml:space="preserve"> SUM( R140:V140 )</f>
        <v>0</v>
      </c>
      <c r="X140" s="4"/>
      <c r="Y140" s="1"/>
    </row>
    <row r="141" spans="1:25" customFormat="1" ht="7.5" customHeight="1" outlineLevel="1">
      <c r="A141" s="1"/>
      <c r="B141" s="1"/>
      <c r="C141" s="2"/>
      <c r="D141" s="85"/>
      <c r="E141" s="1"/>
      <c r="F141" s="107"/>
      <c r="G141" s="107"/>
      <c r="H141" s="107"/>
      <c r="I141" s="107"/>
      <c r="J141" s="107"/>
      <c r="K141" s="87"/>
      <c r="L141" s="85"/>
      <c r="M141" s="119"/>
      <c r="N141" s="107"/>
      <c r="O141" s="107"/>
      <c r="P141" s="107"/>
      <c r="Q141" s="107"/>
      <c r="R141" s="231"/>
      <c r="S141" s="328"/>
      <c r="T141" s="1"/>
      <c r="U141" s="328"/>
      <c r="V141" s="1"/>
      <c r="W141" s="4"/>
      <c r="X141" s="4"/>
      <c r="Y141" s="1"/>
    </row>
    <row r="142" spans="1:25" customFormat="1" ht="15" customHeight="1" outlineLevel="1">
      <c r="A142" s="1"/>
      <c r="B142" s="1"/>
      <c r="C142" s="2"/>
      <c r="D142" s="85" t="s">
        <v>23</v>
      </c>
      <c r="E142" s="1"/>
      <c r="F142" s="107"/>
      <c r="G142" s="107"/>
      <c r="H142" s="107"/>
      <c r="I142" s="107"/>
      <c r="J142" s="107"/>
      <c r="K142" s="87" t="str">
        <f xml:space="preserve"> Model.Units</f>
        <v>DKKt</v>
      </c>
      <c r="L142" s="85">
        <f xml:space="preserve"> ( --  ( COUNTIF( R142:V142, "&lt;0" ) &gt; 0 ) ) + -- ( ( ISNUMBER(R142) + ISNUMBER(T142) + ISNUMBER(V142) ) &lt;&gt; 0 ) +  -- ( COUNTIF( R142:V142, "*" ) &gt; 0 )</f>
        <v>0</v>
      </c>
      <c r="M142" s="119">
        <f xml:space="preserve"> -- ( OR( S142 = 0, U142 = 0, S142 = "", U142 = "" ) )</f>
        <v>1</v>
      </c>
      <c r="N142" s="107"/>
      <c r="O142" s="420"/>
      <c r="P142" s="420"/>
      <c r="Q142" s="420"/>
      <c r="R142" s="421"/>
      <c r="S142" s="312"/>
      <c r="T142" s="421"/>
      <c r="U142" s="288"/>
      <c r="V142" s="421"/>
      <c r="W142" s="4">
        <f xml:space="preserve"> SUM( R142:V142 )</f>
        <v>0</v>
      </c>
      <c r="X142" s="111"/>
      <c r="Y142" s="121"/>
    </row>
    <row r="143" spans="1:25" customFormat="1" ht="7.5" customHeight="1" outlineLevel="1">
      <c r="A143" s="1"/>
      <c r="B143" s="1"/>
      <c r="C143" s="2"/>
      <c r="D143" s="85"/>
      <c r="E143" s="1"/>
      <c r="F143" s="107"/>
      <c r="G143" s="107"/>
      <c r="H143" s="107"/>
      <c r="I143" s="107"/>
      <c r="J143" s="107"/>
      <c r="K143" s="87"/>
      <c r="L143" s="85"/>
      <c r="M143" s="119"/>
      <c r="N143" s="107"/>
      <c r="O143" s="107"/>
      <c r="P143" s="107"/>
      <c r="Q143" s="107"/>
      <c r="R143" s="231"/>
      <c r="S143" s="291"/>
      <c r="T143" s="291"/>
      <c r="U143" s="291"/>
      <c r="V143" s="291"/>
      <c r="W143" s="4"/>
      <c r="X143" s="111"/>
      <c r="Y143" s="121"/>
    </row>
    <row r="144" spans="1:25" customFormat="1" ht="15" customHeight="1" outlineLevel="1">
      <c r="A144" s="1"/>
      <c r="B144" s="1"/>
      <c r="C144" s="2"/>
      <c r="D144" s="85" t="s">
        <v>516</v>
      </c>
      <c r="E144" s="1"/>
      <c r="F144" s="107"/>
      <c r="G144" s="107"/>
      <c r="H144" s="107"/>
      <c r="I144" s="107"/>
      <c r="J144" s="107"/>
      <c r="K144" s="87" t="str">
        <f xml:space="preserve"> Model.Units</f>
        <v>DKKt</v>
      </c>
      <c r="L144" s="85">
        <f xml:space="preserve"> -- ( COUNTIF( R144:V144, "&lt;0" ) &gt; 0 ) +  -- ( COUNTIF( R144:V144, "*" ) &gt; 0 )</f>
        <v>0</v>
      </c>
      <c r="M144" s="119">
        <f xml:space="preserve"> -- ( OR( COUNTIF( R144:V144,  "=0" ) &gt; 0, COUNTIF( R144:V144,  "" ) &gt; 0 ) )</f>
        <v>1</v>
      </c>
      <c r="N144" s="107"/>
      <c r="O144" s="420"/>
      <c r="P144" s="420"/>
      <c r="Q144" s="420"/>
      <c r="R144" s="214"/>
      <c r="S144" s="214"/>
      <c r="T144" s="214"/>
      <c r="U144" s="289"/>
      <c r="V144" s="214"/>
      <c r="W144" s="4">
        <f xml:space="preserve"> SUM( R144:V144 )</f>
        <v>0</v>
      </c>
      <c r="X144" s="111"/>
      <c r="Y144" s="121"/>
    </row>
    <row r="145" spans="1:25" customFormat="1" ht="7.5" customHeight="1" outlineLevel="1">
      <c r="A145" s="1"/>
      <c r="B145" s="1"/>
      <c r="C145" s="2"/>
      <c r="D145" s="85"/>
      <c r="E145" s="1"/>
      <c r="F145" s="107"/>
      <c r="G145" s="107"/>
      <c r="H145" s="107"/>
      <c r="I145" s="107"/>
      <c r="J145" s="107"/>
      <c r="K145" s="87"/>
      <c r="L145" s="85"/>
      <c r="M145" s="119"/>
      <c r="N145" s="107"/>
      <c r="O145" s="107"/>
      <c r="P145" s="107"/>
      <c r="Q145" s="107"/>
      <c r="R145" s="291"/>
      <c r="S145" s="291"/>
      <c r="T145" s="291"/>
      <c r="U145" s="291"/>
      <c r="V145" s="291"/>
      <c r="W145" s="4"/>
      <c r="X145" s="111"/>
      <c r="Y145" s="121"/>
    </row>
    <row r="146" spans="1:25" customFormat="1" ht="15" customHeight="1" outlineLevel="1">
      <c r="A146" s="1"/>
      <c r="B146" s="1"/>
      <c r="C146" s="2"/>
      <c r="D146" s="85" t="s">
        <v>486</v>
      </c>
      <c r="E146" s="1"/>
      <c r="F146" s="107"/>
      <c r="G146" s="107"/>
      <c r="H146" s="107"/>
      <c r="I146" s="107"/>
      <c r="J146" s="107"/>
      <c r="K146" s="87" t="s">
        <v>41</v>
      </c>
      <c r="L146" s="85"/>
      <c r="M146" s="119"/>
      <c r="N146" s="340" t="s">
        <v>473</v>
      </c>
      <c r="O146" s="1"/>
      <c r="P146" s="1"/>
      <c r="Q146" s="1"/>
      <c r="R146" s="1"/>
      <c r="S146" s="328"/>
      <c r="T146" s="328"/>
      <c r="U146" s="328"/>
      <c r="V146" s="328"/>
      <c r="W146" s="4"/>
      <c r="X146" s="111"/>
      <c r="Y146" s="121"/>
    </row>
    <row r="147" spans="1:25" customFormat="1" ht="15" customHeight="1" outlineLevel="1">
      <c r="A147" s="1"/>
      <c r="B147" s="1"/>
      <c r="C147" s="2"/>
      <c r="D147" s="85" t="s">
        <v>21</v>
      </c>
      <c r="E147" s="1"/>
      <c r="F147" s="107"/>
      <c r="G147" s="107"/>
      <c r="H147" s="107"/>
      <c r="I147" s="107"/>
      <c r="J147" s="107"/>
      <c r="K147" s="87" t="str">
        <f xml:space="preserve"> Model.Units</f>
        <v>DKKt</v>
      </c>
      <c r="L147" s="85">
        <f xml:space="preserve"> -- ( ( COUNTIF( N147, "&lt;0" ) &gt; 0 ) + ( COUNTIF( R147:V147, "&lt;0" ) &gt; 0 ) )+  -- ( ( COUNTIF( N147, "*" ) &gt; 0 ) + ( COUNTIF( R147:V147, "*" ) &gt; 0 ) ) + -- ( ( N146 = '2.1 Model setup'!K99 ) * ( N147 &gt; 0 ) ) + -- ( ( N146 = '2.1 Model setup'!K98 ) * ( SUM( R147:V147  ) &gt; 0 ) )</f>
        <v>0</v>
      </c>
      <c r="M147" s="119">
        <f xml:space="preserve"> IF( N146 = '2.1 Model setup'!K98, -- OR( N147 = 0, N147 = "" ), -- ( OR( COUNTIF( R147:V147,  "=0" ) &gt; 0, COUNTIF( R147:V147,  "" ) &gt; 0 ) ) )</f>
        <v>1</v>
      </c>
      <c r="N147" s="336"/>
      <c r="O147" s="420"/>
      <c r="P147" s="420"/>
      <c r="Q147" s="420"/>
      <c r="R147" s="290"/>
      <c r="S147" s="130"/>
      <c r="T147" s="130"/>
      <c r="U147" s="130"/>
      <c r="V147" s="130"/>
      <c r="W147" s="4">
        <f xml:space="preserve"> IF( N146 = '2.1 Model setup'!K98, N147, SUM( R147:V147 ) )</f>
        <v>0</v>
      </c>
      <c r="X147" s="111"/>
      <c r="Y147" s="121"/>
    </row>
    <row r="148" spans="1:25" customFormat="1" ht="7.5" customHeight="1" outlineLevel="1">
      <c r="A148" s="1"/>
      <c r="B148" s="1"/>
      <c r="C148" s="2"/>
      <c r="D148" s="85"/>
      <c r="E148" s="1"/>
      <c r="F148" s="107"/>
      <c r="G148" s="107"/>
      <c r="H148" s="107"/>
      <c r="I148" s="107"/>
      <c r="J148" s="107"/>
      <c r="K148" s="87"/>
      <c r="L148" s="85"/>
      <c r="M148" s="119"/>
      <c r="N148" s="1"/>
      <c r="O148" s="1"/>
      <c r="P148" s="1"/>
      <c r="Q148" s="1"/>
      <c r="R148" s="328"/>
      <c r="S148" s="328"/>
      <c r="T148" s="328"/>
      <c r="U148" s="328"/>
      <c r="V148" s="328"/>
      <c r="W148" s="4"/>
      <c r="X148" s="111"/>
      <c r="Y148" s="121"/>
    </row>
    <row r="149" spans="1:25" customFormat="1" ht="15" customHeight="1" outlineLevel="1">
      <c r="A149" s="1"/>
      <c r="B149" s="1"/>
      <c r="C149" s="2"/>
      <c r="D149" s="99" t="s">
        <v>508</v>
      </c>
      <c r="E149" s="35"/>
      <c r="F149" s="115"/>
      <c r="G149" s="115"/>
      <c r="H149" s="115"/>
      <c r="I149" s="115"/>
      <c r="J149" s="115"/>
      <c r="K149" s="98" t="str">
        <f>Model.Units2</f>
        <v>kWh</v>
      </c>
      <c r="L149" s="99">
        <f xml:space="preserve"> -- ( COUNTIF( R149:V149, "&lt;0" ) &gt; 0 ) +  -- ( COUNTIF( R149:V149, "*" ) &gt; 0 )</f>
        <v>0</v>
      </c>
      <c r="M149" s="151">
        <f xml:space="preserve"> -- ( OR( COUNTIF( R149:V149,  "=0" ) &gt; 0, COUNTIF( R149:V149,  "" ) &gt; 0 ) )</f>
        <v>1</v>
      </c>
      <c r="N149" s="115"/>
      <c r="O149" s="422"/>
      <c r="P149" s="422"/>
      <c r="Q149" s="422"/>
      <c r="R149" s="27">
        <f xml:space="preserve"> R298</f>
        <v>0</v>
      </c>
      <c r="S149" s="27">
        <f t="shared" ref="S149:V149" si="29" xml:space="preserve"> S298</f>
        <v>0</v>
      </c>
      <c r="T149" s="27">
        <f t="shared" si="29"/>
        <v>0</v>
      </c>
      <c r="U149" s="27">
        <f t="shared" si="29"/>
        <v>0</v>
      </c>
      <c r="V149" s="27">
        <f t="shared" si="29"/>
        <v>0</v>
      </c>
      <c r="W149" s="35">
        <f xml:space="preserve"> SUM( R149:V149 )</f>
        <v>0</v>
      </c>
      <c r="X149" s="111"/>
      <c r="Y149" s="121"/>
    </row>
    <row r="150" spans="1:25" customFormat="1" ht="15" customHeight="1" outlineLevel="1">
      <c r="A150" s="1"/>
      <c r="B150" s="1"/>
      <c r="C150" s="2"/>
      <c r="D150" s="88"/>
      <c r="E150" s="1"/>
      <c r="F150" s="107"/>
      <c r="G150" s="107"/>
      <c r="H150" s="107"/>
      <c r="I150" s="107"/>
      <c r="J150" s="107"/>
      <c r="K150" s="114"/>
      <c r="L150" s="85"/>
      <c r="M150" s="85"/>
      <c r="N150" s="107"/>
      <c r="O150" s="107"/>
      <c r="P150" s="107"/>
      <c r="Q150" s="107"/>
      <c r="R150" s="1"/>
      <c r="S150" s="1"/>
      <c r="T150" s="1"/>
      <c r="U150" s="1"/>
      <c r="V150" s="1"/>
      <c r="W150" s="1"/>
      <c r="X150" s="1"/>
      <c r="Y150" s="1"/>
    </row>
    <row r="151" spans="1:25" customFormat="1" ht="15" customHeight="1" outlineLevel="1">
      <c r="A151" s="1"/>
      <c r="B151" s="1"/>
      <c r="C151" s="2"/>
      <c r="D151" s="97" t="s">
        <v>338</v>
      </c>
      <c r="E151" s="27"/>
      <c r="F151" s="99"/>
      <c r="G151" s="99"/>
      <c r="H151" s="99"/>
      <c r="I151" s="99"/>
      <c r="J151" s="99"/>
      <c r="K151" s="98"/>
      <c r="L151" s="99"/>
      <c r="M151" s="99"/>
      <c r="N151" s="342" t="s">
        <v>559</v>
      </c>
      <c r="O151" s="504"/>
      <c r="P151" s="504"/>
      <c r="Q151" s="504"/>
      <c r="R151" s="27"/>
      <c r="S151" s="27"/>
      <c r="T151" s="27"/>
      <c r="U151" s="27"/>
      <c r="V151" s="27"/>
      <c r="W151" s="185"/>
      <c r="X151" s="89"/>
      <c r="Y151" s="121"/>
    </row>
    <row r="152" spans="1:25" customFormat="1" ht="15" customHeight="1" outlineLevel="1">
      <c r="A152" s="1"/>
      <c r="B152" s="1"/>
      <c r="C152" s="2"/>
      <c r="D152" s="132" t="s">
        <v>434</v>
      </c>
      <c r="E152" s="1"/>
      <c r="F152" s="85"/>
      <c r="G152" s="85"/>
      <c r="H152" s="85"/>
      <c r="I152" s="85"/>
      <c r="J152" s="85"/>
      <c r="K152" s="293" t="s">
        <v>3</v>
      </c>
      <c r="L152" s="85"/>
      <c r="M152" s="85"/>
      <c r="N152" s="132"/>
      <c r="O152" s="505"/>
      <c r="P152" s="505"/>
      <c r="Q152" s="505"/>
      <c r="R152" s="20">
        <f xml:space="preserve"> '2.2 Generelle input'!R45</f>
        <v>15</v>
      </c>
      <c r="S152" s="20">
        <f xml:space="preserve"> '2.2 Generelle input'!S45</f>
        <v>15</v>
      </c>
      <c r="T152" s="20">
        <f xml:space="preserve"> '2.2 Generelle input'!T45</f>
        <v>15</v>
      </c>
      <c r="U152" s="20">
        <f xml:space="preserve"> '2.2 Generelle input'!U45</f>
        <v>15</v>
      </c>
      <c r="V152" s="20">
        <f xml:space="preserve"> '2.2 Generelle input'!V45</f>
        <v>15</v>
      </c>
      <c r="W152" s="89"/>
      <c r="X152" s="89"/>
      <c r="Y152" s="121"/>
    </row>
    <row r="153" spans="1:25" customFormat="1" ht="15" customHeight="1" outlineLevel="1">
      <c r="A153" s="1"/>
      <c r="B153" s="1"/>
      <c r="C153" s="2"/>
      <c r="D153" s="85" t="s">
        <v>17</v>
      </c>
      <c r="E153" s="1"/>
      <c r="F153" s="107"/>
      <c r="G153" s="107"/>
      <c r="H153" s="107"/>
      <c r="I153" s="107"/>
      <c r="J153" s="107"/>
      <c r="K153" s="87" t="s">
        <v>3</v>
      </c>
      <c r="L153" s="85">
        <f xml:space="preserve">  ( N153 = '2.1 Model setup'!$K$41 ) * (-- ( COUNTIF( R153:V153, "&lt;0" ) &gt; 0 ) +  -- ( COUNTIF( R153:V153, "*" ) &gt; 0 ) )</f>
        <v>0</v>
      </c>
      <c r="M153" s="119">
        <f xml:space="preserve"> -- ( ( N153 = '2.1 Model setup'!$K$41 ) * ( OR( COUNTIF( R153:V153,  "=0" ) &gt; 0, COUNTIF( R153:V153,  "" ) &gt; 0 ) ) )</f>
        <v>0</v>
      </c>
      <c r="N153" s="339" t="s">
        <v>6</v>
      </c>
      <c r="O153" s="202"/>
      <c r="P153" s="202"/>
      <c r="Q153" s="202"/>
      <c r="R153" s="290"/>
      <c r="S153" s="130"/>
      <c r="T153" s="130"/>
      <c r="U153" s="130"/>
      <c r="V153" s="130"/>
      <c r="W153" s="1"/>
      <c r="X153" s="1"/>
      <c r="Y153" s="1"/>
    </row>
    <row r="154" spans="1:25" customFormat="1" ht="7.5" customHeight="1" outlineLevel="1">
      <c r="A154" s="1"/>
      <c r="B154" s="1"/>
      <c r="C154" s="2"/>
      <c r="D154" s="132"/>
      <c r="E154" s="20"/>
      <c r="F154" s="107"/>
      <c r="G154" s="107"/>
      <c r="H154" s="107"/>
      <c r="I154" s="107"/>
      <c r="J154" s="107"/>
      <c r="K154" s="293"/>
      <c r="L154" s="132"/>
      <c r="M154" s="294"/>
      <c r="N154" s="296"/>
      <c r="O154" s="370"/>
      <c r="P154" s="370"/>
      <c r="Q154" s="370"/>
      <c r="R154" s="20"/>
      <c r="S154" s="20"/>
      <c r="T154" s="20"/>
      <c r="U154" s="20"/>
      <c r="V154" s="20"/>
      <c r="W154" s="1"/>
      <c r="X154" s="1"/>
      <c r="Y154" s="1"/>
    </row>
    <row r="155" spans="1:25" customFormat="1" ht="15" customHeight="1" outlineLevel="1">
      <c r="A155" s="1"/>
      <c r="B155" s="1"/>
      <c r="C155" s="2"/>
      <c r="D155" s="132" t="s">
        <v>435</v>
      </c>
      <c r="E155" s="20"/>
      <c r="F155" s="107"/>
      <c r="G155" s="107"/>
      <c r="H155" s="107"/>
      <c r="I155" s="107"/>
      <c r="J155" s="107"/>
      <c r="K155" s="293" t="s">
        <v>134</v>
      </c>
      <c r="L155" s="132"/>
      <c r="M155" s="294"/>
      <c r="N155" s="295"/>
      <c r="O155" s="370"/>
      <c r="P155" s="370"/>
      <c r="Q155" s="370"/>
      <c r="R155" s="303">
        <f xml:space="preserve"> '2.2 Generelle input'!R46</f>
        <v>14896</v>
      </c>
      <c r="S155" s="303">
        <f xml:space="preserve"> '2.2 Generelle input'!S46</f>
        <v>13435</v>
      </c>
      <c r="T155" s="303">
        <f xml:space="preserve"> '2.2 Generelle input'!T46</f>
        <v>13435</v>
      </c>
      <c r="U155" s="303">
        <f xml:space="preserve"> '2.2 Generelle input'!U46</f>
        <v>1500</v>
      </c>
      <c r="V155" s="303">
        <f xml:space="preserve"> '2.2 Generelle input'!V46</f>
        <v>1500</v>
      </c>
      <c r="W155" s="1"/>
      <c r="X155" s="1"/>
      <c r="Y155" s="1"/>
    </row>
    <row r="156" spans="1:25" customFormat="1" ht="15" customHeight="1" outlineLevel="1">
      <c r="A156" s="1"/>
      <c r="B156" s="1"/>
      <c r="C156" s="2"/>
      <c r="D156" s="85" t="s">
        <v>10</v>
      </c>
      <c r="E156" s="1"/>
      <c r="F156" s="107"/>
      <c r="G156" s="107"/>
      <c r="H156" s="107"/>
      <c r="I156" s="107"/>
      <c r="J156" s="107"/>
      <c r="K156" s="293" t="s">
        <v>134</v>
      </c>
      <c r="L156" s="85">
        <f xml:space="preserve">  ( N156 = '2.1 Model setup'!$K$41 ) * (-- ( COUNTIF( R156:V156, "&lt;0" ) &gt; 0 ) +  -- ( COUNTIF( R156:V156, "*" ) &gt; 0 ) )</f>
        <v>0</v>
      </c>
      <c r="M156" s="161">
        <f xml:space="preserve"> -- ( ( N156 = '2.1 Model setup'!$K$41 ) * ( OR( COUNTIF( R156:V156,  "=0" ) &gt; 0, COUNTIF( R156:V156,  "" ) &gt; 0 ) ) )</f>
        <v>0</v>
      </c>
      <c r="N156" s="338" t="s">
        <v>6</v>
      </c>
      <c r="O156" s="202"/>
      <c r="P156" s="202"/>
      <c r="Q156" s="202"/>
      <c r="R156" s="312"/>
      <c r="S156" s="286"/>
      <c r="T156" s="286"/>
      <c r="U156" s="286"/>
      <c r="V156" s="286"/>
      <c r="W156" s="121"/>
      <c r="X156" s="121"/>
      <c r="Y156" s="121"/>
    </row>
    <row r="157" spans="1:25" customFormat="1" ht="7.5" customHeight="1" outlineLevel="1">
      <c r="A157" s="1"/>
      <c r="B157" s="1"/>
      <c r="C157" s="2"/>
      <c r="D157" s="132"/>
      <c r="E157" s="20"/>
      <c r="F157" s="107"/>
      <c r="G157" s="107"/>
      <c r="H157" s="107"/>
      <c r="I157" s="107"/>
      <c r="J157" s="107"/>
      <c r="K157" s="293"/>
      <c r="L157" s="132"/>
      <c r="M157" s="294"/>
      <c r="N157" s="296"/>
      <c r="O157" s="370"/>
      <c r="P157" s="370"/>
      <c r="Q157" s="370"/>
      <c r="R157" s="302"/>
      <c r="S157" s="302"/>
      <c r="T157" s="302"/>
      <c r="U157" s="302"/>
      <c r="V157" s="302"/>
      <c r="W157" s="1"/>
      <c r="X157" s="1"/>
      <c r="Y157" s="1"/>
    </row>
    <row r="158" spans="1:25" customFormat="1" ht="15" customHeight="1" outlineLevel="1">
      <c r="A158" s="1"/>
      <c r="B158" s="1"/>
      <c r="C158" s="2"/>
      <c r="D158" s="132" t="s">
        <v>436</v>
      </c>
      <c r="E158" s="20"/>
      <c r="F158" s="107"/>
      <c r="G158" s="107"/>
      <c r="H158" s="107"/>
      <c r="I158" s="107"/>
      <c r="J158" s="107"/>
      <c r="K158" s="293" t="s">
        <v>134</v>
      </c>
      <c r="L158" s="132"/>
      <c r="M158" s="294"/>
      <c r="N158" s="295"/>
      <c r="O158" s="370"/>
      <c r="P158" s="370"/>
      <c r="Q158" s="370"/>
      <c r="R158" s="303">
        <f xml:space="preserve"> '2.2 Generelle input'!R47</f>
        <v>1168</v>
      </c>
      <c r="S158" s="303">
        <f xml:space="preserve"> '2.2 Generelle input'!S47</f>
        <v>1168</v>
      </c>
      <c r="T158" s="303">
        <f xml:space="preserve"> '2.2 Generelle input'!T47</f>
        <v>1168</v>
      </c>
      <c r="U158" s="303">
        <f xml:space="preserve"> '2.2 Generelle input'!U47</f>
        <v>74</v>
      </c>
      <c r="V158" s="303">
        <f xml:space="preserve"> '2.2 Generelle input'!V47</f>
        <v>74</v>
      </c>
      <c r="W158" s="121"/>
      <c r="X158" s="121"/>
      <c r="Y158" s="121"/>
    </row>
    <row r="159" spans="1:25" customFormat="1" ht="15" customHeight="1" outlineLevel="1">
      <c r="A159" s="1"/>
      <c r="B159" s="1"/>
      <c r="C159" s="2"/>
      <c r="D159" s="85" t="s">
        <v>20</v>
      </c>
      <c r="E159" s="1"/>
      <c r="F159" s="107"/>
      <c r="G159" s="107"/>
      <c r="H159" s="107"/>
      <c r="I159" s="107"/>
      <c r="J159" s="107"/>
      <c r="K159" s="293" t="s">
        <v>134</v>
      </c>
      <c r="L159" s="85">
        <f xml:space="preserve">  ( N159 = '2.1 Model setup'!$K$41 ) * (-- ( COUNTIF( R159:V159, "&lt;0" ) &gt; 0 ) +  -- ( COUNTIF( R159:V159, "*" ) &gt; 0 ) )</f>
        <v>0</v>
      </c>
      <c r="M159" s="161">
        <f xml:space="preserve"> -- ( ( N159 = '2.1 Model setup'!$K$41 ) * ( OR( COUNTIF( R159:V159,  "=0" ) &gt; 0, COUNTIF( R159:V159,  "" ) &gt; 0 ) ) )</f>
        <v>0</v>
      </c>
      <c r="N159" s="338" t="s">
        <v>6</v>
      </c>
      <c r="O159" s="202"/>
      <c r="P159" s="202"/>
      <c r="Q159" s="202"/>
      <c r="R159" s="312"/>
      <c r="S159" s="286"/>
      <c r="T159" s="286"/>
      <c r="U159" s="286"/>
      <c r="V159" s="286"/>
      <c r="W159" s="121"/>
      <c r="X159" s="121"/>
      <c r="Y159" s="121"/>
    </row>
    <row r="160" spans="1:25" customFormat="1" ht="7.5" customHeight="1" outlineLevel="1">
      <c r="A160" s="1"/>
      <c r="B160" s="1"/>
      <c r="C160" s="2"/>
      <c r="D160" s="132"/>
      <c r="E160" s="20"/>
      <c r="F160" s="107"/>
      <c r="G160" s="107"/>
      <c r="H160" s="107"/>
      <c r="I160" s="107"/>
      <c r="J160" s="107"/>
      <c r="K160" s="293"/>
      <c r="L160" s="132"/>
      <c r="M160" s="294"/>
      <c r="N160" s="296"/>
      <c r="O160" s="370"/>
      <c r="P160" s="370"/>
      <c r="Q160" s="370"/>
      <c r="R160" s="302"/>
      <c r="S160" s="302"/>
      <c r="T160" s="302"/>
      <c r="U160" s="302"/>
      <c r="V160" s="302"/>
      <c r="W160" s="1"/>
      <c r="X160" s="1"/>
      <c r="Y160" s="1"/>
    </row>
    <row r="161" spans="1:25" customFormat="1" ht="15" customHeight="1" outlineLevel="1">
      <c r="A161" s="1"/>
      <c r="B161" s="1"/>
      <c r="C161" s="2"/>
      <c r="D161" s="132" t="s">
        <v>437</v>
      </c>
      <c r="E161" s="20"/>
      <c r="F161" s="107"/>
      <c r="G161" s="107"/>
      <c r="H161" s="107"/>
      <c r="I161" s="107"/>
      <c r="J161" s="107"/>
      <c r="K161" s="293" t="s">
        <v>134</v>
      </c>
      <c r="L161" s="132"/>
      <c r="M161" s="294"/>
      <c r="N161" s="295"/>
      <c r="O161" s="370"/>
      <c r="P161" s="370"/>
      <c r="Q161" s="370"/>
      <c r="R161" s="303">
        <f xml:space="preserve"> '2.2 Generelle input'!R48</f>
        <v>570</v>
      </c>
      <c r="S161" s="303">
        <f xml:space="preserve"> '2.2 Generelle input'!S48</f>
        <v>570</v>
      </c>
      <c r="T161" s="303">
        <f xml:space="preserve"> '2.2 Generelle input'!T48</f>
        <v>570</v>
      </c>
      <c r="U161" s="303">
        <f xml:space="preserve"> '2.2 Generelle input'!U48</f>
        <v>26</v>
      </c>
      <c r="V161" s="303">
        <f xml:space="preserve"> '2.2 Generelle input'!V48</f>
        <v>26</v>
      </c>
      <c r="W161" s="121"/>
      <c r="X161" s="121"/>
      <c r="Y161" s="121"/>
    </row>
    <row r="162" spans="1:25" customFormat="1" ht="15" customHeight="1" outlineLevel="1">
      <c r="A162" s="1"/>
      <c r="B162" s="1"/>
      <c r="C162" s="2"/>
      <c r="D162" s="99" t="s">
        <v>19</v>
      </c>
      <c r="E162" s="27"/>
      <c r="F162" s="115"/>
      <c r="G162" s="115"/>
      <c r="H162" s="115"/>
      <c r="I162" s="115"/>
      <c r="J162" s="115"/>
      <c r="K162" s="379" t="s">
        <v>134</v>
      </c>
      <c r="L162" s="99">
        <f xml:space="preserve">  ( N162 = '2.1 Model setup'!$K$41 ) * (-- ( COUNTIF( R162:V162, "&lt;0" ) &gt; 0 ) +  -- ( COUNTIF( R162:V162, "*" ) &gt; 0 ) )</f>
        <v>0</v>
      </c>
      <c r="M162" s="216">
        <f xml:space="preserve"> -- ( ( N162 = '2.1 Model setup'!$K$41 ) * ( OR( COUNTIF( R162:V162,  "=0" ) &gt; 0, COUNTIF( R162:V162,  "" ) &gt; 0 ) ) )</f>
        <v>0</v>
      </c>
      <c r="N162" s="337" t="s">
        <v>6</v>
      </c>
      <c r="O162" s="269"/>
      <c r="P162" s="269"/>
      <c r="Q162" s="269"/>
      <c r="R162" s="376"/>
      <c r="S162" s="304"/>
      <c r="T162" s="304"/>
      <c r="U162" s="304"/>
      <c r="V162" s="304"/>
      <c r="W162" s="131"/>
      <c r="X162" s="121"/>
      <c r="Y162" s="121"/>
    </row>
    <row r="163" spans="1:25" customFormat="1" ht="15" customHeight="1" outlineLevel="1">
      <c r="A163" s="1"/>
      <c r="B163" s="1"/>
      <c r="C163" s="2"/>
      <c r="D163" s="132"/>
      <c r="E163" s="1"/>
      <c r="F163" s="107"/>
      <c r="G163" s="107"/>
      <c r="H163" s="107"/>
      <c r="I163" s="107"/>
      <c r="J163" s="107"/>
      <c r="K163" s="87"/>
      <c r="L163" s="85"/>
      <c r="M163" s="119"/>
      <c r="N163" s="107"/>
      <c r="O163" s="107"/>
      <c r="P163" s="107"/>
      <c r="Q163" s="107"/>
      <c r="R163" s="107"/>
      <c r="S163" s="107"/>
      <c r="T163" s="107"/>
      <c r="U163" s="107"/>
      <c r="V163" s="107"/>
      <c r="W163" s="121"/>
      <c r="X163" s="121"/>
      <c r="Y163" s="121"/>
    </row>
    <row r="164" spans="1:25" customFormat="1" ht="15" customHeight="1" outlineLevel="1">
      <c r="A164" s="1"/>
      <c r="B164" s="1"/>
      <c r="C164" s="2"/>
      <c r="D164" s="88" t="s">
        <v>47</v>
      </c>
      <c r="E164" s="1"/>
      <c r="F164" s="107"/>
      <c r="G164" s="107"/>
      <c r="H164" s="107"/>
      <c r="I164" s="107"/>
      <c r="J164" s="107"/>
      <c r="K164" s="87"/>
      <c r="L164" s="85"/>
      <c r="M164" s="85"/>
      <c r="N164" s="107"/>
      <c r="O164" s="107"/>
      <c r="P164" s="107"/>
      <c r="Q164" s="107"/>
      <c r="R164" s="1"/>
      <c r="S164" s="1"/>
      <c r="T164" s="1"/>
      <c r="U164" s="1"/>
      <c r="V164" s="1"/>
      <c r="W164" s="1"/>
      <c r="X164" s="1"/>
      <c r="Y164" s="1"/>
    </row>
    <row r="165" spans="1:25" customFormat="1" ht="15" customHeight="1" outlineLevel="1">
      <c r="A165" s="1"/>
      <c r="B165" s="1"/>
      <c r="C165" s="2"/>
      <c r="D165" s="378" t="s">
        <v>501</v>
      </c>
      <c r="E165" s="15"/>
      <c r="F165" s="116"/>
      <c r="G165" s="116"/>
      <c r="H165" s="116"/>
      <c r="I165" s="116"/>
      <c r="J165" s="116"/>
      <c r="K165" s="468" t="s">
        <v>502</v>
      </c>
      <c r="L165" s="123"/>
      <c r="M165" s="123"/>
      <c r="N165" s="116"/>
      <c r="O165" s="369"/>
      <c r="P165" s="369"/>
      <c r="Q165" s="369"/>
      <c r="R165" s="45">
        <v>1000</v>
      </c>
      <c r="S165" s="45">
        <v>500</v>
      </c>
      <c r="T165" s="45">
        <v>100</v>
      </c>
      <c r="U165" s="274"/>
      <c r="V165" s="274"/>
      <c r="W165" s="15"/>
      <c r="X165" s="1"/>
      <c r="Y165" s="1"/>
    </row>
    <row r="166" spans="1:25" customFormat="1" ht="15" customHeight="1" outlineLevel="1">
      <c r="A166" s="1"/>
      <c r="B166" s="1"/>
      <c r="C166" s="2"/>
      <c r="D166" s="132" t="s">
        <v>513</v>
      </c>
      <c r="E166" s="1"/>
      <c r="F166" s="107"/>
      <c r="G166" s="107"/>
      <c r="H166" s="107"/>
      <c r="I166" s="107"/>
      <c r="J166" s="107"/>
      <c r="K166" s="293" t="s">
        <v>503</v>
      </c>
      <c r="L166" s="85"/>
      <c r="M166" s="85"/>
      <c r="N166" s="107"/>
      <c r="O166" s="370"/>
      <c r="P166" s="370"/>
      <c r="Q166" s="370"/>
      <c r="R166" s="20">
        <v>1000</v>
      </c>
      <c r="S166" s="20">
        <v>500</v>
      </c>
      <c r="T166" s="20">
        <v>100</v>
      </c>
      <c r="U166" s="202"/>
      <c r="V166" s="202"/>
      <c r="W166" s="1"/>
      <c r="X166" s="1"/>
      <c r="Y166" s="1"/>
    </row>
    <row r="167" spans="1:25" customFormat="1" ht="15" customHeight="1" outlineLevel="1">
      <c r="A167" s="1"/>
      <c r="B167" s="1"/>
      <c r="C167" s="2"/>
      <c r="D167" s="99" t="s">
        <v>48</v>
      </c>
      <c r="E167" s="27"/>
      <c r="F167" s="115"/>
      <c r="G167" s="115"/>
      <c r="H167" s="115"/>
      <c r="I167" s="115"/>
      <c r="J167" s="115"/>
      <c r="K167" s="98" t="s">
        <v>3</v>
      </c>
      <c r="L167" s="99">
        <f xml:space="preserve">  -- ( COUNTIF( U167:V167, "&lt;&gt;" ) &gt; 0 )  + -- ( COUNTIF( R167:T167, "&lt;0" ) &gt; 0 )  +  -- ( COUNTIF( R167:T167, "*" ) &gt; 0 )</f>
        <v>0</v>
      </c>
      <c r="M167" s="151">
        <f xml:space="preserve"> -- ( OR( COUNTIF( R167:T167,  "=0" ) &gt; 0, COUNTIF( R167:T167,  "" ) &gt; 0 ) )</f>
        <v>1</v>
      </c>
      <c r="N167" s="115"/>
      <c r="O167" s="368"/>
      <c r="P167" s="368"/>
      <c r="Q167" s="368"/>
      <c r="R167" s="594"/>
      <c r="S167" s="594"/>
      <c r="T167" s="595"/>
      <c r="U167" s="269"/>
      <c r="V167" s="269"/>
      <c r="W167" s="27"/>
      <c r="X167" s="1"/>
      <c r="Y167" s="1"/>
    </row>
    <row r="168" spans="1:25" customFormat="1" ht="15" customHeight="1" outlineLevel="1">
      <c r="A168" s="1"/>
      <c r="B168" s="1"/>
      <c r="C168" s="2"/>
      <c r="D168" s="85"/>
      <c r="E168" s="1"/>
      <c r="F168" s="107"/>
      <c r="G168" s="107"/>
      <c r="H168" s="107"/>
      <c r="I168" s="107"/>
      <c r="J168" s="107"/>
      <c r="K168" s="87"/>
      <c r="L168" s="85"/>
      <c r="M168" s="85"/>
      <c r="N168" s="107"/>
      <c r="O168" s="107"/>
      <c r="P168" s="107"/>
      <c r="Q168" s="107"/>
      <c r="R168" s="1"/>
      <c r="S168" s="1"/>
      <c r="T168" s="1"/>
      <c r="U168" s="1"/>
      <c r="V168" s="1"/>
      <c r="W168" s="1"/>
      <c r="X168" s="1"/>
      <c r="Y168" s="1"/>
    </row>
    <row r="169" spans="1:25" customFormat="1" ht="15" customHeight="1" outlineLevel="1">
      <c r="A169" s="1"/>
      <c r="B169" s="1"/>
      <c r="C169" s="2"/>
      <c r="D169" s="85"/>
      <c r="E169" s="1"/>
      <c r="F169" s="107"/>
      <c r="G169" s="107"/>
      <c r="H169" s="107"/>
      <c r="I169" s="107"/>
      <c r="J169" s="107"/>
      <c r="K169" s="87"/>
      <c r="L169" s="85"/>
      <c r="M169" s="85"/>
      <c r="N169" s="107"/>
      <c r="O169" s="107"/>
      <c r="P169" s="107"/>
      <c r="Q169" s="107"/>
      <c r="R169" s="1"/>
      <c r="S169" s="1"/>
      <c r="T169" s="1"/>
      <c r="U169" s="1"/>
      <c r="V169" s="1"/>
      <c r="W169" s="1"/>
      <c r="X169" s="1"/>
      <c r="Y169" s="1"/>
    </row>
    <row r="170" spans="1:25" customFormat="1" ht="15" customHeight="1" outlineLevel="1">
      <c r="A170" s="1"/>
      <c r="B170" s="1"/>
      <c r="C170" s="2"/>
      <c r="D170" s="85"/>
      <c r="E170" s="1"/>
      <c r="F170" s="107"/>
      <c r="G170" s="107"/>
      <c r="H170" s="107"/>
      <c r="I170" s="107"/>
      <c r="J170" s="107"/>
      <c r="K170" s="87"/>
      <c r="L170" s="85"/>
      <c r="M170" s="85"/>
      <c r="N170" s="107"/>
      <c r="O170" s="107"/>
      <c r="P170" s="107"/>
      <c r="Q170" s="107"/>
      <c r="R170" s="1"/>
      <c r="S170" s="1"/>
      <c r="T170" s="1"/>
      <c r="U170" s="1"/>
      <c r="V170" s="1"/>
      <c r="W170" s="1"/>
      <c r="X170" s="1"/>
      <c r="Y170" s="1"/>
    </row>
    <row r="171" spans="1:25" s="475" customFormat="1" ht="15" customHeight="1" outlineLevel="1">
      <c r="B171" s="479" t="str">
        <f xml:space="preserve"> COUNTA(B$10:B170) &amp; ") Forudsætninger vedrørende: " &amp; '2.1 Model setup'!K81</f>
        <v>6) Forudsætninger vedrørende: 5.2 Øvrige omkostninger</v>
      </c>
      <c r="C171" s="477"/>
      <c r="D171" s="478"/>
      <c r="K171" s="472"/>
    </row>
    <row r="172" spans="1:25" customFormat="1" ht="15" customHeight="1" outlineLevel="1">
      <c r="A172" s="1"/>
      <c r="B172" s="1"/>
      <c r="C172" s="2"/>
      <c r="D172" s="85"/>
      <c r="E172" s="1"/>
      <c r="F172" s="107"/>
      <c r="G172" s="107"/>
      <c r="H172" s="107"/>
      <c r="I172" s="107"/>
      <c r="J172" s="107"/>
      <c r="K172" s="87"/>
      <c r="L172" s="85"/>
      <c r="M172" s="85"/>
      <c r="N172" s="107"/>
      <c r="O172" s="107"/>
      <c r="P172" s="107"/>
      <c r="Q172" s="107"/>
      <c r="R172" s="1"/>
      <c r="S172" s="1"/>
      <c r="T172" s="1"/>
      <c r="U172" s="1"/>
      <c r="V172" s="1"/>
      <c r="W172" s="1"/>
      <c r="X172" s="1"/>
      <c r="Y172" s="1"/>
    </row>
    <row r="173" spans="1:25" ht="15" customHeight="1" outlineLevel="1">
      <c r="D173" s="35" t="str">
        <f xml:space="preserve"> "Valg vedrørende behandling af " &amp; '2.1 Model setup'!K81</f>
        <v>Valg vedrørende behandling af 5.2 Øvrige omkostninger</v>
      </c>
      <c r="E173" s="27"/>
      <c r="F173" s="27"/>
      <c r="G173" s="27"/>
      <c r="H173" s="27"/>
      <c r="I173" s="27"/>
      <c r="J173" s="27"/>
      <c r="K173" s="32"/>
      <c r="L173" s="27"/>
      <c r="M173" s="27"/>
      <c r="N173" s="27"/>
      <c r="O173" s="27"/>
      <c r="P173" s="27"/>
      <c r="Q173" s="27"/>
      <c r="R173" s="27"/>
      <c r="S173" s="27"/>
      <c r="T173" s="27"/>
      <c r="U173" s="27"/>
      <c r="V173" s="27"/>
      <c r="W173" s="27"/>
      <c r="Y173" s="260" t="s">
        <v>362</v>
      </c>
    </row>
    <row r="174" spans="1:25" ht="15" customHeight="1" outlineLevel="1">
      <c r="D174" s="1" t="s">
        <v>361</v>
      </c>
      <c r="K174" s="5" t="s">
        <v>41</v>
      </c>
      <c r="N174" s="135" t="s">
        <v>64</v>
      </c>
    </row>
    <row r="175" spans="1:25" ht="15" customHeight="1" outlineLevel="1">
      <c r="D175" s="85" t="s">
        <v>36</v>
      </c>
      <c r="K175" s="5" t="s">
        <v>41</v>
      </c>
      <c r="N175" s="258" t="s">
        <v>38</v>
      </c>
    </row>
    <row r="176" spans="1:25" ht="15" customHeight="1" outlineLevel="1">
      <c r="D176" s="85" t="s">
        <v>43</v>
      </c>
      <c r="K176" s="5" t="s">
        <v>41</v>
      </c>
      <c r="M176" s="119">
        <f xml:space="preserve"> -- ( OR( ( '2.3 Selskabsspecifikke input'!N175 = '2.1 Model setup'!$K$46 ) * ( N176 &lt;&gt; '2.1 Model setup'!$K$52 ), ( '2.3 Selskabsspecifikke input'!N175 &lt;&gt; '2.1 Model setup'!$K$46 ) * ( N176 =  '2.1 Model setup'!$K$52 ) ) )</f>
        <v>0</v>
      </c>
      <c r="N176" s="256" t="s">
        <v>46</v>
      </c>
    </row>
    <row r="177" spans="1:25" ht="15" customHeight="1" outlineLevel="1">
      <c r="D177" s="99" t="s">
        <v>364</v>
      </c>
      <c r="E177" s="27"/>
      <c r="F177" s="27"/>
      <c r="G177" s="27"/>
      <c r="H177" s="27"/>
      <c r="I177" s="27"/>
      <c r="J177" s="27"/>
      <c r="K177" s="32" t="s">
        <v>41</v>
      </c>
      <c r="L177" s="27"/>
      <c r="M177" s="216">
        <f xml:space="preserve"> -- ( OR( ( '2.3 Selskabsspecifikke input'!N175 = '2.1 Model setup'!$K$46 ) * ( N177 = '2.1 Model setup'!$K$41 ), ( '2.3 Selskabsspecifikke input'!N175 &lt;&gt; '2.1 Model setup'!$K$46 ) * ( N177 &lt;&gt; '2.1 Model setup'!$K$41 ) ) )</f>
        <v>1</v>
      </c>
      <c r="N177" s="259" t="s">
        <v>6</v>
      </c>
      <c r="O177" s="27"/>
      <c r="P177" s="27"/>
      <c r="Q177" s="27"/>
      <c r="R177" s="27"/>
      <c r="S177" s="27"/>
      <c r="T177" s="27"/>
      <c r="U177" s="27"/>
      <c r="V177" s="27"/>
      <c r="W177" s="27"/>
    </row>
    <row r="178" spans="1:25" ht="15" customHeight="1" outlineLevel="1"/>
    <row r="179" spans="1:25" customFormat="1" ht="15" customHeight="1" outlineLevel="1">
      <c r="A179" s="1"/>
      <c r="B179" s="1"/>
      <c r="C179" s="2"/>
      <c r="D179" s="85"/>
      <c r="E179" s="1"/>
      <c r="F179" s="107"/>
      <c r="G179" s="107"/>
      <c r="H179" s="107"/>
      <c r="I179" s="107"/>
      <c r="J179" s="107"/>
      <c r="K179" s="87"/>
      <c r="L179" s="85"/>
      <c r="M179" s="85"/>
      <c r="N179" s="107"/>
      <c r="O179" s="107"/>
      <c r="P179" s="107"/>
      <c r="Q179" s="107"/>
      <c r="R179" s="1"/>
      <c r="S179" s="1"/>
      <c r="T179" s="1"/>
      <c r="U179" s="1"/>
      <c r="V179" s="1"/>
      <c r="W179" s="1"/>
      <c r="X179" s="1"/>
      <c r="Y179" s="1"/>
    </row>
    <row r="180" spans="1:25" customFormat="1" ht="15" customHeight="1">
      <c r="A180" s="1"/>
      <c r="B180" s="1"/>
      <c r="C180" s="2"/>
      <c r="D180" s="85"/>
      <c r="E180" s="1"/>
      <c r="F180" s="107"/>
      <c r="G180" s="107"/>
      <c r="H180" s="107"/>
      <c r="I180" s="107"/>
      <c r="J180" s="107"/>
      <c r="K180" s="87"/>
      <c r="L180" s="85"/>
      <c r="M180" s="85"/>
      <c r="N180" s="107"/>
      <c r="O180" s="107"/>
      <c r="P180" s="107"/>
      <c r="Q180" s="107"/>
      <c r="R180" s="1"/>
      <c r="S180" s="1"/>
      <c r="T180" s="1"/>
      <c r="U180" s="1"/>
      <c r="V180" s="1"/>
      <c r="W180" s="1"/>
      <c r="X180" s="1"/>
      <c r="Y180" s="1"/>
    </row>
    <row r="181" spans="1:25" s="475" customFormat="1" ht="15" customHeight="1">
      <c r="B181" s="479" t="str">
        <f xml:space="preserve"> COUNTA(B$10:B180) &amp; ") Leverede mængder"</f>
        <v>7) Leverede mængder</v>
      </c>
      <c r="C181" s="477"/>
      <c r="D181" s="478"/>
      <c r="K181" s="472"/>
    </row>
    <row r="182" spans="1:25" customFormat="1" ht="15" customHeight="1">
      <c r="A182" s="1"/>
      <c r="B182" s="1"/>
      <c r="C182" s="2"/>
      <c r="D182" s="88"/>
      <c r="E182" s="1"/>
      <c r="F182" s="107"/>
      <c r="G182" s="107"/>
      <c r="H182" s="107"/>
      <c r="I182" s="107"/>
      <c r="J182" s="107"/>
      <c r="K182" s="114"/>
      <c r="L182" s="85"/>
      <c r="M182" s="85"/>
      <c r="N182" s="107"/>
      <c r="O182" s="107"/>
      <c r="P182" s="107"/>
      <c r="Q182" s="107"/>
      <c r="R182" s="1"/>
      <c r="S182" s="1"/>
      <c r="T182" s="1"/>
      <c r="U182" s="1"/>
      <c r="V182" s="1"/>
      <c r="W182" s="1"/>
      <c r="X182" s="1"/>
      <c r="Y182" s="1"/>
    </row>
    <row r="183" spans="1:25" customFormat="1" ht="15" customHeight="1">
      <c r="A183" s="1"/>
      <c r="B183" s="1"/>
      <c r="C183" s="2"/>
      <c r="D183" s="97" t="s">
        <v>124</v>
      </c>
      <c r="E183" s="27"/>
      <c r="F183" s="107"/>
      <c r="G183" s="107"/>
      <c r="H183" s="107"/>
      <c r="I183" s="107"/>
      <c r="J183" s="107"/>
      <c r="K183" s="114"/>
      <c r="L183" s="99"/>
      <c r="M183" s="99"/>
      <c r="N183" s="115"/>
      <c r="O183" s="107"/>
      <c r="P183" s="107"/>
      <c r="Q183" s="107"/>
      <c r="R183" s="1"/>
      <c r="S183" s="1"/>
      <c r="T183" s="1"/>
      <c r="U183" s="1"/>
      <c r="V183" s="1"/>
      <c r="W183" s="89" t="s">
        <v>16</v>
      </c>
      <c r="X183" s="89"/>
      <c r="Y183" s="260" t="s">
        <v>362</v>
      </c>
    </row>
    <row r="184" spans="1:25" customFormat="1" ht="15" customHeight="1">
      <c r="A184" s="1"/>
      <c r="B184" s="1"/>
      <c r="C184" s="2"/>
      <c r="D184" s="99" t="s">
        <v>123</v>
      </c>
      <c r="E184" s="27"/>
      <c r="F184" s="120"/>
      <c r="G184" s="120"/>
      <c r="H184" s="120"/>
      <c r="I184" s="120"/>
      <c r="J184" s="120"/>
      <c r="K184" s="92" t="str">
        <f>Model.Units2</f>
        <v>kWh</v>
      </c>
      <c r="L184" s="90">
        <f xml:space="preserve"> --  ( COUNTIF( N184:W184, "&lt;0" ) &gt; 0 ) +  -- ( COUNTIF( R184:V184, "*" ) &gt; 0 )</f>
        <v>0</v>
      </c>
      <c r="M184" s="139">
        <f xml:space="preserve"> -- ( OR( COUNTIF( R184:V184,  "=0" ) &gt; 0, COUNTIF( R184:V184,  "" ) &gt; 0 ) )</f>
        <v>1</v>
      </c>
      <c r="N184" s="115"/>
      <c r="O184" s="371"/>
      <c r="P184" s="371"/>
      <c r="Q184" s="372"/>
      <c r="R184" s="287"/>
      <c r="S184" s="287"/>
      <c r="T184" s="287"/>
      <c r="U184" s="287"/>
      <c r="V184" s="287"/>
      <c r="W184" s="186">
        <f xml:space="preserve"> SUM( R184:V184 )</f>
        <v>0</v>
      </c>
      <c r="X184" s="111"/>
      <c r="Y184" s="121"/>
    </row>
    <row r="185" spans="1:25" customFormat="1" ht="15" customHeight="1">
      <c r="A185" s="1"/>
      <c r="B185" s="1"/>
      <c r="C185" s="2"/>
      <c r="D185" s="85"/>
      <c r="E185" s="1"/>
      <c r="F185" s="107"/>
      <c r="G185" s="107"/>
      <c r="H185" s="107"/>
      <c r="I185" s="107"/>
      <c r="J185" s="107"/>
      <c r="K185" s="87"/>
      <c r="L185" s="85"/>
      <c r="M185" s="85"/>
      <c r="N185" s="107"/>
      <c r="O185" s="107"/>
      <c r="P185" s="107"/>
      <c r="Q185" s="107"/>
      <c r="R185" s="121"/>
      <c r="S185" s="121"/>
      <c r="T185" s="121"/>
      <c r="U185" s="121"/>
      <c r="V185" s="121"/>
      <c r="W185" s="1"/>
      <c r="X185" s="1"/>
      <c r="Y185" s="1"/>
    </row>
    <row r="186" spans="1:25" customFormat="1" ht="15" customHeight="1">
      <c r="A186" s="1"/>
      <c r="B186" s="1"/>
      <c r="C186" s="2"/>
      <c r="D186" s="97" t="s">
        <v>653</v>
      </c>
      <c r="E186" s="27"/>
      <c r="F186" s="107"/>
      <c r="G186" s="107"/>
      <c r="H186" s="107"/>
      <c r="I186" s="107"/>
      <c r="J186" s="107"/>
      <c r="K186" s="114"/>
      <c r="L186" s="99"/>
      <c r="M186" s="99"/>
      <c r="N186" s="115"/>
      <c r="O186" s="107"/>
      <c r="P186" s="107"/>
      <c r="Q186" s="107"/>
      <c r="R186" s="1"/>
      <c r="S186" s="1"/>
      <c r="T186" s="1"/>
      <c r="U186" s="1"/>
      <c r="V186" s="1"/>
      <c r="W186" s="89" t="s">
        <v>16</v>
      </c>
      <c r="X186" s="89"/>
    </row>
    <row r="187" spans="1:25" customFormat="1" ht="15" customHeight="1">
      <c r="A187" s="1"/>
      <c r="B187" s="1"/>
      <c r="C187" s="2"/>
      <c r="D187" s="90" t="s">
        <v>509</v>
      </c>
      <c r="E187" s="33"/>
      <c r="F187" s="120"/>
      <c r="G187" s="120"/>
      <c r="H187" s="120"/>
      <c r="I187" s="120"/>
      <c r="J187" s="120"/>
      <c r="K187" s="92" t="str">
        <f>Model.Units2</f>
        <v>kWh</v>
      </c>
      <c r="L187" s="90"/>
      <c r="M187" s="139">
        <f xml:space="preserve"> -- ( IF( $N$15 = '2.1 Model setup'!K41, OR( COUNTIF( R187:V187,  "=0" ) &gt; 0, COUNTIF( R187:V187,  "" ) &gt; 0 ), 0 ) )</f>
        <v>1</v>
      </c>
      <c r="N187" s="120"/>
      <c r="O187" s="371"/>
      <c r="P187" s="371"/>
      <c r="Q187" s="371"/>
      <c r="R187" s="287"/>
      <c r="S187" s="287"/>
      <c r="T187" s="287"/>
      <c r="U187" s="287"/>
      <c r="V187" s="287"/>
      <c r="W187" s="186">
        <f xml:space="preserve"> SUM( R187:V187 )</f>
        <v>0</v>
      </c>
      <c r="X187" s="111"/>
      <c r="Y187" s="121"/>
    </row>
    <row r="188" spans="1:25" customFormat="1" ht="15" customHeight="1" outlineLevel="1">
      <c r="A188" s="1"/>
      <c r="B188" s="1"/>
      <c r="C188" s="2"/>
      <c r="D188" s="85"/>
      <c r="E188" s="1"/>
      <c r="F188" s="107"/>
      <c r="G188" s="107"/>
      <c r="H188" s="107"/>
      <c r="I188" s="107"/>
      <c r="J188" s="107"/>
      <c r="K188" s="87"/>
      <c r="L188" s="85"/>
      <c r="M188" s="85"/>
      <c r="N188" s="107"/>
      <c r="O188" s="107"/>
      <c r="P188" s="107"/>
      <c r="Q188" s="107"/>
      <c r="R188" s="121"/>
      <c r="S188" s="121"/>
      <c r="T188" s="121"/>
      <c r="U188" s="121"/>
      <c r="V188" s="121"/>
      <c r="W188" s="1"/>
      <c r="X188" s="1"/>
      <c r="Y188" s="1"/>
    </row>
    <row r="189" spans="1:25" customFormat="1" ht="15" customHeight="1" outlineLevel="1">
      <c r="A189" s="1"/>
      <c r="B189" s="1"/>
      <c r="C189" s="2"/>
      <c r="D189" s="88" t="s">
        <v>504</v>
      </c>
      <c r="E189" s="1"/>
      <c r="F189" s="107"/>
      <c r="G189" s="107"/>
      <c r="H189" s="107"/>
      <c r="I189" s="107"/>
      <c r="J189" s="107"/>
      <c r="K189" s="87"/>
      <c r="L189" s="85"/>
      <c r="M189" s="85"/>
      <c r="N189" s="107"/>
      <c r="O189" s="107"/>
      <c r="P189" s="107"/>
      <c r="Q189" s="107"/>
      <c r="R189" s="1"/>
      <c r="S189" s="1"/>
      <c r="T189" s="1"/>
      <c r="U189" s="1"/>
      <c r="V189" s="1"/>
      <c r="W189" s="1"/>
      <c r="X189" s="1"/>
      <c r="Y189" s="1"/>
    </row>
    <row r="190" spans="1:25" customFormat="1" ht="15" customHeight="1" outlineLevel="1">
      <c r="A190" s="1"/>
      <c r="B190" s="1"/>
      <c r="C190" s="2"/>
      <c r="D190" s="122" t="s">
        <v>152</v>
      </c>
      <c r="E190" s="15"/>
      <c r="F190" s="116"/>
      <c r="G190" s="116"/>
      <c r="H190" s="116"/>
      <c r="I190" s="116"/>
      <c r="J190" s="116"/>
      <c r="K190" s="117" t="str">
        <f t="shared" ref="K190:K212" si="30">Model.Units2</f>
        <v>kWh</v>
      </c>
      <c r="L190" s="123">
        <f t="shared" ref="L190:L213" si="31" xml:space="preserve"> -- ( COUNTIF( R190:V190, "&lt;0" ) &gt; 0 ) +  -- ( COUNTIF( R190:V190, "*" ) &gt; 0 )</f>
        <v>0</v>
      </c>
      <c r="M190" s="142">
        <f t="shared" ref="M190:M213" si="32" xml:space="preserve"> -- ( IF( $N$15 = "Nej", OR( COUNTIF( R190:V190,  "=0" ) &gt; 0, COUNTIF( R190:V190,  "" ) &gt; 0 ), 0 ) )</f>
        <v>0</v>
      </c>
      <c r="N190" s="116"/>
      <c r="O190" s="369"/>
      <c r="P190" s="369"/>
      <c r="Q190" s="369"/>
      <c r="R190" s="126"/>
      <c r="S190" s="126"/>
      <c r="T190" s="126"/>
      <c r="U190" s="126"/>
      <c r="V190" s="126"/>
      <c r="W190" s="15"/>
      <c r="X190" s="1"/>
      <c r="Y190" s="1"/>
    </row>
    <row r="191" spans="1:25" customFormat="1" ht="15" customHeight="1" outlineLevel="1">
      <c r="A191" s="1"/>
      <c r="B191" s="1"/>
      <c r="C191" s="2"/>
      <c r="D191" s="124" t="s">
        <v>153</v>
      </c>
      <c r="E191" s="1"/>
      <c r="F191" s="107"/>
      <c r="G191" s="107"/>
      <c r="H191" s="107"/>
      <c r="I191" s="107"/>
      <c r="J191" s="107"/>
      <c r="K191" s="87" t="str">
        <f t="shared" si="30"/>
        <v>kWh</v>
      </c>
      <c r="L191" s="85">
        <f t="shared" si="31"/>
        <v>0</v>
      </c>
      <c r="M191" s="119">
        <f t="shared" si="32"/>
        <v>0</v>
      </c>
      <c r="N191" s="107"/>
      <c r="O191" s="370"/>
      <c r="P191" s="370"/>
      <c r="Q191" s="370"/>
      <c r="R191" s="286"/>
      <c r="S191" s="286"/>
      <c r="T191" s="286"/>
      <c r="U191" s="286"/>
      <c r="V191" s="286"/>
      <c r="W191" s="1"/>
      <c r="X191" s="1"/>
      <c r="Y191" s="1"/>
    </row>
    <row r="192" spans="1:25" customFormat="1" ht="15" customHeight="1" outlineLevel="1">
      <c r="A192" s="1"/>
      <c r="B192" s="1"/>
      <c r="C192" s="2"/>
      <c r="D192" s="124" t="s">
        <v>154</v>
      </c>
      <c r="E192" s="1"/>
      <c r="F192" s="107"/>
      <c r="G192" s="107"/>
      <c r="H192" s="107"/>
      <c r="I192" s="107"/>
      <c r="J192" s="107"/>
      <c r="K192" s="87" t="str">
        <f t="shared" si="30"/>
        <v>kWh</v>
      </c>
      <c r="L192" s="85">
        <f t="shared" si="31"/>
        <v>0</v>
      </c>
      <c r="M192" s="119">
        <f t="shared" si="32"/>
        <v>0</v>
      </c>
      <c r="N192" s="107"/>
      <c r="O192" s="370"/>
      <c r="P192" s="370"/>
      <c r="Q192" s="370"/>
      <c r="R192" s="286"/>
      <c r="S192" s="286"/>
      <c r="T192" s="286"/>
      <c r="U192" s="286"/>
      <c r="V192" s="286"/>
      <c r="W192" s="1"/>
      <c r="X192" s="1"/>
      <c r="Y192" s="1"/>
    </row>
    <row r="193" spans="1:25" customFormat="1" ht="15" customHeight="1" outlineLevel="1">
      <c r="A193" s="1"/>
      <c r="B193" s="1"/>
      <c r="C193" s="2"/>
      <c r="D193" s="124" t="s">
        <v>155</v>
      </c>
      <c r="E193" s="1"/>
      <c r="F193" s="107"/>
      <c r="G193" s="107"/>
      <c r="H193" s="107"/>
      <c r="I193" s="107"/>
      <c r="J193" s="107"/>
      <c r="K193" s="87" t="str">
        <f t="shared" si="30"/>
        <v>kWh</v>
      </c>
      <c r="L193" s="85">
        <f t="shared" si="31"/>
        <v>0</v>
      </c>
      <c r="M193" s="119">
        <f t="shared" si="32"/>
        <v>0</v>
      </c>
      <c r="N193" s="107"/>
      <c r="O193" s="370"/>
      <c r="P193" s="370"/>
      <c r="Q193" s="370"/>
      <c r="R193" s="130"/>
      <c r="S193" s="130"/>
      <c r="T193" s="130"/>
      <c r="U193" s="130"/>
      <c r="V193" s="130"/>
      <c r="W193" s="1"/>
      <c r="X193" s="1"/>
      <c r="Y193" s="1"/>
    </row>
    <row r="194" spans="1:25" customFormat="1" ht="15" customHeight="1" outlineLevel="1">
      <c r="A194" s="1"/>
      <c r="B194" s="1"/>
      <c r="C194" s="2"/>
      <c r="D194" s="124" t="s">
        <v>156</v>
      </c>
      <c r="E194" s="1"/>
      <c r="F194" s="107"/>
      <c r="G194" s="107"/>
      <c r="H194" s="107"/>
      <c r="I194" s="107"/>
      <c r="J194" s="107"/>
      <c r="K194" s="87" t="str">
        <f t="shared" si="30"/>
        <v>kWh</v>
      </c>
      <c r="L194" s="85">
        <f t="shared" si="31"/>
        <v>0</v>
      </c>
      <c r="M194" s="119">
        <f t="shared" si="32"/>
        <v>0</v>
      </c>
      <c r="N194" s="107"/>
      <c r="O194" s="370"/>
      <c r="P194" s="370"/>
      <c r="Q194" s="370"/>
      <c r="R194" s="130"/>
      <c r="S194" s="130"/>
      <c r="T194" s="130"/>
      <c r="U194" s="130"/>
      <c r="V194" s="130"/>
      <c r="W194" s="1"/>
      <c r="X194" s="1"/>
      <c r="Y194" s="1"/>
    </row>
    <row r="195" spans="1:25" customFormat="1" ht="15" customHeight="1" outlineLevel="1">
      <c r="A195" s="1"/>
      <c r="B195" s="1"/>
      <c r="C195" s="2"/>
      <c r="D195" s="124" t="s">
        <v>157</v>
      </c>
      <c r="E195" s="1"/>
      <c r="F195" s="107"/>
      <c r="G195" s="107"/>
      <c r="H195" s="107"/>
      <c r="I195" s="107"/>
      <c r="J195" s="107"/>
      <c r="K195" s="87" t="str">
        <f t="shared" si="30"/>
        <v>kWh</v>
      </c>
      <c r="L195" s="85">
        <f t="shared" si="31"/>
        <v>0</v>
      </c>
      <c r="M195" s="119">
        <f t="shared" si="32"/>
        <v>0</v>
      </c>
      <c r="N195" s="107"/>
      <c r="O195" s="370"/>
      <c r="P195" s="370"/>
      <c r="Q195" s="370"/>
      <c r="R195" s="130"/>
      <c r="S195" s="130"/>
      <c r="T195" s="130"/>
      <c r="U195" s="130"/>
      <c r="V195" s="130"/>
      <c r="W195" s="1"/>
      <c r="X195" s="1"/>
      <c r="Y195" s="1"/>
    </row>
    <row r="196" spans="1:25" customFormat="1" ht="15" customHeight="1" outlineLevel="1">
      <c r="A196" s="1"/>
      <c r="B196" s="1"/>
      <c r="C196" s="2"/>
      <c r="D196" s="124" t="s">
        <v>158</v>
      </c>
      <c r="E196" s="1"/>
      <c r="F196" s="107"/>
      <c r="G196" s="107"/>
      <c r="H196" s="107"/>
      <c r="I196" s="107"/>
      <c r="J196" s="107"/>
      <c r="K196" s="87" t="str">
        <f t="shared" si="30"/>
        <v>kWh</v>
      </c>
      <c r="L196" s="85">
        <f t="shared" si="31"/>
        <v>0</v>
      </c>
      <c r="M196" s="119">
        <f t="shared" si="32"/>
        <v>0</v>
      </c>
      <c r="N196" s="107"/>
      <c r="O196" s="370"/>
      <c r="P196" s="370"/>
      <c r="Q196" s="370"/>
      <c r="R196" s="130"/>
      <c r="S196" s="130"/>
      <c r="T196" s="130"/>
      <c r="U196" s="130"/>
      <c r="V196" s="130"/>
      <c r="W196" s="1"/>
      <c r="X196" s="1"/>
      <c r="Y196" s="1"/>
    </row>
    <row r="197" spans="1:25" customFormat="1" ht="15" customHeight="1" outlineLevel="1">
      <c r="A197" s="1"/>
      <c r="B197" s="1"/>
      <c r="C197" s="2"/>
      <c r="D197" s="124" t="s">
        <v>159</v>
      </c>
      <c r="E197" s="1"/>
      <c r="F197" s="107"/>
      <c r="G197" s="107"/>
      <c r="H197" s="107"/>
      <c r="I197" s="107"/>
      <c r="J197" s="107"/>
      <c r="K197" s="87" t="str">
        <f t="shared" si="30"/>
        <v>kWh</v>
      </c>
      <c r="L197" s="85">
        <f t="shared" si="31"/>
        <v>0</v>
      </c>
      <c r="M197" s="119">
        <f t="shared" si="32"/>
        <v>0</v>
      </c>
      <c r="N197" s="107"/>
      <c r="O197" s="370"/>
      <c r="P197" s="370"/>
      <c r="Q197" s="370"/>
      <c r="R197" s="130"/>
      <c r="S197" s="130"/>
      <c r="T197" s="130"/>
      <c r="U197" s="130"/>
      <c r="V197" s="130"/>
      <c r="W197" s="1"/>
      <c r="X197" s="1"/>
      <c r="Y197" s="1"/>
    </row>
    <row r="198" spans="1:25" customFormat="1" ht="15" customHeight="1" outlineLevel="1">
      <c r="A198" s="1"/>
      <c r="B198" s="1"/>
      <c r="C198" s="2"/>
      <c r="D198" s="124" t="s">
        <v>160</v>
      </c>
      <c r="E198" s="1"/>
      <c r="F198" s="107"/>
      <c r="G198" s="107"/>
      <c r="H198" s="107"/>
      <c r="I198" s="107"/>
      <c r="J198" s="107"/>
      <c r="K198" s="87" t="str">
        <f t="shared" si="30"/>
        <v>kWh</v>
      </c>
      <c r="L198" s="85">
        <f t="shared" si="31"/>
        <v>0</v>
      </c>
      <c r="M198" s="119">
        <f t="shared" si="32"/>
        <v>0</v>
      </c>
      <c r="N198" s="107"/>
      <c r="O198" s="370"/>
      <c r="P198" s="370"/>
      <c r="Q198" s="370"/>
      <c r="R198" s="130"/>
      <c r="S198" s="130"/>
      <c r="T198" s="130"/>
      <c r="U198" s="130"/>
      <c r="V198" s="130"/>
      <c r="W198" s="1"/>
      <c r="X198" s="1"/>
      <c r="Y198" s="1"/>
    </row>
    <row r="199" spans="1:25" customFormat="1" ht="15" customHeight="1" outlineLevel="1">
      <c r="A199" s="1"/>
      <c r="B199" s="1"/>
      <c r="C199" s="2"/>
      <c r="D199" s="124" t="s">
        <v>161</v>
      </c>
      <c r="E199" s="1"/>
      <c r="F199" s="107"/>
      <c r="G199" s="107"/>
      <c r="H199" s="107"/>
      <c r="I199" s="107"/>
      <c r="J199" s="107"/>
      <c r="K199" s="87" t="str">
        <f t="shared" si="30"/>
        <v>kWh</v>
      </c>
      <c r="L199" s="85">
        <f t="shared" si="31"/>
        <v>0</v>
      </c>
      <c r="M199" s="119">
        <f t="shared" si="32"/>
        <v>0</v>
      </c>
      <c r="N199" s="107"/>
      <c r="O199" s="370"/>
      <c r="P199" s="370"/>
      <c r="Q199" s="370"/>
      <c r="R199" s="130"/>
      <c r="S199" s="130"/>
      <c r="T199" s="130"/>
      <c r="U199" s="130"/>
      <c r="V199" s="130"/>
      <c r="W199" s="1"/>
      <c r="X199" s="1"/>
      <c r="Y199" s="1"/>
    </row>
    <row r="200" spans="1:25" customFormat="1" ht="15" customHeight="1" outlineLevel="1">
      <c r="A200" s="1"/>
      <c r="B200" s="1"/>
      <c r="C200" s="2"/>
      <c r="D200" s="124" t="s">
        <v>162</v>
      </c>
      <c r="E200" s="1"/>
      <c r="F200" s="107"/>
      <c r="G200" s="107"/>
      <c r="H200" s="107"/>
      <c r="I200" s="107"/>
      <c r="J200" s="107"/>
      <c r="K200" s="87" t="str">
        <f t="shared" si="30"/>
        <v>kWh</v>
      </c>
      <c r="L200" s="85">
        <f t="shared" si="31"/>
        <v>0</v>
      </c>
      <c r="M200" s="119">
        <f t="shared" si="32"/>
        <v>0</v>
      </c>
      <c r="N200" s="107"/>
      <c r="O200" s="370"/>
      <c r="P200" s="370"/>
      <c r="Q200" s="370"/>
      <c r="R200" s="130"/>
      <c r="S200" s="130"/>
      <c r="T200" s="130"/>
      <c r="U200" s="130"/>
      <c r="V200" s="130"/>
      <c r="W200" s="1"/>
      <c r="X200" s="1"/>
      <c r="Y200" s="1"/>
    </row>
    <row r="201" spans="1:25" customFormat="1" ht="15" customHeight="1" outlineLevel="1">
      <c r="A201" s="1"/>
      <c r="B201" s="1"/>
      <c r="C201" s="2"/>
      <c r="D201" s="124" t="s">
        <v>163</v>
      </c>
      <c r="E201" s="1"/>
      <c r="F201" s="107"/>
      <c r="G201" s="107"/>
      <c r="H201" s="107"/>
      <c r="I201" s="107"/>
      <c r="J201" s="107"/>
      <c r="K201" s="87" t="str">
        <f t="shared" si="30"/>
        <v>kWh</v>
      </c>
      <c r="L201" s="85">
        <f t="shared" si="31"/>
        <v>0</v>
      </c>
      <c r="M201" s="119">
        <f t="shared" si="32"/>
        <v>0</v>
      </c>
      <c r="N201" s="107"/>
      <c r="O201" s="370"/>
      <c r="P201" s="370"/>
      <c r="Q201" s="370"/>
      <c r="R201" s="130"/>
      <c r="S201" s="130"/>
      <c r="T201" s="130"/>
      <c r="U201" s="130"/>
      <c r="V201" s="130"/>
      <c r="W201" s="1"/>
      <c r="X201" s="1"/>
      <c r="Y201" s="1"/>
    </row>
    <row r="202" spans="1:25" customFormat="1" ht="15" customHeight="1" outlineLevel="1">
      <c r="A202" s="1"/>
      <c r="B202" s="1"/>
      <c r="C202" s="2"/>
      <c r="D202" s="124" t="s">
        <v>164</v>
      </c>
      <c r="E202" s="1"/>
      <c r="F202" s="107"/>
      <c r="G202" s="107"/>
      <c r="H202" s="107"/>
      <c r="I202" s="107"/>
      <c r="J202" s="107"/>
      <c r="K202" s="87" t="str">
        <f t="shared" si="30"/>
        <v>kWh</v>
      </c>
      <c r="L202" s="85">
        <f t="shared" si="31"/>
        <v>0</v>
      </c>
      <c r="M202" s="119">
        <f t="shared" si="32"/>
        <v>0</v>
      </c>
      <c r="N202" s="107"/>
      <c r="O202" s="370"/>
      <c r="P202" s="370"/>
      <c r="Q202" s="370"/>
      <c r="R202" s="130"/>
      <c r="S202" s="130"/>
      <c r="T202" s="130"/>
      <c r="U202" s="130"/>
      <c r="V202" s="130"/>
      <c r="W202" s="1"/>
      <c r="X202" s="1"/>
      <c r="Y202" s="1"/>
    </row>
    <row r="203" spans="1:25" customFormat="1" ht="15" customHeight="1" outlineLevel="1">
      <c r="A203" s="1"/>
      <c r="B203" s="1"/>
      <c r="C203" s="2"/>
      <c r="D203" s="124" t="s">
        <v>165</v>
      </c>
      <c r="E203" s="1"/>
      <c r="F203" s="107"/>
      <c r="G203" s="107"/>
      <c r="H203" s="107"/>
      <c r="I203" s="107"/>
      <c r="J203" s="107"/>
      <c r="K203" s="87" t="str">
        <f t="shared" si="30"/>
        <v>kWh</v>
      </c>
      <c r="L203" s="85">
        <f t="shared" si="31"/>
        <v>0</v>
      </c>
      <c r="M203" s="119">
        <f t="shared" si="32"/>
        <v>0</v>
      </c>
      <c r="N203" s="107"/>
      <c r="O203" s="370"/>
      <c r="P203" s="370"/>
      <c r="Q203" s="370"/>
      <c r="R203" s="130"/>
      <c r="S203" s="130"/>
      <c r="T203" s="130"/>
      <c r="U203" s="130"/>
      <c r="V203" s="130"/>
      <c r="W203" s="1"/>
      <c r="X203" s="1"/>
      <c r="Y203" s="1"/>
    </row>
    <row r="204" spans="1:25" customFormat="1" ht="15" customHeight="1" outlineLevel="1">
      <c r="A204" s="1"/>
      <c r="B204" s="1"/>
      <c r="C204" s="2"/>
      <c r="D204" s="124" t="s">
        <v>166</v>
      </c>
      <c r="E204" s="1"/>
      <c r="F204" s="107"/>
      <c r="G204" s="107"/>
      <c r="H204" s="107"/>
      <c r="I204" s="107"/>
      <c r="J204" s="107"/>
      <c r="K204" s="87" t="str">
        <f t="shared" si="30"/>
        <v>kWh</v>
      </c>
      <c r="L204" s="85">
        <f t="shared" si="31"/>
        <v>0</v>
      </c>
      <c r="M204" s="119">
        <f t="shared" si="32"/>
        <v>0</v>
      </c>
      <c r="N204" s="107"/>
      <c r="O204" s="370"/>
      <c r="P204" s="370"/>
      <c r="Q204" s="370"/>
      <c r="R204" s="130"/>
      <c r="S204" s="130"/>
      <c r="T204" s="130"/>
      <c r="U204" s="130"/>
      <c r="V204" s="130"/>
      <c r="W204" s="1"/>
      <c r="X204" s="1"/>
      <c r="Y204" s="1"/>
    </row>
    <row r="205" spans="1:25" customFormat="1" ht="15" customHeight="1" outlineLevel="1">
      <c r="A205" s="1"/>
      <c r="B205" s="1"/>
      <c r="C205" s="2"/>
      <c r="D205" s="124" t="s">
        <v>167</v>
      </c>
      <c r="E205" s="1"/>
      <c r="F205" s="107"/>
      <c r="G205" s="107"/>
      <c r="H205" s="107"/>
      <c r="I205" s="107"/>
      <c r="J205" s="107"/>
      <c r="K205" s="87" t="str">
        <f t="shared" si="30"/>
        <v>kWh</v>
      </c>
      <c r="L205" s="85">
        <f t="shared" si="31"/>
        <v>0</v>
      </c>
      <c r="M205" s="119">
        <f t="shared" si="32"/>
        <v>0</v>
      </c>
      <c r="N205" s="107"/>
      <c r="O205" s="370"/>
      <c r="P205" s="370"/>
      <c r="Q205" s="370"/>
      <c r="R205" s="130"/>
      <c r="S205" s="130"/>
      <c r="T205" s="130"/>
      <c r="U205" s="130"/>
      <c r="V205" s="130"/>
      <c r="W205" s="1"/>
      <c r="X205" s="1"/>
      <c r="Y205" s="1"/>
    </row>
    <row r="206" spans="1:25" customFormat="1" ht="15" customHeight="1" outlineLevel="1">
      <c r="A206" s="1"/>
      <c r="B206" s="1"/>
      <c r="C206" s="2"/>
      <c r="D206" s="124" t="s">
        <v>168</v>
      </c>
      <c r="E206" s="1"/>
      <c r="F206" s="107"/>
      <c r="G206" s="107"/>
      <c r="H206" s="107"/>
      <c r="I206" s="107"/>
      <c r="J206" s="107"/>
      <c r="K206" s="87" t="str">
        <f t="shared" si="30"/>
        <v>kWh</v>
      </c>
      <c r="L206" s="85">
        <f t="shared" si="31"/>
        <v>0</v>
      </c>
      <c r="M206" s="119">
        <f t="shared" si="32"/>
        <v>0</v>
      </c>
      <c r="N206" s="107"/>
      <c r="O206" s="370"/>
      <c r="P206" s="370"/>
      <c r="Q206" s="370"/>
      <c r="R206" s="130"/>
      <c r="S206" s="130"/>
      <c r="T206" s="130"/>
      <c r="U206" s="130"/>
      <c r="V206" s="130"/>
      <c r="W206" s="1"/>
      <c r="X206" s="1"/>
      <c r="Y206" s="1"/>
    </row>
    <row r="207" spans="1:25" customFormat="1" ht="15" customHeight="1" outlineLevel="1">
      <c r="A207" s="1"/>
      <c r="B207" s="1"/>
      <c r="C207" s="2"/>
      <c r="D207" s="124" t="s">
        <v>169</v>
      </c>
      <c r="E207" s="1"/>
      <c r="F207" s="107"/>
      <c r="G207" s="107"/>
      <c r="H207" s="107"/>
      <c r="I207" s="107"/>
      <c r="J207" s="107"/>
      <c r="K207" s="87" t="str">
        <f t="shared" si="30"/>
        <v>kWh</v>
      </c>
      <c r="L207" s="85">
        <f t="shared" si="31"/>
        <v>0</v>
      </c>
      <c r="M207" s="119">
        <f t="shared" si="32"/>
        <v>0</v>
      </c>
      <c r="N207" s="107"/>
      <c r="O207" s="370"/>
      <c r="P207" s="370"/>
      <c r="Q207" s="370"/>
      <c r="R207" s="130"/>
      <c r="S207" s="130"/>
      <c r="T207" s="130"/>
      <c r="U207" s="130"/>
      <c r="V207" s="130"/>
      <c r="W207" s="1"/>
      <c r="X207" s="1"/>
      <c r="Y207" s="1"/>
    </row>
    <row r="208" spans="1:25" customFormat="1" ht="15" customHeight="1" outlineLevel="1">
      <c r="A208" s="1"/>
      <c r="B208" s="1"/>
      <c r="C208" s="2"/>
      <c r="D208" s="124" t="s">
        <v>170</v>
      </c>
      <c r="E208" s="1"/>
      <c r="F208" s="107"/>
      <c r="G208" s="107"/>
      <c r="H208" s="107"/>
      <c r="I208" s="107"/>
      <c r="J208" s="107"/>
      <c r="K208" s="87" t="str">
        <f t="shared" si="30"/>
        <v>kWh</v>
      </c>
      <c r="L208" s="85">
        <f t="shared" si="31"/>
        <v>0</v>
      </c>
      <c r="M208" s="119">
        <f t="shared" si="32"/>
        <v>0</v>
      </c>
      <c r="N208" s="107"/>
      <c r="O208" s="370"/>
      <c r="P208" s="370"/>
      <c r="Q208" s="370"/>
      <c r="R208" s="130"/>
      <c r="S208" s="130"/>
      <c r="T208" s="130"/>
      <c r="U208" s="130"/>
      <c r="V208" s="130"/>
      <c r="W208" s="1"/>
      <c r="X208" s="1"/>
      <c r="Y208" s="1"/>
    </row>
    <row r="209" spans="1:25" customFormat="1" ht="15" customHeight="1" outlineLevel="1">
      <c r="A209" s="1"/>
      <c r="B209" s="1"/>
      <c r="C209" s="2"/>
      <c r="D209" s="124" t="s">
        <v>171</v>
      </c>
      <c r="E209" s="1"/>
      <c r="F209" s="107"/>
      <c r="G209" s="107"/>
      <c r="H209" s="107"/>
      <c r="I209" s="107"/>
      <c r="J209" s="107"/>
      <c r="K209" s="87" t="str">
        <f t="shared" si="30"/>
        <v>kWh</v>
      </c>
      <c r="L209" s="85">
        <f t="shared" si="31"/>
        <v>0</v>
      </c>
      <c r="M209" s="119">
        <f t="shared" si="32"/>
        <v>0</v>
      </c>
      <c r="N209" s="107"/>
      <c r="O209" s="370"/>
      <c r="P209" s="370"/>
      <c r="Q209" s="370"/>
      <c r="R209" s="130"/>
      <c r="S209" s="130"/>
      <c r="T209" s="130"/>
      <c r="U209" s="130"/>
      <c r="V209" s="130"/>
      <c r="W209" s="1"/>
      <c r="X209" s="1"/>
      <c r="Y209" s="1"/>
    </row>
    <row r="210" spans="1:25" customFormat="1" ht="15" customHeight="1" outlineLevel="1">
      <c r="A210" s="1"/>
      <c r="B210" s="1"/>
      <c r="C210" s="2"/>
      <c r="D210" s="124" t="s">
        <v>172</v>
      </c>
      <c r="E210" s="1"/>
      <c r="F210" s="107"/>
      <c r="G210" s="107"/>
      <c r="H210" s="107"/>
      <c r="I210" s="107"/>
      <c r="J210" s="107"/>
      <c r="K210" s="87" t="str">
        <f t="shared" si="30"/>
        <v>kWh</v>
      </c>
      <c r="L210" s="85">
        <f t="shared" si="31"/>
        <v>0</v>
      </c>
      <c r="M210" s="119">
        <f t="shared" si="32"/>
        <v>0</v>
      </c>
      <c r="N210" s="107"/>
      <c r="O210" s="370"/>
      <c r="P210" s="370"/>
      <c r="Q210" s="370"/>
      <c r="R210" s="130"/>
      <c r="S210" s="130"/>
      <c r="T210" s="130"/>
      <c r="U210" s="130"/>
      <c r="V210" s="130"/>
      <c r="W210" s="1"/>
      <c r="X210" s="1"/>
      <c r="Y210" s="1"/>
    </row>
    <row r="211" spans="1:25" customFormat="1" ht="15" customHeight="1" outlineLevel="1">
      <c r="A211" s="1"/>
      <c r="B211" s="1"/>
      <c r="C211" s="2"/>
      <c r="D211" s="124" t="s">
        <v>173</v>
      </c>
      <c r="E211" s="1"/>
      <c r="F211" s="107"/>
      <c r="G211" s="107"/>
      <c r="H211" s="107"/>
      <c r="I211" s="107"/>
      <c r="J211" s="107"/>
      <c r="K211" s="87" t="str">
        <f t="shared" si="30"/>
        <v>kWh</v>
      </c>
      <c r="L211" s="85">
        <f t="shared" si="31"/>
        <v>0</v>
      </c>
      <c r="M211" s="119">
        <f t="shared" si="32"/>
        <v>0</v>
      </c>
      <c r="N211" s="107"/>
      <c r="O211" s="370"/>
      <c r="P211" s="370"/>
      <c r="Q211" s="370"/>
      <c r="R211" s="130"/>
      <c r="S211" s="130"/>
      <c r="T211" s="130"/>
      <c r="U211" s="130"/>
      <c r="V211" s="130"/>
      <c r="W211" s="1"/>
      <c r="X211" s="1"/>
      <c r="Y211" s="1"/>
    </row>
    <row r="212" spans="1:25" customFormat="1" ht="15" customHeight="1" outlineLevel="1">
      <c r="A212" s="1"/>
      <c r="B212" s="1"/>
      <c r="C212" s="2"/>
      <c r="D212" s="124" t="s">
        <v>174</v>
      </c>
      <c r="E212" s="1"/>
      <c r="F212" s="107"/>
      <c r="G212" s="107"/>
      <c r="H212" s="107"/>
      <c r="I212" s="107"/>
      <c r="J212" s="107"/>
      <c r="K212" s="87" t="str">
        <f t="shared" si="30"/>
        <v>kWh</v>
      </c>
      <c r="L212" s="85">
        <f t="shared" si="31"/>
        <v>0</v>
      </c>
      <c r="M212" s="119">
        <f t="shared" si="32"/>
        <v>0</v>
      </c>
      <c r="N212" s="107"/>
      <c r="O212" s="370"/>
      <c r="P212" s="370"/>
      <c r="Q212" s="370"/>
      <c r="R212" s="130"/>
      <c r="S212" s="130"/>
      <c r="T212" s="130"/>
      <c r="U212" s="130"/>
      <c r="V212" s="130"/>
      <c r="W212" s="1"/>
      <c r="X212" s="1"/>
      <c r="Y212" s="1"/>
    </row>
    <row r="213" spans="1:25" customFormat="1" ht="15" customHeight="1" outlineLevel="1">
      <c r="A213" s="1"/>
      <c r="B213" s="1"/>
      <c r="C213" s="2"/>
      <c r="D213" s="125" t="s">
        <v>175</v>
      </c>
      <c r="E213" s="27"/>
      <c r="F213" s="115"/>
      <c r="G213" s="115"/>
      <c r="H213" s="115"/>
      <c r="I213" s="115"/>
      <c r="J213" s="115"/>
      <c r="K213" s="98" t="str">
        <f>Model.Units2</f>
        <v>kWh</v>
      </c>
      <c r="L213" s="99">
        <f t="shared" si="31"/>
        <v>0</v>
      </c>
      <c r="M213" s="151">
        <f t="shared" si="32"/>
        <v>0</v>
      </c>
      <c r="N213" s="115"/>
      <c r="O213" s="368"/>
      <c r="P213" s="368"/>
      <c r="Q213" s="368"/>
      <c r="R213" s="128"/>
      <c r="S213" s="128"/>
      <c r="T213" s="128"/>
      <c r="U213" s="128"/>
      <c r="V213" s="128"/>
      <c r="W213" s="27"/>
      <c r="X213" s="1"/>
      <c r="Y213" s="1"/>
    </row>
    <row r="214" spans="1:25" customFormat="1" ht="15" customHeight="1" outlineLevel="1">
      <c r="A214" s="1"/>
      <c r="B214" s="1"/>
      <c r="C214" s="2"/>
      <c r="D214" s="105" t="s">
        <v>16</v>
      </c>
      <c r="E214" s="33"/>
      <c r="F214" s="120"/>
      <c r="G214" s="120"/>
      <c r="H214" s="120"/>
      <c r="I214" s="120"/>
      <c r="J214" s="120"/>
      <c r="K214" s="106" t="str">
        <f>Model.Units2</f>
        <v>kWh</v>
      </c>
      <c r="L214" s="90"/>
      <c r="M214" s="99"/>
      <c r="N214" s="120"/>
      <c r="O214" s="371"/>
      <c r="P214" s="371"/>
      <c r="Q214" s="371"/>
      <c r="R214" s="186">
        <f xml:space="preserve"> SUM( R190:R213 )</f>
        <v>0</v>
      </c>
      <c r="S214" s="186">
        <f xml:space="preserve"> SUM( S190:S213 )</f>
        <v>0</v>
      </c>
      <c r="T214" s="186">
        <f xml:space="preserve"> SUM( T190:T213 )</f>
        <v>0</v>
      </c>
      <c r="U214" s="186">
        <f xml:space="preserve"> SUM( U190:U213 )</f>
        <v>0</v>
      </c>
      <c r="V214" s="186">
        <f xml:space="preserve"> SUM( V190:V213 )</f>
        <v>0</v>
      </c>
      <c r="W214" s="33"/>
      <c r="X214" s="1"/>
      <c r="Y214" s="1"/>
    </row>
    <row r="215" spans="1:25" customFormat="1" ht="15" customHeight="1" outlineLevel="1">
      <c r="A215" s="1"/>
      <c r="B215" s="1"/>
      <c r="C215" s="2"/>
      <c r="D215" s="85"/>
      <c r="E215" s="1"/>
      <c r="F215" s="107"/>
      <c r="G215" s="107"/>
      <c r="H215" s="107"/>
      <c r="I215" s="107"/>
      <c r="J215" s="107"/>
      <c r="K215" s="87"/>
      <c r="L215" s="85"/>
      <c r="M215" s="85"/>
      <c r="N215" s="107"/>
      <c r="O215" s="107"/>
      <c r="P215" s="107"/>
      <c r="Q215" s="107"/>
      <c r="R215" s="1"/>
      <c r="S215" s="1"/>
      <c r="T215" s="1"/>
      <c r="U215" s="1"/>
      <c r="V215" s="1"/>
      <c r="W215" s="1"/>
      <c r="X215" s="1"/>
      <c r="Y215" s="1"/>
    </row>
    <row r="216" spans="1:25" customFormat="1" ht="15" customHeight="1" outlineLevel="1">
      <c r="A216" s="1"/>
      <c r="B216" s="1"/>
      <c r="C216" s="2"/>
      <c r="D216" s="88" t="s">
        <v>505</v>
      </c>
      <c r="E216" s="1"/>
      <c r="F216" s="107"/>
      <c r="G216" s="107"/>
      <c r="H216" s="107"/>
      <c r="I216" s="107"/>
      <c r="J216" s="107"/>
      <c r="K216" s="87"/>
      <c r="L216" s="85"/>
      <c r="M216" s="85"/>
      <c r="N216" s="107"/>
      <c r="O216" s="107"/>
      <c r="P216" s="107"/>
      <c r="Q216" s="107"/>
      <c r="R216" s="1"/>
      <c r="S216" s="1"/>
      <c r="T216" s="1"/>
      <c r="U216" s="1"/>
      <c r="V216" s="1"/>
      <c r="W216" s="1"/>
      <c r="X216" s="1"/>
      <c r="Y216" s="1"/>
    </row>
    <row r="217" spans="1:25" customFormat="1" ht="15" customHeight="1" outlineLevel="1">
      <c r="A217" s="1"/>
      <c r="B217" s="1"/>
      <c r="C217" s="2"/>
      <c r="D217" s="122" t="s">
        <v>152</v>
      </c>
      <c r="E217" s="15"/>
      <c r="F217" s="116"/>
      <c r="G217" s="116"/>
      <c r="H217" s="116"/>
      <c r="I217" s="116"/>
      <c r="J217" s="116"/>
      <c r="K217" s="117" t="str">
        <f t="shared" ref="K217:K240" si="33">Model.Units2</f>
        <v>kWh</v>
      </c>
      <c r="L217" s="123">
        <f t="shared" ref="L217:L240" si="34" xml:space="preserve"> -- ( COUNTIF( R217:V217, "&lt;0" ) &gt; 0 ) +  -- ( COUNTIF( R217:V217, "*" ) &gt; 0 )</f>
        <v>0</v>
      </c>
      <c r="M217" s="142">
        <f t="shared" ref="M217:M240" si="35" xml:space="preserve"> -- ( IF( $N$15 = "Nej", OR( COUNTIF( R217:V217,  "=0" ) &gt; 0, COUNTIF( R217:V217,  "" ) &gt; 0 ), 0 ) )</f>
        <v>0</v>
      </c>
      <c r="N217" s="116"/>
      <c r="O217" s="369"/>
      <c r="P217" s="369"/>
      <c r="Q217" s="369"/>
      <c r="R217" s="126"/>
      <c r="S217" s="126"/>
      <c r="T217" s="126"/>
      <c r="U217" s="126"/>
      <c r="V217" s="126"/>
      <c r="W217" s="15"/>
      <c r="X217" s="1"/>
      <c r="Y217" s="1"/>
    </row>
    <row r="218" spans="1:25" customFormat="1" ht="15" customHeight="1" outlineLevel="1">
      <c r="A218" s="1"/>
      <c r="B218" s="1"/>
      <c r="C218" s="2"/>
      <c r="D218" s="124" t="s">
        <v>153</v>
      </c>
      <c r="E218" s="1"/>
      <c r="F218" s="107"/>
      <c r="G218" s="107"/>
      <c r="H218" s="107"/>
      <c r="I218" s="107"/>
      <c r="J218" s="107"/>
      <c r="K218" s="87" t="str">
        <f t="shared" si="33"/>
        <v>kWh</v>
      </c>
      <c r="L218" s="85">
        <f t="shared" si="34"/>
        <v>0</v>
      </c>
      <c r="M218" s="119">
        <f t="shared" si="35"/>
        <v>0</v>
      </c>
      <c r="N218" s="107"/>
      <c r="O218" s="370"/>
      <c r="P218" s="370"/>
      <c r="Q218" s="370"/>
      <c r="R218" s="286"/>
      <c r="S218" s="286"/>
      <c r="T218" s="286"/>
      <c r="U218" s="286"/>
      <c r="V218" s="286"/>
      <c r="W218" s="1"/>
      <c r="X218" s="1"/>
      <c r="Y218" s="1"/>
    </row>
    <row r="219" spans="1:25" customFormat="1" ht="15" customHeight="1" outlineLevel="1">
      <c r="A219" s="1"/>
      <c r="B219" s="1"/>
      <c r="C219" s="2"/>
      <c r="D219" s="124" t="s">
        <v>154</v>
      </c>
      <c r="E219" s="1"/>
      <c r="F219" s="107"/>
      <c r="G219" s="107"/>
      <c r="H219" s="107"/>
      <c r="I219" s="107"/>
      <c r="J219" s="107"/>
      <c r="K219" s="87" t="str">
        <f t="shared" si="33"/>
        <v>kWh</v>
      </c>
      <c r="L219" s="85">
        <f t="shared" si="34"/>
        <v>0</v>
      </c>
      <c r="M219" s="119">
        <f t="shared" si="35"/>
        <v>0</v>
      </c>
      <c r="N219" s="107"/>
      <c r="O219" s="370"/>
      <c r="P219" s="370"/>
      <c r="Q219" s="370"/>
      <c r="R219" s="286"/>
      <c r="S219" s="286"/>
      <c r="T219" s="286"/>
      <c r="U219" s="286"/>
      <c r="V219" s="286"/>
      <c r="W219" s="1"/>
      <c r="X219" s="1"/>
      <c r="Y219" s="1"/>
    </row>
    <row r="220" spans="1:25" customFormat="1" ht="15" customHeight="1" outlineLevel="1">
      <c r="A220" s="1"/>
      <c r="B220" s="1"/>
      <c r="C220" s="2"/>
      <c r="D220" s="124" t="s">
        <v>155</v>
      </c>
      <c r="E220" s="1"/>
      <c r="F220" s="107"/>
      <c r="G220" s="107"/>
      <c r="H220" s="107"/>
      <c r="I220" s="107"/>
      <c r="J220" s="107"/>
      <c r="K220" s="87" t="str">
        <f t="shared" si="33"/>
        <v>kWh</v>
      </c>
      <c r="L220" s="85">
        <f t="shared" si="34"/>
        <v>0</v>
      </c>
      <c r="M220" s="119">
        <f t="shared" si="35"/>
        <v>0</v>
      </c>
      <c r="N220" s="107"/>
      <c r="O220" s="370"/>
      <c r="P220" s="370"/>
      <c r="Q220" s="370"/>
      <c r="R220" s="130"/>
      <c r="S220" s="130"/>
      <c r="T220" s="130"/>
      <c r="U220" s="130"/>
      <c r="V220" s="130"/>
      <c r="W220" s="1"/>
      <c r="X220" s="1"/>
      <c r="Y220" s="1"/>
    </row>
    <row r="221" spans="1:25" customFormat="1" ht="15" customHeight="1" outlineLevel="1">
      <c r="A221" s="1"/>
      <c r="B221" s="1"/>
      <c r="C221" s="2"/>
      <c r="D221" s="124" t="s">
        <v>156</v>
      </c>
      <c r="E221" s="1"/>
      <c r="F221" s="107"/>
      <c r="G221" s="107"/>
      <c r="H221" s="107"/>
      <c r="I221" s="107"/>
      <c r="J221" s="107"/>
      <c r="K221" s="87" t="str">
        <f t="shared" si="33"/>
        <v>kWh</v>
      </c>
      <c r="L221" s="85">
        <f t="shared" si="34"/>
        <v>0</v>
      </c>
      <c r="M221" s="119">
        <f t="shared" si="35"/>
        <v>0</v>
      </c>
      <c r="N221" s="107"/>
      <c r="O221" s="370"/>
      <c r="P221" s="370"/>
      <c r="Q221" s="370"/>
      <c r="R221" s="130"/>
      <c r="S221" s="130"/>
      <c r="T221" s="130"/>
      <c r="U221" s="130"/>
      <c r="V221" s="130"/>
      <c r="W221" s="1"/>
      <c r="X221" s="1"/>
      <c r="Y221" s="1"/>
    </row>
    <row r="222" spans="1:25" customFormat="1" ht="15" customHeight="1" outlineLevel="1">
      <c r="A222" s="1"/>
      <c r="B222" s="1"/>
      <c r="C222" s="2"/>
      <c r="D222" s="124" t="s">
        <v>157</v>
      </c>
      <c r="E222" s="1"/>
      <c r="F222" s="107"/>
      <c r="G222" s="107"/>
      <c r="H222" s="107"/>
      <c r="I222" s="107"/>
      <c r="J222" s="107"/>
      <c r="K222" s="87" t="str">
        <f t="shared" si="33"/>
        <v>kWh</v>
      </c>
      <c r="L222" s="85">
        <f t="shared" si="34"/>
        <v>0</v>
      </c>
      <c r="M222" s="119">
        <f t="shared" si="35"/>
        <v>0</v>
      </c>
      <c r="N222" s="107"/>
      <c r="O222" s="370"/>
      <c r="P222" s="370"/>
      <c r="Q222" s="370"/>
      <c r="R222" s="130"/>
      <c r="S222" s="130"/>
      <c r="T222" s="130"/>
      <c r="U222" s="130"/>
      <c r="V222" s="130"/>
      <c r="W222" s="1"/>
      <c r="X222" s="1"/>
      <c r="Y222" s="1"/>
    </row>
    <row r="223" spans="1:25" customFormat="1" ht="15" customHeight="1" outlineLevel="1">
      <c r="A223" s="1"/>
      <c r="B223" s="1"/>
      <c r="C223" s="2"/>
      <c r="D223" s="124" t="s">
        <v>158</v>
      </c>
      <c r="E223" s="1"/>
      <c r="F223" s="107"/>
      <c r="G223" s="107"/>
      <c r="H223" s="107"/>
      <c r="I223" s="107"/>
      <c r="J223" s="107"/>
      <c r="K223" s="87" t="str">
        <f t="shared" si="33"/>
        <v>kWh</v>
      </c>
      <c r="L223" s="85">
        <f t="shared" si="34"/>
        <v>0</v>
      </c>
      <c r="M223" s="119">
        <f t="shared" si="35"/>
        <v>0</v>
      </c>
      <c r="N223" s="107"/>
      <c r="O223" s="370"/>
      <c r="P223" s="370"/>
      <c r="Q223" s="370"/>
      <c r="R223" s="130"/>
      <c r="S223" s="130"/>
      <c r="T223" s="130"/>
      <c r="U223" s="130"/>
      <c r="V223" s="130"/>
      <c r="W223" s="1"/>
      <c r="X223" s="1"/>
      <c r="Y223" s="1"/>
    </row>
    <row r="224" spans="1:25" customFormat="1" ht="15" customHeight="1" outlineLevel="1">
      <c r="A224" s="1"/>
      <c r="B224" s="1"/>
      <c r="C224" s="2"/>
      <c r="D224" s="124" t="s">
        <v>159</v>
      </c>
      <c r="E224" s="1"/>
      <c r="F224" s="107"/>
      <c r="G224" s="107"/>
      <c r="H224" s="107"/>
      <c r="I224" s="107"/>
      <c r="J224" s="107"/>
      <c r="K224" s="87" t="str">
        <f t="shared" si="33"/>
        <v>kWh</v>
      </c>
      <c r="L224" s="85">
        <f t="shared" si="34"/>
        <v>0</v>
      </c>
      <c r="M224" s="119">
        <f t="shared" si="35"/>
        <v>0</v>
      </c>
      <c r="N224" s="107"/>
      <c r="O224" s="370"/>
      <c r="P224" s="370"/>
      <c r="Q224" s="370"/>
      <c r="R224" s="130"/>
      <c r="S224" s="130"/>
      <c r="T224" s="130"/>
      <c r="U224" s="130"/>
      <c r="V224" s="130"/>
      <c r="W224" s="1"/>
      <c r="X224" s="1"/>
      <c r="Y224" s="1"/>
    </row>
    <row r="225" spans="1:25" customFormat="1" ht="15" customHeight="1" outlineLevel="1">
      <c r="A225" s="1"/>
      <c r="B225" s="1"/>
      <c r="C225" s="2"/>
      <c r="D225" s="124" t="s">
        <v>160</v>
      </c>
      <c r="E225" s="1"/>
      <c r="F225" s="107"/>
      <c r="G225" s="107"/>
      <c r="H225" s="107"/>
      <c r="I225" s="107"/>
      <c r="J225" s="107"/>
      <c r="K225" s="87" t="str">
        <f t="shared" si="33"/>
        <v>kWh</v>
      </c>
      <c r="L225" s="85">
        <f t="shared" si="34"/>
        <v>0</v>
      </c>
      <c r="M225" s="119">
        <f t="shared" si="35"/>
        <v>0</v>
      </c>
      <c r="N225" s="107"/>
      <c r="O225" s="370"/>
      <c r="P225" s="370"/>
      <c r="Q225" s="370"/>
      <c r="R225" s="130"/>
      <c r="S225" s="130"/>
      <c r="T225" s="130"/>
      <c r="U225" s="130"/>
      <c r="V225" s="130"/>
      <c r="W225" s="1"/>
      <c r="X225" s="1"/>
      <c r="Y225" s="1"/>
    </row>
    <row r="226" spans="1:25" customFormat="1" ht="15" customHeight="1" outlineLevel="1">
      <c r="A226" s="1"/>
      <c r="B226" s="1"/>
      <c r="C226" s="2"/>
      <c r="D226" s="124" t="s">
        <v>161</v>
      </c>
      <c r="E226" s="1"/>
      <c r="F226" s="107"/>
      <c r="G226" s="107"/>
      <c r="H226" s="107"/>
      <c r="I226" s="107"/>
      <c r="J226" s="107"/>
      <c r="K226" s="87" t="str">
        <f t="shared" si="33"/>
        <v>kWh</v>
      </c>
      <c r="L226" s="85">
        <f t="shared" si="34"/>
        <v>0</v>
      </c>
      <c r="M226" s="119">
        <f t="shared" si="35"/>
        <v>0</v>
      </c>
      <c r="N226" s="107"/>
      <c r="O226" s="370"/>
      <c r="P226" s="370"/>
      <c r="Q226" s="370"/>
      <c r="R226" s="130"/>
      <c r="S226" s="130"/>
      <c r="T226" s="130"/>
      <c r="U226" s="130"/>
      <c r="V226" s="130"/>
      <c r="W226" s="1"/>
      <c r="X226" s="1"/>
      <c r="Y226" s="1"/>
    </row>
    <row r="227" spans="1:25" customFormat="1" ht="15" customHeight="1" outlineLevel="1">
      <c r="A227" s="1"/>
      <c r="B227" s="1"/>
      <c r="C227" s="2"/>
      <c r="D227" s="124" t="s">
        <v>162</v>
      </c>
      <c r="E227" s="1"/>
      <c r="F227" s="107"/>
      <c r="G227" s="107"/>
      <c r="H227" s="107"/>
      <c r="I227" s="107"/>
      <c r="J227" s="107"/>
      <c r="K227" s="87" t="str">
        <f t="shared" si="33"/>
        <v>kWh</v>
      </c>
      <c r="L227" s="85">
        <f t="shared" si="34"/>
        <v>0</v>
      </c>
      <c r="M227" s="119">
        <f t="shared" si="35"/>
        <v>0</v>
      </c>
      <c r="N227" s="107"/>
      <c r="O227" s="370"/>
      <c r="P227" s="370"/>
      <c r="Q227" s="370"/>
      <c r="R227" s="130"/>
      <c r="S227" s="130"/>
      <c r="T227" s="130"/>
      <c r="U227" s="130"/>
      <c r="V227" s="130"/>
      <c r="W227" s="1"/>
      <c r="X227" s="1"/>
      <c r="Y227" s="1"/>
    </row>
    <row r="228" spans="1:25" customFormat="1" ht="15" customHeight="1" outlineLevel="1">
      <c r="A228" s="1"/>
      <c r="B228" s="1"/>
      <c r="C228" s="2"/>
      <c r="D228" s="124" t="s">
        <v>163</v>
      </c>
      <c r="E228" s="1"/>
      <c r="F228" s="107"/>
      <c r="G228" s="107"/>
      <c r="H228" s="107"/>
      <c r="I228" s="107"/>
      <c r="J228" s="107"/>
      <c r="K228" s="87" t="str">
        <f t="shared" si="33"/>
        <v>kWh</v>
      </c>
      <c r="L228" s="85">
        <f t="shared" si="34"/>
        <v>0</v>
      </c>
      <c r="M228" s="119">
        <f t="shared" si="35"/>
        <v>0</v>
      </c>
      <c r="N228" s="107"/>
      <c r="O228" s="370"/>
      <c r="P228" s="370"/>
      <c r="Q228" s="370"/>
      <c r="R228" s="130"/>
      <c r="S228" s="130"/>
      <c r="T228" s="130"/>
      <c r="U228" s="130"/>
      <c r="V228" s="130"/>
      <c r="W228" s="1"/>
      <c r="X228" s="1"/>
      <c r="Y228" s="1"/>
    </row>
    <row r="229" spans="1:25" customFormat="1" ht="15" customHeight="1" outlineLevel="1">
      <c r="A229" s="1"/>
      <c r="B229" s="1"/>
      <c r="C229" s="2"/>
      <c r="D229" s="124" t="s">
        <v>164</v>
      </c>
      <c r="E229" s="1"/>
      <c r="F229" s="107"/>
      <c r="G229" s="107"/>
      <c r="H229" s="107"/>
      <c r="I229" s="107"/>
      <c r="J229" s="107"/>
      <c r="K229" s="87" t="str">
        <f t="shared" si="33"/>
        <v>kWh</v>
      </c>
      <c r="L229" s="85">
        <f t="shared" si="34"/>
        <v>0</v>
      </c>
      <c r="M229" s="119">
        <f t="shared" si="35"/>
        <v>0</v>
      </c>
      <c r="N229" s="107"/>
      <c r="O229" s="370"/>
      <c r="P229" s="370"/>
      <c r="Q229" s="370"/>
      <c r="R229" s="130"/>
      <c r="S229" s="130"/>
      <c r="T229" s="130"/>
      <c r="U229" s="130"/>
      <c r="V229" s="130"/>
      <c r="W229" s="1"/>
      <c r="X229" s="1"/>
      <c r="Y229" s="1"/>
    </row>
    <row r="230" spans="1:25" customFormat="1" ht="15" customHeight="1" outlineLevel="1">
      <c r="A230" s="1"/>
      <c r="B230" s="1"/>
      <c r="C230" s="2"/>
      <c r="D230" s="124" t="s">
        <v>165</v>
      </c>
      <c r="E230" s="1"/>
      <c r="F230" s="107"/>
      <c r="G230" s="107"/>
      <c r="H230" s="107"/>
      <c r="I230" s="107"/>
      <c r="J230" s="107"/>
      <c r="K230" s="87" t="str">
        <f t="shared" si="33"/>
        <v>kWh</v>
      </c>
      <c r="L230" s="85">
        <f t="shared" si="34"/>
        <v>0</v>
      </c>
      <c r="M230" s="119">
        <f t="shared" si="35"/>
        <v>0</v>
      </c>
      <c r="N230" s="107"/>
      <c r="O230" s="370"/>
      <c r="P230" s="370"/>
      <c r="Q230" s="370"/>
      <c r="R230" s="130"/>
      <c r="S230" s="130"/>
      <c r="T230" s="130"/>
      <c r="U230" s="130"/>
      <c r="V230" s="130"/>
      <c r="W230" s="1"/>
      <c r="X230" s="1"/>
      <c r="Y230" s="1"/>
    </row>
    <row r="231" spans="1:25" customFormat="1" ht="15" customHeight="1" outlineLevel="1">
      <c r="A231" s="1"/>
      <c r="B231" s="1"/>
      <c r="C231" s="2"/>
      <c r="D231" s="124" t="s">
        <v>166</v>
      </c>
      <c r="E231" s="1"/>
      <c r="F231" s="107"/>
      <c r="G231" s="107"/>
      <c r="H231" s="107"/>
      <c r="I231" s="107"/>
      <c r="J231" s="107"/>
      <c r="K231" s="87" t="str">
        <f t="shared" si="33"/>
        <v>kWh</v>
      </c>
      <c r="L231" s="85">
        <f t="shared" si="34"/>
        <v>0</v>
      </c>
      <c r="M231" s="119">
        <f t="shared" si="35"/>
        <v>0</v>
      </c>
      <c r="N231" s="107"/>
      <c r="O231" s="370"/>
      <c r="P231" s="370"/>
      <c r="Q231" s="370"/>
      <c r="R231" s="130"/>
      <c r="S231" s="130"/>
      <c r="T231" s="130"/>
      <c r="U231" s="130"/>
      <c r="V231" s="130"/>
      <c r="W231" s="1"/>
      <c r="X231" s="1"/>
      <c r="Y231" s="1"/>
    </row>
    <row r="232" spans="1:25" customFormat="1" ht="15" customHeight="1" outlineLevel="1">
      <c r="A232" s="1"/>
      <c r="B232" s="1"/>
      <c r="C232" s="2"/>
      <c r="D232" s="124" t="s">
        <v>167</v>
      </c>
      <c r="E232" s="1"/>
      <c r="F232" s="107"/>
      <c r="G232" s="107"/>
      <c r="H232" s="107"/>
      <c r="I232" s="107"/>
      <c r="J232" s="107"/>
      <c r="K232" s="87" t="str">
        <f t="shared" si="33"/>
        <v>kWh</v>
      </c>
      <c r="L232" s="85">
        <f t="shared" si="34"/>
        <v>0</v>
      </c>
      <c r="M232" s="119">
        <f t="shared" si="35"/>
        <v>0</v>
      </c>
      <c r="N232" s="107"/>
      <c r="O232" s="370"/>
      <c r="P232" s="370"/>
      <c r="Q232" s="370"/>
      <c r="R232" s="130"/>
      <c r="S232" s="130"/>
      <c r="T232" s="130"/>
      <c r="U232" s="130"/>
      <c r="V232" s="130"/>
      <c r="W232" s="1"/>
      <c r="X232" s="1"/>
      <c r="Y232" s="1"/>
    </row>
    <row r="233" spans="1:25" customFormat="1" ht="15" customHeight="1" outlineLevel="1">
      <c r="A233" s="1"/>
      <c r="B233" s="1"/>
      <c r="C233" s="2"/>
      <c r="D233" s="124" t="s">
        <v>168</v>
      </c>
      <c r="E233" s="1"/>
      <c r="F233" s="107"/>
      <c r="G233" s="107"/>
      <c r="H233" s="107"/>
      <c r="I233" s="107"/>
      <c r="J233" s="107"/>
      <c r="K233" s="87" t="str">
        <f t="shared" si="33"/>
        <v>kWh</v>
      </c>
      <c r="L233" s="85">
        <f t="shared" si="34"/>
        <v>0</v>
      </c>
      <c r="M233" s="119">
        <f t="shared" si="35"/>
        <v>0</v>
      </c>
      <c r="N233" s="107"/>
      <c r="O233" s="370"/>
      <c r="P233" s="370"/>
      <c r="Q233" s="370"/>
      <c r="R233" s="130"/>
      <c r="S233" s="130"/>
      <c r="T233" s="130"/>
      <c r="U233" s="130"/>
      <c r="V233" s="130"/>
      <c r="W233" s="1"/>
      <c r="X233" s="1"/>
      <c r="Y233" s="1"/>
    </row>
    <row r="234" spans="1:25" customFormat="1" ht="15" customHeight="1" outlineLevel="1">
      <c r="A234" s="1"/>
      <c r="B234" s="1"/>
      <c r="C234" s="2"/>
      <c r="D234" s="124" t="s">
        <v>169</v>
      </c>
      <c r="E234" s="1"/>
      <c r="F234" s="107"/>
      <c r="G234" s="107"/>
      <c r="H234" s="107"/>
      <c r="I234" s="107"/>
      <c r="J234" s="107"/>
      <c r="K234" s="87" t="str">
        <f t="shared" si="33"/>
        <v>kWh</v>
      </c>
      <c r="L234" s="85">
        <f t="shared" si="34"/>
        <v>0</v>
      </c>
      <c r="M234" s="119">
        <f t="shared" si="35"/>
        <v>0</v>
      </c>
      <c r="N234" s="107"/>
      <c r="O234" s="370"/>
      <c r="P234" s="370"/>
      <c r="Q234" s="370"/>
      <c r="R234" s="130"/>
      <c r="S234" s="130"/>
      <c r="T234" s="130"/>
      <c r="U234" s="130"/>
      <c r="V234" s="130"/>
      <c r="W234" s="1"/>
      <c r="X234" s="1"/>
      <c r="Y234" s="1"/>
    </row>
    <row r="235" spans="1:25" customFormat="1" ht="15" customHeight="1" outlineLevel="1">
      <c r="A235" s="1"/>
      <c r="B235" s="1"/>
      <c r="C235" s="2"/>
      <c r="D235" s="124" t="s">
        <v>170</v>
      </c>
      <c r="E235" s="1"/>
      <c r="F235" s="107"/>
      <c r="G235" s="107"/>
      <c r="H235" s="107"/>
      <c r="I235" s="107"/>
      <c r="J235" s="107"/>
      <c r="K235" s="87" t="str">
        <f t="shared" si="33"/>
        <v>kWh</v>
      </c>
      <c r="L235" s="85">
        <f t="shared" si="34"/>
        <v>0</v>
      </c>
      <c r="M235" s="119">
        <f t="shared" si="35"/>
        <v>0</v>
      </c>
      <c r="N235" s="107"/>
      <c r="O235" s="370"/>
      <c r="P235" s="370"/>
      <c r="Q235" s="370"/>
      <c r="R235" s="130"/>
      <c r="S235" s="130"/>
      <c r="T235" s="130"/>
      <c r="U235" s="130"/>
      <c r="V235" s="130"/>
      <c r="W235" s="1"/>
      <c r="X235" s="1"/>
      <c r="Y235" s="1"/>
    </row>
    <row r="236" spans="1:25" customFormat="1" ht="15" customHeight="1" outlineLevel="1">
      <c r="A236" s="1"/>
      <c r="B236" s="1"/>
      <c r="C236" s="2"/>
      <c r="D236" s="124" t="s">
        <v>171</v>
      </c>
      <c r="E236" s="1"/>
      <c r="F236" s="107"/>
      <c r="G236" s="107"/>
      <c r="H236" s="107"/>
      <c r="I236" s="107"/>
      <c r="J236" s="107"/>
      <c r="K236" s="87" t="str">
        <f t="shared" si="33"/>
        <v>kWh</v>
      </c>
      <c r="L236" s="85">
        <f t="shared" si="34"/>
        <v>0</v>
      </c>
      <c r="M236" s="119">
        <f t="shared" si="35"/>
        <v>0</v>
      </c>
      <c r="N236" s="107"/>
      <c r="O236" s="370"/>
      <c r="P236" s="370"/>
      <c r="Q236" s="370"/>
      <c r="R236" s="130"/>
      <c r="S236" s="130"/>
      <c r="T236" s="130"/>
      <c r="U236" s="130"/>
      <c r="V236" s="130"/>
      <c r="W236" s="1"/>
      <c r="X236" s="1"/>
      <c r="Y236" s="1"/>
    </row>
    <row r="237" spans="1:25" customFormat="1" ht="15" customHeight="1" outlineLevel="1">
      <c r="A237" s="1"/>
      <c r="B237" s="1"/>
      <c r="C237" s="2"/>
      <c r="D237" s="124" t="s">
        <v>172</v>
      </c>
      <c r="E237" s="1"/>
      <c r="F237" s="107"/>
      <c r="G237" s="107"/>
      <c r="H237" s="107"/>
      <c r="I237" s="107"/>
      <c r="J237" s="107"/>
      <c r="K237" s="87" t="str">
        <f t="shared" si="33"/>
        <v>kWh</v>
      </c>
      <c r="L237" s="85">
        <f t="shared" si="34"/>
        <v>0</v>
      </c>
      <c r="M237" s="119">
        <f t="shared" si="35"/>
        <v>0</v>
      </c>
      <c r="N237" s="107"/>
      <c r="O237" s="370"/>
      <c r="P237" s="370"/>
      <c r="Q237" s="370"/>
      <c r="R237" s="130"/>
      <c r="S237" s="130"/>
      <c r="T237" s="130"/>
      <c r="U237" s="130"/>
      <c r="V237" s="130"/>
      <c r="W237" s="1"/>
      <c r="X237" s="1"/>
      <c r="Y237" s="1"/>
    </row>
    <row r="238" spans="1:25" customFormat="1" ht="15" customHeight="1" outlineLevel="1">
      <c r="A238" s="1"/>
      <c r="B238" s="1"/>
      <c r="C238" s="2"/>
      <c r="D238" s="124" t="s">
        <v>173</v>
      </c>
      <c r="E238" s="1"/>
      <c r="F238" s="107"/>
      <c r="G238" s="107"/>
      <c r="H238" s="107"/>
      <c r="I238" s="107"/>
      <c r="J238" s="107"/>
      <c r="K238" s="87" t="str">
        <f t="shared" si="33"/>
        <v>kWh</v>
      </c>
      <c r="L238" s="85">
        <f t="shared" si="34"/>
        <v>0</v>
      </c>
      <c r="M238" s="119">
        <f t="shared" si="35"/>
        <v>0</v>
      </c>
      <c r="N238" s="107"/>
      <c r="O238" s="370"/>
      <c r="P238" s="370"/>
      <c r="Q238" s="370"/>
      <c r="R238" s="130"/>
      <c r="S238" s="130"/>
      <c r="T238" s="130"/>
      <c r="U238" s="130"/>
      <c r="V238" s="130"/>
      <c r="W238" s="1"/>
      <c r="X238" s="1"/>
      <c r="Y238" s="1"/>
    </row>
    <row r="239" spans="1:25" customFormat="1" ht="15" customHeight="1" outlineLevel="1">
      <c r="A239" s="1"/>
      <c r="B239" s="1"/>
      <c r="C239" s="2"/>
      <c r="D239" s="124" t="s">
        <v>174</v>
      </c>
      <c r="E239" s="1"/>
      <c r="F239" s="107"/>
      <c r="G239" s="107"/>
      <c r="H239" s="107"/>
      <c r="I239" s="107"/>
      <c r="J239" s="107"/>
      <c r="K239" s="87" t="str">
        <f t="shared" si="33"/>
        <v>kWh</v>
      </c>
      <c r="L239" s="85">
        <f t="shared" si="34"/>
        <v>0</v>
      </c>
      <c r="M239" s="119">
        <f t="shared" si="35"/>
        <v>0</v>
      </c>
      <c r="N239" s="107"/>
      <c r="O239" s="370"/>
      <c r="P239" s="370"/>
      <c r="Q239" s="370"/>
      <c r="R239" s="130"/>
      <c r="S239" s="130"/>
      <c r="T239" s="130"/>
      <c r="U239" s="130"/>
      <c r="V239" s="130"/>
      <c r="W239" s="1"/>
      <c r="X239" s="1"/>
      <c r="Y239" s="1"/>
    </row>
    <row r="240" spans="1:25" customFormat="1" ht="15" customHeight="1" outlineLevel="1">
      <c r="A240" s="1"/>
      <c r="B240" s="1"/>
      <c r="C240" s="2"/>
      <c r="D240" s="125" t="s">
        <v>175</v>
      </c>
      <c r="E240" s="27"/>
      <c r="F240" s="115"/>
      <c r="G240" s="115"/>
      <c r="H240" s="115"/>
      <c r="I240" s="115"/>
      <c r="J240" s="115"/>
      <c r="K240" s="98" t="str">
        <f t="shared" si="33"/>
        <v>kWh</v>
      </c>
      <c r="L240" s="99">
        <f t="shared" si="34"/>
        <v>0</v>
      </c>
      <c r="M240" s="151">
        <f t="shared" si="35"/>
        <v>0</v>
      </c>
      <c r="N240" s="115"/>
      <c r="O240" s="368"/>
      <c r="P240" s="368"/>
      <c r="Q240" s="368"/>
      <c r="R240" s="128"/>
      <c r="S240" s="128"/>
      <c r="T240" s="128"/>
      <c r="U240" s="128"/>
      <c r="V240" s="128"/>
      <c r="W240" s="27"/>
      <c r="X240" s="1"/>
      <c r="Y240" s="1"/>
    </row>
    <row r="241" spans="1:25" customFormat="1" ht="15" customHeight="1" outlineLevel="1">
      <c r="A241" s="1"/>
      <c r="B241" s="1"/>
      <c r="C241" s="2"/>
      <c r="D241" s="105" t="s">
        <v>16</v>
      </c>
      <c r="E241" s="33"/>
      <c r="F241" s="120"/>
      <c r="G241" s="120"/>
      <c r="H241" s="120"/>
      <c r="I241" s="120"/>
      <c r="J241" s="120"/>
      <c r="K241" s="106" t="str">
        <f>Model.Units2</f>
        <v>kWh</v>
      </c>
      <c r="L241" s="90"/>
      <c r="M241" s="99"/>
      <c r="N241" s="120"/>
      <c r="O241" s="371"/>
      <c r="P241" s="371"/>
      <c r="Q241" s="371"/>
      <c r="R241" s="186">
        <f xml:space="preserve"> SUM( R217:R240 )</f>
        <v>0</v>
      </c>
      <c r="S241" s="186">
        <f xml:space="preserve"> SUM( S217:S240 )</f>
        <v>0</v>
      </c>
      <c r="T241" s="186">
        <f xml:space="preserve"> SUM( T217:T240 )</f>
        <v>0</v>
      </c>
      <c r="U241" s="186">
        <f xml:space="preserve"> SUM( U217:U240 )</f>
        <v>0</v>
      </c>
      <c r="V241" s="186">
        <f xml:space="preserve"> SUM( V217:V240 )</f>
        <v>0</v>
      </c>
      <c r="W241" s="33"/>
      <c r="X241" s="1"/>
      <c r="Y241" s="1"/>
    </row>
    <row r="242" spans="1:25" customFormat="1" ht="15" customHeight="1" outlineLevel="1">
      <c r="A242" s="1"/>
      <c r="B242" s="1"/>
      <c r="C242" s="2"/>
      <c r="D242" s="85"/>
      <c r="E242" s="1"/>
      <c r="F242" s="107"/>
      <c r="G242" s="107"/>
      <c r="H242" s="107"/>
      <c r="I242" s="107"/>
      <c r="J242" s="107"/>
      <c r="K242" s="87"/>
      <c r="L242" s="85"/>
      <c r="M242" s="85"/>
      <c r="N242" s="107"/>
      <c r="O242" s="107"/>
      <c r="P242" s="107"/>
      <c r="Q242" s="107"/>
      <c r="R242" s="1"/>
      <c r="S242" s="1"/>
      <c r="T242" s="1"/>
      <c r="U242" s="1"/>
      <c r="V242" s="1"/>
      <c r="W242" s="1"/>
      <c r="X242" s="1"/>
      <c r="Y242" s="1"/>
    </row>
    <row r="243" spans="1:25" customFormat="1" ht="15" customHeight="1" outlineLevel="1">
      <c r="A243" s="1"/>
      <c r="B243" s="1"/>
      <c r="C243" s="2"/>
      <c r="D243" s="88" t="s">
        <v>506</v>
      </c>
      <c r="E243" s="1"/>
      <c r="F243" s="107"/>
      <c r="G243" s="107"/>
      <c r="H243" s="107"/>
      <c r="I243" s="107"/>
      <c r="J243" s="107"/>
      <c r="K243" s="87"/>
      <c r="L243" s="85"/>
      <c r="M243" s="85"/>
      <c r="N243" s="107"/>
      <c r="O243" s="107"/>
      <c r="P243" s="107"/>
      <c r="Q243" s="107"/>
      <c r="R243" s="1"/>
      <c r="S243" s="1"/>
      <c r="T243" s="1"/>
      <c r="U243" s="1"/>
      <c r="V243" s="1"/>
      <c r="W243" s="1"/>
      <c r="X243" s="1"/>
      <c r="Y243" s="1"/>
    </row>
    <row r="244" spans="1:25" customFormat="1" ht="15" customHeight="1" outlineLevel="1">
      <c r="A244" s="1"/>
      <c r="B244" s="1"/>
      <c r="C244" s="2"/>
      <c r="D244" s="122" t="s">
        <v>152</v>
      </c>
      <c r="E244" s="15"/>
      <c r="F244" s="116"/>
      <c r="G244" s="116"/>
      <c r="H244" s="116"/>
      <c r="I244" s="116"/>
      <c r="J244" s="116"/>
      <c r="K244" s="117" t="str">
        <f t="shared" ref="K244:K267" si="36">Model.Units2</f>
        <v>kWh</v>
      </c>
      <c r="L244" s="123">
        <f t="shared" ref="L244:L267" si="37" xml:space="preserve"> -- ( COUNTIF( R244:V244, "&lt;0" ) &gt; 0 ) +  -- ( COUNTIF( R244:V244, "*" ) &gt; 0 )</f>
        <v>0</v>
      </c>
      <c r="M244" s="142">
        <f t="shared" ref="M244:M267" si="38" xml:space="preserve"> -- ( IF( $N$15 = "Nej", OR( COUNTIF( R244:V244,  "=0" ) &gt; 0, COUNTIF( R244:V244,  "" ) &gt; 0 ), 0 ) )</f>
        <v>0</v>
      </c>
      <c r="N244" s="116"/>
      <c r="O244" s="369"/>
      <c r="P244" s="369"/>
      <c r="Q244" s="369"/>
      <c r="R244" s="126"/>
      <c r="S244" s="126"/>
      <c r="T244" s="126"/>
      <c r="U244" s="126"/>
      <c r="V244" s="126"/>
      <c r="W244" s="15"/>
      <c r="X244" s="1"/>
      <c r="Y244" s="1"/>
    </row>
    <row r="245" spans="1:25" customFormat="1" ht="15" customHeight="1" outlineLevel="1">
      <c r="A245" s="1"/>
      <c r="B245" s="1"/>
      <c r="C245" s="2"/>
      <c r="D245" s="124" t="s">
        <v>153</v>
      </c>
      <c r="E245" s="1"/>
      <c r="F245" s="107"/>
      <c r="G245" s="107"/>
      <c r="H245" s="107"/>
      <c r="I245" s="107"/>
      <c r="J245" s="107"/>
      <c r="K245" s="87" t="str">
        <f t="shared" si="36"/>
        <v>kWh</v>
      </c>
      <c r="L245" s="85">
        <f t="shared" si="37"/>
        <v>0</v>
      </c>
      <c r="M245" s="119">
        <f t="shared" si="38"/>
        <v>0</v>
      </c>
      <c r="N245" s="107"/>
      <c r="O245" s="370"/>
      <c r="P245" s="370"/>
      <c r="Q245" s="370"/>
      <c r="R245" s="286"/>
      <c r="S245" s="286"/>
      <c r="T245" s="286"/>
      <c r="U245" s="286"/>
      <c r="V245" s="286"/>
      <c r="W245" s="1"/>
      <c r="X245" s="1"/>
      <c r="Y245" s="1"/>
    </row>
    <row r="246" spans="1:25" customFormat="1" ht="15" customHeight="1" outlineLevel="1">
      <c r="A246" s="1"/>
      <c r="B246" s="1"/>
      <c r="C246" s="2"/>
      <c r="D246" s="124" t="s">
        <v>154</v>
      </c>
      <c r="E246" s="1"/>
      <c r="F246" s="107"/>
      <c r="G246" s="107"/>
      <c r="H246" s="107"/>
      <c r="I246" s="107"/>
      <c r="J246" s="107"/>
      <c r="K246" s="87" t="str">
        <f t="shared" si="36"/>
        <v>kWh</v>
      </c>
      <c r="L246" s="85">
        <f t="shared" si="37"/>
        <v>0</v>
      </c>
      <c r="M246" s="119">
        <f t="shared" si="38"/>
        <v>0</v>
      </c>
      <c r="N246" s="107"/>
      <c r="O246" s="370"/>
      <c r="P246" s="370"/>
      <c r="Q246" s="370"/>
      <c r="R246" s="286"/>
      <c r="S246" s="286"/>
      <c r="T246" s="286"/>
      <c r="U246" s="286"/>
      <c r="V246" s="286"/>
      <c r="W246" s="1"/>
      <c r="X246" s="1"/>
      <c r="Y246" s="1"/>
    </row>
    <row r="247" spans="1:25" customFormat="1" ht="15" customHeight="1" outlineLevel="1">
      <c r="A247" s="1"/>
      <c r="B247" s="1"/>
      <c r="C247" s="2"/>
      <c r="D247" s="124" t="s">
        <v>155</v>
      </c>
      <c r="E247" s="1"/>
      <c r="F247" s="107"/>
      <c r="G247" s="107"/>
      <c r="H247" s="107"/>
      <c r="I247" s="107"/>
      <c r="J247" s="107"/>
      <c r="K247" s="87" t="str">
        <f t="shared" si="36"/>
        <v>kWh</v>
      </c>
      <c r="L247" s="85">
        <f t="shared" si="37"/>
        <v>0</v>
      </c>
      <c r="M247" s="119">
        <f t="shared" si="38"/>
        <v>0</v>
      </c>
      <c r="N247" s="107"/>
      <c r="O247" s="370"/>
      <c r="P247" s="370"/>
      <c r="Q247" s="370"/>
      <c r="R247" s="130"/>
      <c r="S247" s="130"/>
      <c r="T247" s="130"/>
      <c r="U247" s="130"/>
      <c r="V247" s="130"/>
      <c r="W247" s="1"/>
      <c r="X247" s="1"/>
      <c r="Y247" s="1"/>
    </row>
    <row r="248" spans="1:25" customFormat="1" ht="15" customHeight="1" outlineLevel="1">
      <c r="A248" s="1"/>
      <c r="B248" s="1"/>
      <c r="C248" s="2"/>
      <c r="D248" s="124" t="s">
        <v>156</v>
      </c>
      <c r="E248" s="1"/>
      <c r="F248" s="107"/>
      <c r="G248" s="107"/>
      <c r="H248" s="107"/>
      <c r="I248" s="107"/>
      <c r="J248" s="107"/>
      <c r="K248" s="87" t="str">
        <f t="shared" si="36"/>
        <v>kWh</v>
      </c>
      <c r="L248" s="85">
        <f t="shared" si="37"/>
        <v>0</v>
      </c>
      <c r="M248" s="119">
        <f t="shared" si="38"/>
        <v>0</v>
      </c>
      <c r="N248" s="107"/>
      <c r="O248" s="370"/>
      <c r="P248" s="370"/>
      <c r="Q248" s="370"/>
      <c r="R248" s="130"/>
      <c r="S248" s="130"/>
      <c r="T248" s="130"/>
      <c r="U248" s="130"/>
      <c r="V248" s="130"/>
      <c r="W248" s="1"/>
      <c r="X248" s="1"/>
      <c r="Y248" s="1"/>
    </row>
    <row r="249" spans="1:25" customFormat="1" ht="15" customHeight="1" outlineLevel="1">
      <c r="A249" s="1"/>
      <c r="B249" s="1"/>
      <c r="C249" s="2"/>
      <c r="D249" s="124" t="s">
        <v>157</v>
      </c>
      <c r="E249" s="1"/>
      <c r="F249" s="107"/>
      <c r="G249" s="107"/>
      <c r="H249" s="107"/>
      <c r="I249" s="107"/>
      <c r="J249" s="107"/>
      <c r="K249" s="87" t="str">
        <f t="shared" si="36"/>
        <v>kWh</v>
      </c>
      <c r="L249" s="85">
        <f t="shared" si="37"/>
        <v>0</v>
      </c>
      <c r="M249" s="119">
        <f t="shared" si="38"/>
        <v>0</v>
      </c>
      <c r="N249" s="107"/>
      <c r="O249" s="370"/>
      <c r="P249" s="370"/>
      <c r="Q249" s="370"/>
      <c r="R249" s="130"/>
      <c r="S249" s="130"/>
      <c r="T249" s="130"/>
      <c r="U249" s="130"/>
      <c r="V249" s="130"/>
      <c r="W249" s="1"/>
      <c r="X249" s="1"/>
      <c r="Y249" s="1"/>
    </row>
    <row r="250" spans="1:25" customFormat="1" ht="15" customHeight="1" outlineLevel="1">
      <c r="A250" s="1"/>
      <c r="B250" s="1"/>
      <c r="C250" s="2"/>
      <c r="D250" s="124" t="s">
        <v>158</v>
      </c>
      <c r="E250" s="1"/>
      <c r="F250" s="107"/>
      <c r="G250" s="107"/>
      <c r="H250" s="107"/>
      <c r="I250" s="107"/>
      <c r="J250" s="107"/>
      <c r="K250" s="87" t="str">
        <f t="shared" si="36"/>
        <v>kWh</v>
      </c>
      <c r="L250" s="85">
        <f t="shared" si="37"/>
        <v>0</v>
      </c>
      <c r="M250" s="119">
        <f t="shared" si="38"/>
        <v>0</v>
      </c>
      <c r="N250" s="107"/>
      <c r="O250" s="370"/>
      <c r="P250" s="370"/>
      <c r="Q250" s="370"/>
      <c r="R250" s="130"/>
      <c r="S250" s="130"/>
      <c r="T250" s="130"/>
      <c r="U250" s="130"/>
      <c r="V250" s="130"/>
      <c r="W250" s="1"/>
      <c r="X250" s="1"/>
      <c r="Y250" s="1"/>
    </row>
    <row r="251" spans="1:25" customFormat="1" ht="15" customHeight="1" outlineLevel="1">
      <c r="A251" s="1"/>
      <c r="B251" s="1"/>
      <c r="C251" s="2"/>
      <c r="D251" s="124" t="s">
        <v>159</v>
      </c>
      <c r="E251" s="1"/>
      <c r="F251" s="107"/>
      <c r="G251" s="107"/>
      <c r="H251" s="107"/>
      <c r="I251" s="107"/>
      <c r="J251" s="107"/>
      <c r="K251" s="87" t="str">
        <f t="shared" si="36"/>
        <v>kWh</v>
      </c>
      <c r="L251" s="85">
        <f t="shared" si="37"/>
        <v>0</v>
      </c>
      <c r="M251" s="119">
        <f t="shared" si="38"/>
        <v>0</v>
      </c>
      <c r="N251" s="107"/>
      <c r="O251" s="370"/>
      <c r="P251" s="370"/>
      <c r="Q251" s="370"/>
      <c r="R251" s="130"/>
      <c r="S251" s="130"/>
      <c r="T251" s="130"/>
      <c r="U251" s="130"/>
      <c r="V251" s="130"/>
      <c r="W251" s="1"/>
      <c r="X251" s="1"/>
      <c r="Y251" s="1"/>
    </row>
    <row r="252" spans="1:25" customFormat="1" ht="15" customHeight="1" outlineLevel="1">
      <c r="A252" s="1"/>
      <c r="B252" s="1"/>
      <c r="C252" s="2"/>
      <c r="D252" s="124" t="s">
        <v>160</v>
      </c>
      <c r="E252" s="1"/>
      <c r="F252" s="107"/>
      <c r="G252" s="107"/>
      <c r="H252" s="107"/>
      <c r="I252" s="107"/>
      <c r="J252" s="107"/>
      <c r="K252" s="87" t="str">
        <f t="shared" si="36"/>
        <v>kWh</v>
      </c>
      <c r="L252" s="85">
        <f t="shared" si="37"/>
        <v>0</v>
      </c>
      <c r="M252" s="119">
        <f t="shared" si="38"/>
        <v>0</v>
      </c>
      <c r="N252" s="107"/>
      <c r="O252" s="370"/>
      <c r="P252" s="370"/>
      <c r="Q252" s="370"/>
      <c r="R252" s="130"/>
      <c r="S252" s="130"/>
      <c r="T252" s="130"/>
      <c r="U252" s="130"/>
      <c r="V252" s="130"/>
      <c r="W252" s="1"/>
      <c r="X252" s="1"/>
      <c r="Y252" s="1"/>
    </row>
    <row r="253" spans="1:25" customFormat="1" ht="15" customHeight="1" outlineLevel="1">
      <c r="A253" s="1"/>
      <c r="B253" s="1"/>
      <c r="C253" s="2"/>
      <c r="D253" s="124" t="s">
        <v>161</v>
      </c>
      <c r="E253" s="1"/>
      <c r="F253" s="107"/>
      <c r="G253" s="107"/>
      <c r="H253" s="107"/>
      <c r="I253" s="107"/>
      <c r="J253" s="107"/>
      <c r="K253" s="87" t="str">
        <f t="shared" si="36"/>
        <v>kWh</v>
      </c>
      <c r="L253" s="85">
        <f t="shared" si="37"/>
        <v>0</v>
      </c>
      <c r="M253" s="119">
        <f t="shared" si="38"/>
        <v>0</v>
      </c>
      <c r="N253" s="107"/>
      <c r="O253" s="370"/>
      <c r="P253" s="370"/>
      <c r="Q253" s="370"/>
      <c r="R253" s="130"/>
      <c r="S253" s="130"/>
      <c r="T253" s="130"/>
      <c r="U253" s="130"/>
      <c r="V253" s="130"/>
      <c r="W253" s="1"/>
      <c r="X253" s="1"/>
      <c r="Y253" s="1"/>
    </row>
    <row r="254" spans="1:25" customFormat="1" ht="15" customHeight="1" outlineLevel="1">
      <c r="A254" s="1"/>
      <c r="B254" s="1"/>
      <c r="C254" s="2"/>
      <c r="D254" s="124" t="s">
        <v>162</v>
      </c>
      <c r="E254" s="1"/>
      <c r="F254" s="107"/>
      <c r="G254" s="107"/>
      <c r="H254" s="107"/>
      <c r="I254" s="107"/>
      <c r="J254" s="107"/>
      <c r="K254" s="87" t="str">
        <f t="shared" si="36"/>
        <v>kWh</v>
      </c>
      <c r="L254" s="85">
        <f t="shared" si="37"/>
        <v>0</v>
      </c>
      <c r="M254" s="119">
        <f t="shared" si="38"/>
        <v>0</v>
      </c>
      <c r="N254" s="107"/>
      <c r="O254" s="370"/>
      <c r="P254" s="370"/>
      <c r="Q254" s="370"/>
      <c r="R254" s="130"/>
      <c r="S254" s="130"/>
      <c r="T254" s="130"/>
      <c r="U254" s="130"/>
      <c r="V254" s="130"/>
      <c r="W254" s="1"/>
      <c r="X254" s="1"/>
      <c r="Y254" s="1"/>
    </row>
    <row r="255" spans="1:25" customFormat="1" ht="15" customHeight="1" outlineLevel="1">
      <c r="A255" s="1"/>
      <c r="B255" s="1"/>
      <c r="C255" s="2"/>
      <c r="D255" s="124" t="s">
        <v>163</v>
      </c>
      <c r="E255" s="1"/>
      <c r="F255" s="107"/>
      <c r="G255" s="107"/>
      <c r="H255" s="107"/>
      <c r="I255" s="107"/>
      <c r="J255" s="107"/>
      <c r="K255" s="87" t="str">
        <f t="shared" si="36"/>
        <v>kWh</v>
      </c>
      <c r="L255" s="85">
        <f t="shared" si="37"/>
        <v>0</v>
      </c>
      <c r="M255" s="119">
        <f t="shared" si="38"/>
        <v>0</v>
      </c>
      <c r="N255" s="107"/>
      <c r="O255" s="370"/>
      <c r="P255" s="370"/>
      <c r="Q255" s="370"/>
      <c r="R255" s="130"/>
      <c r="S255" s="130"/>
      <c r="T255" s="130"/>
      <c r="U255" s="130"/>
      <c r="V255" s="130"/>
      <c r="W255" s="1"/>
      <c r="X255" s="1"/>
      <c r="Y255" s="1"/>
    </row>
    <row r="256" spans="1:25" customFormat="1" ht="15" customHeight="1" outlineLevel="1">
      <c r="A256" s="1"/>
      <c r="B256" s="1"/>
      <c r="C256" s="2"/>
      <c r="D256" s="124" t="s">
        <v>164</v>
      </c>
      <c r="E256" s="1"/>
      <c r="F256" s="107"/>
      <c r="G256" s="107"/>
      <c r="H256" s="107"/>
      <c r="I256" s="107"/>
      <c r="J256" s="107"/>
      <c r="K256" s="87" t="str">
        <f t="shared" si="36"/>
        <v>kWh</v>
      </c>
      <c r="L256" s="85">
        <f t="shared" si="37"/>
        <v>0</v>
      </c>
      <c r="M256" s="119">
        <f t="shared" si="38"/>
        <v>0</v>
      </c>
      <c r="N256" s="107"/>
      <c r="O256" s="370"/>
      <c r="P256" s="370"/>
      <c r="Q256" s="370"/>
      <c r="R256" s="130"/>
      <c r="S256" s="130"/>
      <c r="T256" s="130"/>
      <c r="U256" s="130"/>
      <c r="V256" s="130"/>
      <c r="W256" s="1"/>
      <c r="X256" s="1"/>
      <c r="Y256" s="1"/>
    </row>
    <row r="257" spans="1:25" customFormat="1" ht="15" customHeight="1" outlineLevel="1">
      <c r="A257" s="1"/>
      <c r="B257" s="1"/>
      <c r="C257" s="2"/>
      <c r="D257" s="124" t="s">
        <v>165</v>
      </c>
      <c r="E257" s="1"/>
      <c r="F257" s="107"/>
      <c r="G257" s="107"/>
      <c r="H257" s="107"/>
      <c r="I257" s="107"/>
      <c r="J257" s="107"/>
      <c r="K257" s="87" t="str">
        <f t="shared" si="36"/>
        <v>kWh</v>
      </c>
      <c r="L257" s="85">
        <f t="shared" si="37"/>
        <v>0</v>
      </c>
      <c r="M257" s="119">
        <f t="shared" si="38"/>
        <v>0</v>
      </c>
      <c r="N257" s="107"/>
      <c r="O257" s="370"/>
      <c r="P257" s="370"/>
      <c r="Q257" s="370"/>
      <c r="R257" s="130"/>
      <c r="S257" s="130"/>
      <c r="T257" s="130"/>
      <c r="U257" s="130"/>
      <c r="V257" s="130"/>
      <c r="W257" s="1"/>
      <c r="X257" s="1"/>
      <c r="Y257" s="1"/>
    </row>
    <row r="258" spans="1:25" customFormat="1" ht="15" customHeight="1" outlineLevel="1">
      <c r="A258" s="1"/>
      <c r="B258" s="1"/>
      <c r="C258" s="2"/>
      <c r="D258" s="124" t="s">
        <v>166</v>
      </c>
      <c r="E258" s="1"/>
      <c r="F258" s="107"/>
      <c r="G258" s="107"/>
      <c r="H258" s="107"/>
      <c r="I258" s="107"/>
      <c r="J258" s="107"/>
      <c r="K258" s="87" t="str">
        <f t="shared" si="36"/>
        <v>kWh</v>
      </c>
      <c r="L258" s="85">
        <f t="shared" si="37"/>
        <v>0</v>
      </c>
      <c r="M258" s="119">
        <f t="shared" si="38"/>
        <v>0</v>
      </c>
      <c r="N258" s="107"/>
      <c r="O258" s="370"/>
      <c r="P258" s="370"/>
      <c r="Q258" s="370"/>
      <c r="R258" s="130"/>
      <c r="S258" s="130"/>
      <c r="T258" s="130"/>
      <c r="U258" s="130"/>
      <c r="V258" s="130"/>
      <c r="W258" s="1"/>
      <c r="X258" s="1"/>
      <c r="Y258" s="1"/>
    </row>
    <row r="259" spans="1:25" customFormat="1" ht="15" customHeight="1" outlineLevel="1">
      <c r="A259" s="1"/>
      <c r="B259" s="1"/>
      <c r="C259" s="2"/>
      <c r="D259" s="124" t="s">
        <v>167</v>
      </c>
      <c r="E259" s="1"/>
      <c r="F259" s="107"/>
      <c r="G259" s="107"/>
      <c r="H259" s="107"/>
      <c r="I259" s="107"/>
      <c r="J259" s="107"/>
      <c r="K259" s="87" t="str">
        <f t="shared" si="36"/>
        <v>kWh</v>
      </c>
      <c r="L259" s="85">
        <f t="shared" si="37"/>
        <v>0</v>
      </c>
      <c r="M259" s="119">
        <f t="shared" si="38"/>
        <v>0</v>
      </c>
      <c r="N259" s="107"/>
      <c r="O259" s="370"/>
      <c r="P259" s="370"/>
      <c r="Q259" s="370"/>
      <c r="R259" s="130"/>
      <c r="S259" s="130"/>
      <c r="T259" s="130"/>
      <c r="U259" s="130"/>
      <c r="V259" s="130"/>
      <c r="W259" s="1"/>
      <c r="X259" s="1"/>
      <c r="Y259" s="1"/>
    </row>
    <row r="260" spans="1:25" customFormat="1" ht="15" customHeight="1" outlineLevel="1">
      <c r="A260" s="1"/>
      <c r="B260" s="1"/>
      <c r="C260" s="2"/>
      <c r="D260" s="124" t="s">
        <v>168</v>
      </c>
      <c r="E260" s="1"/>
      <c r="F260" s="107"/>
      <c r="G260" s="107"/>
      <c r="H260" s="107"/>
      <c r="I260" s="107"/>
      <c r="J260" s="107"/>
      <c r="K260" s="87" t="str">
        <f t="shared" si="36"/>
        <v>kWh</v>
      </c>
      <c r="L260" s="85">
        <f t="shared" si="37"/>
        <v>0</v>
      </c>
      <c r="M260" s="119">
        <f t="shared" si="38"/>
        <v>0</v>
      </c>
      <c r="N260" s="107"/>
      <c r="O260" s="370"/>
      <c r="P260" s="370"/>
      <c r="Q260" s="370"/>
      <c r="R260" s="130"/>
      <c r="S260" s="130"/>
      <c r="T260" s="130"/>
      <c r="U260" s="130"/>
      <c r="V260" s="130"/>
      <c r="W260" s="1"/>
      <c r="X260" s="1"/>
      <c r="Y260" s="1"/>
    </row>
    <row r="261" spans="1:25" customFormat="1" ht="15" customHeight="1" outlineLevel="1">
      <c r="A261" s="1"/>
      <c r="B261" s="1"/>
      <c r="C261" s="2"/>
      <c r="D261" s="124" t="s">
        <v>169</v>
      </c>
      <c r="E261" s="1"/>
      <c r="F261" s="107"/>
      <c r="G261" s="107"/>
      <c r="H261" s="107"/>
      <c r="I261" s="107"/>
      <c r="J261" s="107"/>
      <c r="K261" s="87" t="str">
        <f t="shared" si="36"/>
        <v>kWh</v>
      </c>
      <c r="L261" s="85">
        <f t="shared" si="37"/>
        <v>0</v>
      </c>
      <c r="M261" s="119">
        <f t="shared" si="38"/>
        <v>0</v>
      </c>
      <c r="N261" s="107"/>
      <c r="O261" s="370"/>
      <c r="P261" s="370"/>
      <c r="Q261" s="370"/>
      <c r="R261" s="130"/>
      <c r="S261" s="130"/>
      <c r="T261" s="130"/>
      <c r="U261" s="130"/>
      <c r="V261" s="130"/>
      <c r="W261" s="1"/>
      <c r="X261" s="1"/>
      <c r="Y261" s="1"/>
    </row>
    <row r="262" spans="1:25" customFormat="1" ht="15" customHeight="1" outlineLevel="1">
      <c r="A262" s="1"/>
      <c r="B262" s="1"/>
      <c r="C262" s="2"/>
      <c r="D262" s="124" t="s">
        <v>170</v>
      </c>
      <c r="E262" s="1"/>
      <c r="F262" s="107"/>
      <c r="G262" s="107"/>
      <c r="H262" s="107"/>
      <c r="I262" s="107"/>
      <c r="J262" s="107"/>
      <c r="K262" s="87" t="str">
        <f t="shared" si="36"/>
        <v>kWh</v>
      </c>
      <c r="L262" s="85">
        <f t="shared" si="37"/>
        <v>0</v>
      </c>
      <c r="M262" s="119">
        <f t="shared" si="38"/>
        <v>0</v>
      </c>
      <c r="N262" s="107"/>
      <c r="O262" s="370"/>
      <c r="P262" s="370"/>
      <c r="Q262" s="370"/>
      <c r="R262" s="130"/>
      <c r="S262" s="130"/>
      <c r="T262" s="130"/>
      <c r="U262" s="130"/>
      <c r="V262" s="130"/>
      <c r="W262" s="1"/>
      <c r="X262" s="1"/>
      <c r="Y262" s="1"/>
    </row>
    <row r="263" spans="1:25" customFormat="1" ht="15" customHeight="1" outlineLevel="1">
      <c r="A263" s="1"/>
      <c r="B263" s="1"/>
      <c r="C263" s="2"/>
      <c r="D263" s="124" t="s">
        <v>171</v>
      </c>
      <c r="E263" s="1"/>
      <c r="F263" s="107"/>
      <c r="G263" s="107"/>
      <c r="H263" s="107"/>
      <c r="I263" s="107"/>
      <c r="J263" s="107"/>
      <c r="K263" s="87" t="str">
        <f t="shared" si="36"/>
        <v>kWh</v>
      </c>
      <c r="L263" s="85">
        <f t="shared" si="37"/>
        <v>0</v>
      </c>
      <c r="M263" s="119">
        <f t="shared" si="38"/>
        <v>0</v>
      </c>
      <c r="N263" s="107"/>
      <c r="O263" s="370"/>
      <c r="P263" s="370"/>
      <c r="Q263" s="370"/>
      <c r="R263" s="130"/>
      <c r="S263" s="130"/>
      <c r="T263" s="130"/>
      <c r="U263" s="130"/>
      <c r="V263" s="130"/>
      <c r="W263" s="1"/>
      <c r="X263" s="1"/>
      <c r="Y263" s="1"/>
    </row>
    <row r="264" spans="1:25" customFormat="1" ht="15" customHeight="1" outlineLevel="1">
      <c r="A264" s="1"/>
      <c r="B264" s="1"/>
      <c r="C264" s="2"/>
      <c r="D264" s="124" t="s">
        <v>172</v>
      </c>
      <c r="E264" s="1"/>
      <c r="F264" s="107"/>
      <c r="G264" s="107"/>
      <c r="H264" s="107"/>
      <c r="I264" s="107"/>
      <c r="J264" s="107"/>
      <c r="K264" s="87" t="str">
        <f t="shared" si="36"/>
        <v>kWh</v>
      </c>
      <c r="L264" s="85">
        <f t="shared" si="37"/>
        <v>0</v>
      </c>
      <c r="M264" s="119">
        <f t="shared" si="38"/>
        <v>0</v>
      </c>
      <c r="N264" s="107"/>
      <c r="O264" s="370"/>
      <c r="P264" s="370"/>
      <c r="Q264" s="370"/>
      <c r="R264" s="130"/>
      <c r="S264" s="130"/>
      <c r="T264" s="130"/>
      <c r="U264" s="130"/>
      <c r="V264" s="130"/>
      <c r="W264" s="1"/>
      <c r="X264" s="1"/>
      <c r="Y264" s="1"/>
    </row>
    <row r="265" spans="1:25" customFormat="1" ht="15" customHeight="1" outlineLevel="1">
      <c r="A265" s="1"/>
      <c r="B265" s="1"/>
      <c r="C265" s="2"/>
      <c r="D265" s="124" t="s">
        <v>173</v>
      </c>
      <c r="E265" s="1"/>
      <c r="F265" s="107"/>
      <c r="G265" s="107"/>
      <c r="H265" s="107"/>
      <c r="I265" s="107"/>
      <c r="J265" s="107"/>
      <c r="K265" s="87" t="str">
        <f t="shared" si="36"/>
        <v>kWh</v>
      </c>
      <c r="L265" s="85">
        <f t="shared" si="37"/>
        <v>0</v>
      </c>
      <c r="M265" s="119">
        <f t="shared" si="38"/>
        <v>0</v>
      </c>
      <c r="N265" s="107"/>
      <c r="O265" s="370"/>
      <c r="P265" s="370"/>
      <c r="Q265" s="370"/>
      <c r="R265" s="130"/>
      <c r="S265" s="130"/>
      <c r="T265" s="130"/>
      <c r="U265" s="130"/>
      <c r="V265" s="130"/>
      <c r="W265" s="1"/>
      <c r="X265" s="1"/>
      <c r="Y265" s="1"/>
    </row>
    <row r="266" spans="1:25" customFormat="1" ht="15" customHeight="1" outlineLevel="1">
      <c r="A266" s="1"/>
      <c r="B266" s="1"/>
      <c r="C266" s="2"/>
      <c r="D266" s="124" t="s">
        <v>174</v>
      </c>
      <c r="E266" s="1"/>
      <c r="F266" s="107"/>
      <c r="G266" s="107"/>
      <c r="H266" s="107"/>
      <c r="I266" s="107"/>
      <c r="J266" s="107"/>
      <c r="K266" s="87" t="str">
        <f t="shared" si="36"/>
        <v>kWh</v>
      </c>
      <c r="L266" s="85">
        <f t="shared" si="37"/>
        <v>0</v>
      </c>
      <c r="M266" s="119">
        <f t="shared" si="38"/>
        <v>0</v>
      </c>
      <c r="N266" s="107"/>
      <c r="O266" s="370"/>
      <c r="P266" s="370"/>
      <c r="Q266" s="370"/>
      <c r="R266" s="130"/>
      <c r="S266" s="130"/>
      <c r="T266" s="130"/>
      <c r="U266" s="130"/>
      <c r="V266" s="130"/>
      <c r="W266" s="1"/>
      <c r="X266" s="1"/>
      <c r="Y266" s="1"/>
    </row>
    <row r="267" spans="1:25" customFormat="1" ht="15" customHeight="1" outlineLevel="1">
      <c r="A267" s="1"/>
      <c r="B267" s="1"/>
      <c r="C267" s="2"/>
      <c r="D267" s="125" t="s">
        <v>175</v>
      </c>
      <c r="E267" s="27"/>
      <c r="F267" s="115"/>
      <c r="G267" s="115"/>
      <c r="H267" s="115"/>
      <c r="I267" s="115"/>
      <c r="J267" s="115"/>
      <c r="K267" s="98" t="str">
        <f t="shared" si="36"/>
        <v>kWh</v>
      </c>
      <c r="L267" s="99">
        <f t="shared" si="37"/>
        <v>0</v>
      </c>
      <c r="M267" s="151">
        <f t="shared" si="38"/>
        <v>0</v>
      </c>
      <c r="N267" s="115"/>
      <c r="O267" s="368"/>
      <c r="P267" s="368"/>
      <c r="Q267" s="368"/>
      <c r="R267" s="128"/>
      <c r="S267" s="128"/>
      <c r="T267" s="128"/>
      <c r="U267" s="128"/>
      <c r="V267" s="128"/>
      <c r="W267" s="27"/>
      <c r="X267" s="1"/>
      <c r="Y267" s="1"/>
    </row>
    <row r="268" spans="1:25" customFormat="1" ht="15" customHeight="1" outlineLevel="1">
      <c r="A268" s="1"/>
      <c r="B268" s="1"/>
      <c r="C268" s="2"/>
      <c r="D268" s="105" t="s">
        <v>16</v>
      </c>
      <c r="E268" s="33"/>
      <c r="F268" s="120"/>
      <c r="G268" s="120"/>
      <c r="H268" s="120"/>
      <c r="I268" s="120"/>
      <c r="J268" s="120"/>
      <c r="K268" s="106" t="str">
        <f>Model.Units2</f>
        <v>kWh</v>
      </c>
      <c r="L268" s="90"/>
      <c r="M268" s="99"/>
      <c r="N268" s="120"/>
      <c r="O268" s="371"/>
      <c r="P268" s="371"/>
      <c r="Q268" s="371"/>
      <c r="R268" s="186">
        <f xml:space="preserve"> SUM( R244:R267 )</f>
        <v>0</v>
      </c>
      <c r="S268" s="186">
        <f xml:space="preserve"> SUM( S244:S267 )</f>
        <v>0</v>
      </c>
      <c r="T268" s="186">
        <f xml:space="preserve"> SUM( T244:T267 )</f>
        <v>0</v>
      </c>
      <c r="U268" s="186">
        <f xml:space="preserve"> SUM( U244:U267 )</f>
        <v>0</v>
      </c>
      <c r="V268" s="186">
        <f xml:space="preserve"> SUM( V244:V267 )</f>
        <v>0</v>
      </c>
      <c r="W268" s="33"/>
      <c r="X268" s="1"/>
      <c r="Y268" s="1"/>
    </row>
    <row r="269" spans="1:25" customFormat="1" ht="15" customHeight="1" outlineLevel="1">
      <c r="A269" s="1"/>
      <c r="B269" s="1"/>
      <c r="C269" s="2"/>
      <c r="D269" s="85"/>
      <c r="E269" s="1"/>
      <c r="F269" s="107"/>
      <c r="G269" s="107"/>
      <c r="H269" s="107"/>
      <c r="I269" s="107"/>
      <c r="J269" s="107"/>
      <c r="K269" s="87"/>
      <c r="L269" s="85"/>
      <c r="M269" s="85"/>
      <c r="N269" s="107"/>
      <c r="O269" s="107"/>
      <c r="P269" s="107"/>
      <c r="Q269" s="107"/>
      <c r="R269" s="1"/>
      <c r="S269" s="1"/>
      <c r="T269" s="1"/>
      <c r="U269" s="1"/>
      <c r="V269" s="1"/>
      <c r="W269" s="1"/>
      <c r="X269" s="1"/>
      <c r="Y269" s="1"/>
    </row>
    <row r="270" spans="1:25" customFormat="1" ht="15" customHeight="1" outlineLevel="1">
      <c r="A270" s="1"/>
      <c r="B270" s="1"/>
      <c r="C270" s="2"/>
      <c r="D270" s="88" t="s">
        <v>507</v>
      </c>
      <c r="E270" s="1"/>
      <c r="F270" s="107"/>
      <c r="G270" s="107"/>
      <c r="H270" s="107"/>
      <c r="I270" s="107"/>
      <c r="J270" s="107"/>
      <c r="K270" s="87"/>
      <c r="L270" s="85"/>
      <c r="M270" s="85"/>
      <c r="N270" s="107"/>
      <c r="O270" s="107"/>
      <c r="P270" s="107"/>
      <c r="Q270" s="107"/>
      <c r="R270" s="1"/>
      <c r="S270" s="1"/>
      <c r="T270" s="1"/>
      <c r="U270" s="1"/>
      <c r="V270" s="1"/>
      <c r="W270" s="1"/>
      <c r="X270" s="1"/>
      <c r="Y270" s="1"/>
    </row>
    <row r="271" spans="1:25" customFormat="1" ht="15" customHeight="1" outlineLevel="1">
      <c r="A271" s="1"/>
      <c r="B271" s="1"/>
      <c r="C271" s="2"/>
      <c r="D271" s="122" t="s">
        <v>152</v>
      </c>
      <c r="E271" s="15"/>
      <c r="F271" s="116"/>
      <c r="G271" s="116"/>
      <c r="H271" s="116"/>
      <c r="I271" s="116"/>
      <c r="J271" s="116"/>
      <c r="K271" s="117" t="str">
        <f t="shared" ref="K271:K294" si="39">Model.Units2</f>
        <v>kWh</v>
      </c>
      <c r="L271" s="123">
        <f t="shared" ref="L271:L294" si="40" xml:space="preserve"> -- ( COUNTIF( R271:V271, "&lt;0" ) &gt; 0 ) +  -- ( COUNTIF( R271:V271, "*" ) &gt; 0 )</f>
        <v>0</v>
      </c>
      <c r="M271" s="142">
        <f t="shared" ref="M271:M294" si="41" xml:space="preserve"> -- ( IF( $N$15 = "Nej", OR( COUNTIF( R271:V271,  "=0" ) &gt; 0, COUNTIF( R271:V271,  "" ) &gt; 0 ), 0 ) )</f>
        <v>0</v>
      </c>
      <c r="N271" s="116"/>
      <c r="O271" s="369"/>
      <c r="P271" s="369"/>
      <c r="Q271" s="369"/>
      <c r="R271" s="126"/>
      <c r="S271" s="126"/>
      <c r="T271" s="126"/>
      <c r="U271" s="126"/>
      <c r="V271" s="126"/>
      <c r="W271" s="15"/>
      <c r="X271" s="1"/>
      <c r="Y271" s="1"/>
    </row>
    <row r="272" spans="1:25" customFormat="1" ht="15" customHeight="1" outlineLevel="1">
      <c r="A272" s="1"/>
      <c r="B272" s="1"/>
      <c r="C272" s="2"/>
      <c r="D272" s="124" t="s">
        <v>153</v>
      </c>
      <c r="E272" s="1"/>
      <c r="F272" s="107"/>
      <c r="G272" s="107"/>
      <c r="H272" s="107"/>
      <c r="I272" s="107"/>
      <c r="J272" s="107"/>
      <c r="K272" s="87" t="str">
        <f t="shared" si="39"/>
        <v>kWh</v>
      </c>
      <c r="L272" s="85">
        <f t="shared" si="40"/>
        <v>0</v>
      </c>
      <c r="M272" s="119">
        <f t="shared" si="41"/>
        <v>0</v>
      </c>
      <c r="N272" s="107"/>
      <c r="O272" s="370"/>
      <c r="P272" s="370"/>
      <c r="Q272" s="370"/>
      <c r="R272" s="286"/>
      <c r="S272" s="286"/>
      <c r="T272" s="286"/>
      <c r="U272" s="286"/>
      <c r="V272" s="286"/>
      <c r="W272" s="1"/>
      <c r="X272" s="1"/>
      <c r="Y272" s="1"/>
    </row>
    <row r="273" spans="1:25" customFormat="1" ht="15" customHeight="1" outlineLevel="1">
      <c r="A273" s="1"/>
      <c r="B273" s="1"/>
      <c r="C273" s="2"/>
      <c r="D273" s="124" t="s">
        <v>154</v>
      </c>
      <c r="E273" s="1"/>
      <c r="F273" s="107"/>
      <c r="G273" s="107"/>
      <c r="H273" s="107"/>
      <c r="I273" s="107"/>
      <c r="J273" s="107"/>
      <c r="K273" s="87" t="str">
        <f t="shared" si="39"/>
        <v>kWh</v>
      </c>
      <c r="L273" s="85">
        <f t="shared" si="40"/>
        <v>0</v>
      </c>
      <c r="M273" s="119">
        <f t="shared" si="41"/>
        <v>0</v>
      </c>
      <c r="N273" s="107"/>
      <c r="O273" s="370"/>
      <c r="P273" s="370"/>
      <c r="Q273" s="370"/>
      <c r="R273" s="286"/>
      <c r="S273" s="286"/>
      <c r="T273" s="286"/>
      <c r="U273" s="286"/>
      <c r="V273" s="286"/>
      <c r="W273" s="1"/>
      <c r="X273" s="1"/>
      <c r="Y273" s="1"/>
    </row>
    <row r="274" spans="1:25" customFormat="1" ht="15" customHeight="1" outlineLevel="1">
      <c r="A274" s="1"/>
      <c r="B274" s="1"/>
      <c r="C274" s="2"/>
      <c r="D274" s="124" t="s">
        <v>155</v>
      </c>
      <c r="E274" s="1"/>
      <c r="F274" s="107"/>
      <c r="G274" s="107"/>
      <c r="H274" s="107"/>
      <c r="I274" s="107"/>
      <c r="J274" s="107"/>
      <c r="K274" s="87" t="str">
        <f t="shared" si="39"/>
        <v>kWh</v>
      </c>
      <c r="L274" s="85">
        <f t="shared" si="40"/>
        <v>0</v>
      </c>
      <c r="M274" s="119">
        <f t="shared" si="41"/>
        <v>0</v>
      </c>
      <c r="N274" s="107"/>
      <c r="O274" s="370"/>
      <c r="P274" s="370"/>
      <c r="Q274" s="370"/>
      <c r="R274" s="130"/>
      <c r="S274" s="130"/>
      <c r="T274" s="130"/>
      <c r="U274" s="130"/>
      <c r="V274" s="130"/>
      <c r="W274" s="1"/>
      <c r="X274" s="1"/>
      <c r="Y274" s="1"/>
    </row>
    <row r="275" spans="1:25" customFormat="1" ht="15" customHeight="1" outlineLevel="1">
      <c r="A275" s="1"/>
      <c r="B275" s="1"/>
      <c r="C275" s="2"/>
      <c r="D275" s="124" t="s">
        <v>156</v>
      </c>
      <c r="E275" s="1"/>
      <c r="F275" s="107"/>
      <c r="G275" s="107"/>
      <c r="H275" s="107"/>
      <c r="I275" s="107"/>
      <c r="J275" s="107"/>
      <c r="K275" s="87" t="str">
        <f t="shared" si="39"/>
        <v>kWh</v>
      </c>
      <c r="L275" s="85">
        <f t="shared" si="40"/>
        <v>0</v>
      </c>
      <c r="M275" s="119">
        <f t="shared" si="41"/>
        <v>0</v>
      </c>
      <c r="N275" s="107"/>
      <c r="O275" s="370"/>
      <c r="P275" s="370"/>
      <c r="Q275" s="370"/>
      <c r="R275" s="130"/>
      <c r="S275" s="130"/>
      <c r="T275" s="130"/>
      <c r="U275" s="130"/>
      <c r="V275" s="130"/>
      <c r="W275" s="1"/>
      <c r="X275" s="1"/>
      <c r="Y275" s="1"/>
    </row>
    <row r="276" spans="1:25" customFormat="1" ht="15" customHeight="1" outlineLevel="1">
      <c r="A276" s="1"/>
      <c r="B276" s="1"/>
      <c r="C276" s="2"/>
      <c r="D276" s="124" t="s">
        <v>157</v>
      </c>
      <c r="E276" s="1"/>
      <c r="F276" s="107"/>
      <c r="G276" s="107"/>
      <c r="H276" s="107"/>
      <c r="I276" s="107"/>
      <c r="J276" s="107"/>
      <c r="K276" s="87" t="str">
        <f t="shared" si="39"/>
        <v>kWh</v>
      </c>
      <c r="L276" s="85">
        <f t="shared" si="40"/>
        <v>0</v>
      </c>
      <c r="M276" s="119">
        <f t="shared" si="41"/>
        <v>0</v>
      </c>
      <c r="N276" s="107"/>
      <c r="O276" s="370"/>
      <c r="P276" s="370"/>
      <c r="Q276" s="370"/>
      <c r="R276" s="130"/>
      <c r="S276" s="130"/>
      <c r="T276" s="130"/>
      <c r="U276" s="130"/>
      <c r="V276" s="130"/>
      <c r="W276" s="1"/>
      <c r="X276" s="1"/>
      <c r="Y276" s="1"/>
    </row>
    <row r="277" spans="1:25" customFormat="1" ht="15" customHeight="1" outlineLevel="1">
      <c r="A277" s="1"/>
      <c r="B277" s="1"/>
      <c r="C277" s="2"/>
      <c r="D277" s="124" t="s">
        <v>158</v>
      </c>
      <c r="E277" s="1"/>
      <c r="F277" s="107"/>
      <c r="G277" s="107"/>
      <c r="H277" s="107"/>
      <c r="I277" s="107"/>
      <c r="J277" s="107"/>
      <c r="K277" s="87" t="str">
        <f t="shared" si="39"/>
        <v>kWh</v>
      </c>
      <c r="L277" s="85">
        <f t="shared" si="40"/>
        <v>0</v>
      </c>
      <c r="M277" s="119">
        <f t="shared" si="41"/>
        <v>0</v>
      </c>
      <c r="N277" s="107"/>
      <c r="O277" s="370"/>
      <c r="P277" s="370"/>
      <c r="Q277" s="370"/>
      <c r="R277" s="130"/>
      <c r="S277" s="130"/>
      <c r="T277" s="130"/>
      <c r="U277" s="130"/>
      <c r="V277" s="130"/>
      <c r="W277" s="1"/>
      <c r="X277" s="1"/>
      <c r="Y277" s="1"/>
    </row>
    <row r="278" spans="1:25" customFormat="1" ht="15" customHeight="1" outlineLevel="1">
      <c r="A278" s="1"/>
      <c r="B278" s="1"/>
      <c r="C278" s="2"/>
      <c r="D278" s="124" t="s">
        <v>159</v>
      </c>
      <c r="E278" s="1"/>
      <c r="F278" s="107"/>
      <c r="G278" s="107"/>
      <c r="H278" s="107"/>
      <c r="I278" s="107"/>
      <c r="J278" s="107"/>
      <c r="K278" s="87" t="str">
        <f t="shared" si="39"/>
        <v>kWh</v>
      </c>
      <c r="L278" s="85">
        <f t="shared" si="40"/>
        <v>0</v>
      </c>
      <c r="M278" s="119">
        <f t="shared" si="41"/>
        <v>0</v>
      </c>
      <c r="N278" s="107"/>
      <c r="O278" s="370"/>
      <c r="P278" s="370"/>
      <c r="Q278" s="370"/>
      <c r="R278" s="130"/>
      <c r="S278" s="130"/>
      <c r="T278" s="130"/>
      <c r="U278" s="130"/>
      <c r="V278" s="130"/>
      <c r="W278" s="1"/>
      <c r="X278" s="1"/>
      <c r="Y278" s="1"/>
    </row>
    <row r="279" spans="1:25" customFormat="1" ht="15" customHeight="1" outlineLevel="1">
      <c r="A279" s="1"/>
      <c r="B279" s="1"/>
      <c r="C279" s="2"/>
      <c r="D279" s="124" t="s">
        <v>160</v>
      </c>
      <c r="E279" s="1"/>
      <c r="F279" s="107"/>
      <c r="G279" s="107"/>
      <c r="H279" s="107"/>
      <c r="I279" s="107"/>
      <c r="J279" s="107"/>
      <c r="K279" s="87" t="str">
        <f t="shared" si="39"/>
        <v>kWh</v>
      </c>
      <c r="L279" s="85">
        <f t="shared" si="40"/>
        <v>0</v>
      </c>
      <c r="M279" s="119">
        <f t="shared" si="41"/>
        <v>0</v>
      </c>
      <c r="N279" s="107"/>
      <c r="O279" s="370"/>
      <c r="P279" s="370"/>
      <c r="Q279" s="370"/>
      <c r="R279" s="130"/>
      <c r="S279" s="130"/>
      <c r="T279" s="130"/>
      <c r="U279" s="130"/>
      <c r="V279" s="130"/>
      <c r="W279" s="1"/>
      <c r="X279" s="1"/>
      <c r="Y279" s="1"/>
    </row>
    <row r="280" spans="1:25" customFormat="1" ht="15" customHeight="1" outlineLevel="1">
      <c r="A280" s="1"/>
      <c r="B280" s="1"/>
      <c r="C280" s="2"/>
      <c r="D280" s="124" t="s">
        <v>161</v>
      </c>
      <c r="E280" s="1"/>
      <c r="F280" s="107"/>
      <c r="G280" s="107"/>
      <c r="H280" s="107"/>
      <c r="I280" s="107"/>
      <c r="J280" s="107"/>
      <c r="K280" s="87" t="str">
        <f t="shared" si="39"/>
        <v>kWh</v>
      </c>
      <c r="L280" s="85">
        <f t="shared" si="40"/>
        <v>0</v>
      </c>
      <c r="M280" s="119">
        <f t="shared" si="41"/>
        <v>0</v>
      </c>
      <c r="N280" s="107"/>
      <c r="O280" s="370"/>
      <c r="P280" s="370"/>
      <c r="Q280" s="370"/>
      <c r="R280" s="130"/>
      <c r="S280" s="130"/>
      <c r="T280" s="130"/>
      <c r="U280" s="130"/>
      <c r="V280" s="130"/>
      <c r="W280" s="1"/>
      <c r="X280" s="1"/>
      <c r="Y280" s="1"/>
    </row>
    <row r="281" spans="1:25" customFormat="1" ht="15" customHeight="1" outlineLevel="1">
      <c r="A281" s="1"/>
      <c r="B281" s="1"/>
      <c r="C281" s="2"/>
      <c r="D281" s="124" t="s">
        <v>162</v>
      </c>
      <c r="E281" s="1"/>
      <c r="F281" s="107"/>
      <c r="G281" s="107"/>
      <c r="H281" s="107"/>
      <c r="I281" s="107"/>
      <c r="J281" s="107"/>
      <c r="K281" s="87" t="str">
        <f t="shared" si="39"/>
        <v>kWh</v>
      </c>
      <c r="L281" s="85">
        <f t="shared" si="40"/>
        <v>0</v>
      </c>
      <c r="M281" s="119">
        <f t="shared" si="41"/>
        <v>0</v>
      </c>
      <c r="N281" s="107"/>
      <c r="O281" s="370"/>
      <c r="P281" s="370"/>
      <c r="Q281" s="370"/>
      <c r="R281" s="130"/>
      <c r="S281" s="130"/>
      <c r="T281" s="130"/>
      <c r="U281" s="130"/>
      <c r="V281" s="130"/>
      <c r="W281" s="1"/>
      <c r="X281" s="1"/>
      <c r="Y281" s="1"/>
    </row>
    <row r="282" spans="1:25" customFormat="1" ht="15" customHeight="1" outlineLevel="1">
      <c r="A282" s="1"/>
      <c r="B282" s="1"/>
      <c r="C282" s="2"/>
      <c r="D282" s="124" t="s">
        <v>163</v>
      </c>
      <c r="E282" s="1"/>
      <c r="F282" s="107"/>
      <c r="G282" s="107"/>
      <c r="H282" s="107"/>
      <c r="I282" s="107"/>
      <c r="J282" s="107"/>
      <c r="K282" s="87" t="str">
        <f t="shared" si="39"/>
        <v>kWh</v>
      </c>
      <c r="L282" s="85">
        <f t="shared" si="40"/>
        <v>0</v>
      </c>
      <c r="M282" s="119">
        <f t="shared" si="41"/>
        <v>0</v>
      </c>
      <c r="N282" s="107"/>
      <c r="O282" s="370"/>
      <c r="P282" s="370"/>
      <c r="Q282" s="370"/>
      <c r="R282" s="130"/>
      <c r="S282" s="130"/>
      <c r="T282" s="130"/>
      <c r="U282" s="130"/>
      <c r="V282" s="130"/>
      <c r="W282" s="1"/>
      <c r="X282" s="1"/>
      <c r="Y282" s="1"/>
    </row>
    <row r="283" spans="1:25" customFormat="1" ht="15" customHeight="1" outlineLevel="1">
      <c r="A283" s="1"/>
      <c r="B283" s="1"/>
      <c r="C283" s="2"/>
      <c r="D283" s="124" t="s">
        <v>164</v>
      </c>
      <c r="E283" s="1"/>
      <c r="F283" s="107"/>
      <c r="G283" s="107"/>
      <c r="H283" s="107"/>
      <c r="I283" s="107"/>
      <c r="J283" s="107"/>
      <c r="K283" s="87" t="str">
        <f t="shared" si="39"/>
        <v>kWh</v>
      </c>
      <c r="L283" s="85">
        <f t="shared" si="40"/>
        <v>0</v>
      </c>
      <c r="M283" s="119">
        <f t="shared" si="41"/>
        <v>0</v>
      </c>
      <c r="N283" s="107"/>
      <c r="O283" s="370"/>
      <c r="P283" s="370"/>
      <c r="Q283" s="370"/>
      <c r="R283" s="130"/>
      <c r="S283" s="130"/>
      <c r="T283" s="130"/>
      <c r="U283" s="130"/>
      <c r="V283" s="130"/>
      <c r="W283" s="1"/>
      <c r="X283" s="1"/>
      <c r="Y283" s="1"/>
    </row>
    <row r="284" spans="1:25" customFormat="1" ht="15" customHeight="1" outlineLevel="1">
      <c r="A284" s="1"/>
      <c r="B284" s="1"/>
      <c r="C284" s="2"/>
      <c r="D284" s="124" t="s">
        <v>165</v>
      </c>
      <c r="E284" s="1"/>
      <c r="F284" s="107"/>
      <c r="G284" s="107"/>
      <c r="H284" s="107"/>
      <c r="I284" s="107"/>
      <c r="J284" s="107"/>
      <c r="K284" s="87" t="str">
        <f t="shared" si="39"/>
        <v>kWh</v>
      </c>
      <c r="L284" s="85">
        <f t="shared" si="40"/>
        <v>0</v>
      </c>
      <c r="M284" s="119">
        <f t="shared" si="41"/>
        <v>0</v>
      </c>
      <c r="N284" s="107"/>
      <c r="O284" s="370"/>
      <c r="P284" s="370"/>
      <c r="Q284" s="370"/>
      <c r="R284" s="130"/>
      <c r="S284" s="130"/>
      <c r="T284" s="130"/>
      <c r="U284" s="130"/>
      <c r="V284" s="130"/>
      <c r="W284" s="1"/>
      <c r="X284" s="1"/>
      <c r="Y284" s="1"/>
    </row>
    <row r="285" spans="1:25" customFormat="1" ht="15" customHeight="1" outlineLevel="1">
      <c r="A285" s="1"/>
      <c r="B285" s="1"/>
      <c r="C285" s="2"/>
      <c r="D285" s="124" t="s">
        <v>166</v>
      </c>
      <c r="E285" s="1"/>
      <c r="F285" s="107"/>
      <c r="G285" s="107"/>
      <c r="H285" s="107"/>
      <c r="I285" s="107"/>
      <c r="J285" s="107"/>
      <c r="K285" s="87" t="str">
        <f t="shared" si="39"/>
        <v>kWh</v>
      </c>
      <c r="L285" s="85">
        <f t="shared" si="40"/>
        <v>0</v>
      </c>
      <c r="M285" s="119">
        <f t="shared" si="41"/>
        <v>0</v>
      </c>
      <c r="N285" s="107"/>
      <c r="O285" s="370"/>
      <c r="P285" s="370"/>
      <c r="Q285" s="370"/>
      <c r="R285" s="130"/>
      <c r="S285" s="130"/>
      <c r="T285" s="130"/>
      <c r="U285" s="130"/>
      <c r="V285" s="130"/>
      <c r="W285" s="1"/>
      <c r="X285" s="1"/>
      <c r="Y285" s="1"/>
    </row>
    <row r="286" spans="1:25" customFormat="1" ht="15" customHeight="1" outlineLevel="1">
      <c r="A286" s="1"/>
      <c r="B286" s="1"/>
      <c r="C286" s="2"/>
      <c r="D286" s="124" t="s">
        <v>167</v>
      </c>
      <c r="E286" s="1"/>
      <c r="F286" s="107"/>
      <c r="G286" s="107"/>
      <c r="H286" s="107"/>
      <c r="I286" s="107"/>
      <c r="J286" s="107"/>
      <c r="K286" s="87" t="str">
        <f t="shared" si="39"/>
        <v>kWh</v>
      </c>
      <c r="L286" s="85">
        <f t="shared" si="40"/>
        <v>0</v>
      </c>
      <c r="M286" s="119">
        <f t="shared" si="41"/>
        <v>0</v>
      </c>
      <c r="N286" s="107"/>
      <c r="O286" s="370"/>
      <c r="P286" s="370"/>
      <c r="Q286" s="370"/>
      <c r="R286" s="130"/>
      <c r="S286" s="130"/>
      <c r="T286" s="130"/>
      <c r="U286" s="130"/>
      <c r="V286" s="130"/>
      <c r="W286" s="1"/>
      <c r="X286" s="1"/>
      <c r="Y286" s="1"/>
    </row>
    <row r="287" spans="1:25" customFormat="1" ht="15" customHeight="1" outlineLevel="1">
      <c r="A287" s="1"/>
      <c r="B287" s="1"/>
      <c r="C287" s="2"/>
      <c r="D287" s="124" t="s">
        <v>168</v>
      </c>
      <c r="E287" s="1"/>
      <c r="F287" s="107"/>
      <c r="G287" s="107"/>
      <c r="H287" s="107"/>
      <c r="I287" s="107"/>
      <c r="J287" s="107"/>
      <c r="K287" s="87" t="str">
        <f t="shared" si="39"/>
        <v>kWh</v>
      </c>
      <c r="L287" s="85">
        <f t="shared" si="40"/>
        <v>0</v>
      </c>
      <c r="M287" s="119">
        <f t="shared" si="41"/>
        <v>0</v>
      </c>
      <c r="N287" s="107"/>
      <c r="O287" s="370"/>
      <c r="P287" s="370"/>
      <c r="Q287" s="370"/>
      <c r="R287" s="130"/>
      <c r="S287" s="130"/>
      <c r="T287" s="130"/>
      <c r="U287" s="130"/>
      <c r="V287" s="130"/>
      <c r="W287" s="1"/>
      <c r="X287" s="1"/>
      <c r="Y287" s="1"/>
    </row>
    <row r="288" spans="1:25" customFormat="1" ht="15" customHeight="1" outlineLevel="1">
      <c r="A288" s="1"/>
      <c r="B288" s="1"/>
      <c r="C288" s="2"/>
      <c r="D288" s="124" t="s">
        <v>169</v>
      </c>
      <c r="E288" s="1"/>
      <c r="F288" s="107"/>
      <c r="G288" s="107"/>
      <c r="H288" s="107"/>
      <c r="I288" s="107"/>
      <c r="J288" s="107"/>
      <c r="K288" s="87" t="str">
        <f t="shared" si="39"/>
        <v>kWh</v>
      </c>
      <c r="L288" s="85">
        <f t="shared" si="40"/>
        <v>0</v>
      </c>
      <c r="M288" s="119">
        <f t="shared" si="41"/>
        <v>0</v>
      </c>
      <c r="N288" s="107"/>
      <c r="O288" s="370"/>
      <c r="P288" s="370"/>
      <c r="Q288" s="370"/>
      <c r="R288" s="130"/>
      <c r="S288" s="130"/>
      <c r="T288" s="130"/>
      <c r="U288" s="130"/>
      <c r="V288" s="130"/>
      <c r="W288" s="1"/>
      <c r="X288" s="1"/>
      <c r="Y288" s="1"/>
    </row>
    <row r="289" spans="1:25" customFormat="1" ht="15" customHeight="1" outlineLevel="1">
      <c r="A289" s="1"/>
      <c r="B289" s="1"/>
      <c r="C289" s="2"/>
      <c r="D289" s="124" t="s">
        <v>170</v>
      </c>
      <c r="E289" s="1"/>
      <c r="F289" s="107"/>
      <c r="G289" s="107"/>
      <c r="H289" s="107"/>
      <c r="I289" s="107"/>
      <c r="J289" s="107"/>
      <c r="K289" s="87" t="str">
        <f t="shared" si="39"/>
        <v>kWh</v>
      </c>
      <c r="L289" s="85">
        <f t="shared" si="40"/>
        <v>0</v>
      </c>
      <c r="M289" s="119">
        <f t="shared" si="41"/>
        <v>0</v>
      </c>
      <c r="N289" s="107"/>
      <c r="O289" s="370"/>
      <c r="P289" s="370"/>
      <c r="Q289" s="370"/>
      <c r="R289" s="130"/>
      <c r="S289" s="130"/>
      <c r="T289" s="130"/>
      <c r="U289" s="130"/>
      <c r="V289" s="130"/>
      <c r="W289" s="1"/>
      <c r="X289" s="1"/>
      <c r="Y289" s="1"/>
    </row>
    <row r="290" spans="1:25" customFormat="1" ht="15" customHeight="1" outlineLevel="1">
      <c r="A290" s="1"/>
      <c r="B290" s="1"/>
      <c r="C290" s="2"/>
      <c r="D290" s="124" t="s">
        <v>171</v>
      </c>
      <c r="E290" s="1"/>
      <c r="F290" s="107"/>
      <c r="G290" s="107"/>
      <c r="H290" s="107"/>
      <c r="I290" s="107"/>
      <c r="J290" s="107"/>
      <c r="K290" s="87" t="str">
        <f t="shared" si="39"/>
        <v>kWh</v>
      </c>
      <c r="L290" s="85">
        <f t="shared" si="40"/>
        <v>0</v>
      </c>
      <c r="M290" s="119">
        <f t="shared" si="41"/>
        <v>0</v>
      </c>
      <c r="N290" s="107"/>
      <c r="O290" s="370"/>
      <c r="P290" s="370"/>
      <c r="Q290" s="370"/>
      <c r="R290" s="130"/>
      <c r="S290" s="130"/>
      <c r="T290" s="130"/>
      <c r="U290" s="130"/>
      <c r="V290" s="130"/>
      <c r="W290" s="1"/>
      <c r="X290" s="1"/>
      <c r="Y290" s="1"/>
    </row>
    <row r="291" spans="1:25" customFormat="1" ht="15" customHeight="1" outlineLevel="1">
      <c r="A291" s="1"/>
      <c r="B291" s="1"/>
      <c r="C291" s="2"/>
      <c r="D291" s="124" t="s">
        <v>172</v>
      </c>
      <c r="E291" s="1"/>
      <c r="F291" s="107"/>
      <c r="G291" s="107"/>
      <c r="H291" s="107"/>
      <c r="I291" s="107"/>
      <c r="J291" s="107"/>
      <c r="K291" s="87" t="str">
        <f t="shared" si="39"/>
        <v>kWh</v>
      </c>
      <c r="L291" s="85">
        <f t="shared" si="40"/>
        <v>0</v>
      </c>
      <c r="M291" s="119">
        <f t="shared" si="41"/>
        <v>0</v>
      </c>
      <c r="N291" s="107"/>
      <c r="O291" s="370"/>
      <c r="P291" s="370"/>
      <c r="Q291" s="370"/>
      <c r="R291" s="130"/>
      <c r="S291" s="130"/>
      <c r="T291" s="130"/>
      <c r="U291" s="130"/>
      <c r="V291" s="130"/>
      <c r="W291" s="1"/>
      <c r="X291" s="1"/>
      <c r="Y291" s="1"/>
    </row>
    <row r="292" spans="1:25" customFormat="1" ht="15" customHeight="1" outlineLevel="1">
      <c r="A292" s="1"/>
      <c r="B292" s="1"/>
      <c r="C292" s="2"/>
      <c r="D292" s="124" t="s">
        <v>173</v>
      </c>
      <c r="E292" s="1"/>
      <c r="F292" s="107"/>
      <c r="G292" s="107"/>
      <c r="H292" s="107"/>
      <c r="I292" s="107"/>
      <c r="J292" s="107"/>
      <c r="K292" s="87" t="str">
        <f t="shared" si="39"/>
        <v>kWh</v>
      </c>
      <c r="L292" s="85">
        <f t="shared" si="40"/>
        <v>0</v>
      </c>
      <c r="M292" s="119">
        <f t="shared" si="41"/>
        <v>0</v>
      </c>
      <c r="N292" s="107"/>
      <c r="O292" s="370"/>
      <c r="P292" s="370"/>
      <c r="Q292" s="370"/>
      <c r="R292" s="130"/>
      <c r="S292" s="130"/>
      <c r="T292" s="130"/>
      <c r="U292" s="130"/>
      <c r="V292" s="130"/>
      <c r="W292" s="1"/>
      <c r="X292" s="1"/>
      <c r="Y292" s="1"/>
    </row>
    <row r="293" spans="1:25" customFormat="1" ht="15" customHeight="1" outlineLevel="1">
      <c r="A293" s="1"/>
      <c r="B293" s="1"/>
      <c r="C293" s="2"/>
      <c r="D293" s="124" t="s">
        <v>174</v>
      </c>
      <c r="E293" s="1"/>
      <c r="F293" s="107"/>
      <c r="G293" s="107"/>
      <c r="H293" s="107"/>
      <c r="I293" s="107"/>
      <c r="J293" s="107"/>
      <c r="K293" s="87" t="str">
        <f t="shared" si="39"/>
        <v>kWh</v>
      </c>
      <c r="L293" s="85">
        <f t="shared" si="40"/>
        <v>0</v>
      </c>
      <c r="M293" s="119">
        <f t="shared" si="41"/>
        <v>0</v>
      </c>
      <c r="N293" s="107"/>
      <c r="O293" s="370"/>
      <c r="P293" s="370"/>
      <c r="Q293" s="370"/>
      <c r="R293" s="130"/>
      <c r="S293" s="130"/>
      <c r="T293" s="130"/>
      <c r="U293" s="130"/>
      <c r="V293" s="130"/>
      <c r="W293" s="1"/>
      <c r="X293" s="1"/>
      <c r="Y293" s="1"/>
    </row>
    <row r="294" spans="1:25" customFormat="1" ht="15" customHeight="1" outlineLevel="1">
      <c r="A294" s="1"/>
      <c r="B294" s="1"/>
      <c r="C294" s="2"/>
      <c r="D294" s="125" t="s">
        <v>175</v>
      </c>
      <c r="E294" s="27"/>
      <c r="F294" s="115"/>
      <c r="G294" s="115"/>
      <c r="H294" s="115"/>
      <c r="I294" s="115"/>
      <c r="J294" s="115"/>
      <c r="K294" s="98" t="str">
        <f t="shared" si="39"/>
        <v>kWh</v>
      </c>
      <c r="L294" s="99">
        <f t="shared" si="40"/>
        <v>0</v>
      </c>
      <c r="M294" s="151">
        <f t="shared" si="41"/>
        <v>0</v>
      </c>
      <c r="N294" s="115"/>
      <c r="O294" s="368"/>
      <c r="P294" s="368"/>
      <c r="Q294" s="368"/>
      <c r="R294" s="128"/>
      <c r="S294" s="128"/>
      <c r="T294" s="128"/>
      <c r="U294" s="128"/>
      <c r="V294" s="128"/>
      <c r="W294" s="27"/>
      <c r="X294" s="1"/>
      <c r="Y294" s="1"/>
    </row>
    <row r="295" spans="1:25" customFormat="1" ht="15" customHeight="1" outlineLevel="1">
      <c r="A295" s="1"/>
      <c r="B295" s="1"/>
      <c r="C295" s="2"/>
      <c r="D295" s="105" t="s">
        <v>16</v>
      </c>
      <c r="E295" s="33"/>
      <c r="F295" s="120"/>
      <c r="G295" s="120"/>
      <c r="H295" s="120"/>
      <c r="I295" s="120"/>
      <c r="J295" s="120"/>
      <c r="K295" s="106" t="str">
        <f>Model.Units2</f>
        <v>kWh</v>
      </c>
      <c r="L295" s="90"/>
      <c r="M295" s="99"/>
      <c r="N295" s="120"/>
      <c r="O295" s="371"/>
      <c r="P295" s="371"/>
      <c r="Q295" s="371"/>
      <c r="R295" s="186">
        <f xml:space="preserve"> SUM( R271:R294 )</f>
        <v>0</v>
      </c>
      <c r="S295" s="186">
        <f xml:space="preserve"> SUM( S271:S294 )</f>
        <v>0</v>
      </c>
      <c r="T295" s="186">
        <f xml:space="preserve"> SUM( T271:T294 )</f>
        <v>0</v>
      </c>
      <c r="U295" s="186">
        <f xml:space="preserve"> SUM( U271:U294 )</f>
        <v>0</v>
      </c>
      <c r="V295" s="186">
        <f xml:space="preserve"> SUM( V271:V294 )</f>
        <v>0</v>
      </c>
      <c r="W295" s="33"/>
      <c r="X295" s="1"/>
      <c r="Y295" s="1"/>
    </row>
    <row r="296" spans="1:25" customFormat="1" ht="15" customHeight="1" outlineLevel="1">
      <c r="A296" s="1"/>
      <c r="B296" s="1"/>
      <c r="C296" s="2"/>
      <c r="D296" s="85"/>
      <c r="E296" s="1"/>
      <c r="F296" s="107"/>
      <c r="G296" s="107"/>
      <c r="H296" s="107"/>
      <c r="I296" s="107"/>
      <c r="J296" s="107"/>
      <c r="K296" s="87"/>
      <c r="L296" s="85"/>
      <c r="M296" s="85"/>
      <c r="N296" s="107"/>
      <c r="O296" s="107"/>
      <c r="P296" s="107"/>
      <c r="Q296" s="107"/>
      <c r="R296" s="121"/>
      <c r="S296" s="121"/>
      <c r="T296" s="121"/>
      <c r="U296" s="121"/>
      <c r="V296" s="121"/>
      <c r="W296" s="1"/>
      <c r="X296" s="1"/>
      <c r="Y296" s="1"/>
    </row>
    <row r="297" spans="1:25" customFormat="1" ht="15" customHeight="1" outlineLevel="1">
      <c r="A297" s="1"/>
      <c r="B297" s="1"/>
      <c r="C297" s="2"/>
      <c r="D297" s="97" t="s">
        <v>508</v>
      </c>
      <c r="E297" s="27"/>
      <c r="F297" s="107"/>
      <c r="G297" s="107"/>
      <c r="H297" s="107"/>
      <c r="I297" s="107"/>
      <c r="J297" s="107"/>
      <c r="K297" s="114"/>
      <c r="L297" s="99"/>
      <c r="M297" s="99"/>
      <c r="N297" s="115"/>
      <c r="O297" s="107"/>
      <c r="P297" s="107"/>
      <c r="Q297" s="107"/>
      <c r="R297" s="1"/>
      <c r="S297" s="1"/>
      <c r="T297" s="1"/>
      <c r="U297" s="1"/>
      <c r="V297" s="1"/>
      <c r="W297" s="89" t="s">
        <v>16</v>
      </c>
      <c r="X297" s="89"/>
    </row>
    <row r="298" spans="1:25" s="601" customFormat="1" ht="15" customHeight="1" outlineLevel="1">
      <c r="A298" s="4"/>
      <c r="B298" s="4"/>
      <c r="C298" s="2"/>
      <c r="D298" s="105" t="s">
        <v>509</v>
      </c>
      <c r="E298" s="186"/>
      <c r="F298" s="120"/>
      <c r="G298" s="120"/>
      <c r="H298" s="120"/>
      <c r="I298" s="120"/>
      <c r="J298" s="120"/>
      <c r="K298" s="106" t="str">
        <f>Model.Units2</f>
        <v>kWh</v>
      </c>
      <c r="L298" s="105"/>
      <c r="M298" s="453"/>
      <c r="N298" s="120"/>
      <c r="O298" s="371"/>
      <c r="P298" s="371"/>
      <c r="Q298" s="371"/>
      <c r="R298" s="186">
        <f xml:space="preserve"> IF( $N$15 = "Ja", R187, SUM( R190:R213,R217:R240,R244:R267,R271:R294 ) )</f>
        <v>0</v>
      </c>
      <c r="S298" s="186">
        <f xml:space="preserve"> IF( $N$15 = "Ja", S187, SUM( S190:S213,S217:S240,S244:S267,S271:S294 ) )</f>
        <v>0</v>
      </c>
      <c r="T298" s="186">
        <f xml:space="preserve"> IF( $N$15 = "Ja", T187, SUM( T190:T213,T217:T240,T244:T267,T271:T294 ) )</f>
        <v>0</v>
      </c>
      <c r="U298" s="186">
        <f xml:space="preserve"> IF( $N$15 = "Ja", U187, SUM( U190:U213,U217:U240,U244:U267,U271:U294 ) )</f>
        <v>0</v>
      </c>
      <c r="V298" s="186">
        <f xml:space="preserve"> IF( $N$15 = "Ja", V187, SUM( V190:V213,V217:V240,V244:V267,V271:V294 ) )</f>
        <v>0</v>
      </c>
      <c r="W298" s="186">
        <f xml:space="preserve"> SUM( R298:V298 )</f>
        <v>0</v>
      </c>
      <c r="X298" s="111"/>
      <c r="Y298" s="111"/>
    </row>
    <row r="299" spans="1:25" customFormat="1" ht="15" customHeight="1">
      <c r="A299" s="1"/>
      <c r="B299" s="1"/>
      <c r="C299" s="2"/>
      <c r="D299" s="85"/>
      <c r="E299" s="1"/>
      <c r="F299" s="107"/>
      <c r="G299" s="107"/>
      <c r="H299" s="107"/>
      <c r="I299" s="107"/>
      <c r="J299" s="107"/>
      <c r="K299" s="87"/>
      <c r="L299" s="85"/>
      <c r="M299" s="85"/>
      <c r="N299" s="107"/>
      <c r="O299" s="107"/>
      <c r="P299" s="107"/>
      <c r="Q299" s="107"/>
      <c r="R299" s="121"/>
      <c r="S299" s="121"/>
      <c r="T299" s="121"/>
      <c r="U299" s="121"/>
      <c r="V299" s="121"/>
      <c r="W299" s="1"/>
      <c r="X299" s="1"/>
      <c r="Y299" s="1"/>
    </row>
    <row r="300" spans="1:25" customFormat="1" ht="15" customHeight="1">
      <c r="A300" s="1"/>
      <c r="B300" s="1"/>
      <c r="C300" s="2"/>
      <c r="D300" s="85"/>
      <c r="E300" s="1"/>
      <c r="F300" s="107"/>
      <c r="G300" s="107"/>
      <c r="H300" s="107"/>
      <c r="I300" s="107"/>
      <c r="J300" s="107"/>
      <c r="K300" s="87"/>
      <c r="L300" s="85"/>
      <c r="M300" s="85"/>
      <c r="N300" s="107"/>
      <c r="O300" s="107"/>
      <c r="P300" s="107"/>
      <c r="Q300" s="107"/>
      <c r="R300" s="121"/>
      <c r="S300" s="121"/>
      <c r="T300" s="121"/>
      <c r="U300" s="121"/>
      <c r="V300" s="121"/>
      <c r="W300" s="1"/>
      <c r="X300" s="1"/>
      <c r="Y300" s="1"/>
    </row>
    <row r="301" spans="1:25" customFormat="1" ht="15" customHeight="1">
      <c r="A301" s="1"/>
      <c r="B301" s="1"/>
      <c r="C301" s="2"/>
      <c r="D301" s="85"/>
      <c r="E301" s="1"/>
      <c r="F301" s="107"/>
      <c r="G301" s="107"/>
      <c r="H301" s="107"/>
      <c r="I301" s="107"/>
      <c r="J301" s="107"/>
      <c r="K301" s="87"/>
      <c r="L301" s="85"/>
      <c r="M301" s="85"/>
      <c r="N301" s="107"/>
      <c r="O301" s="107"/>
      <c r="P301" s="107"/>
      <c r="Q301" s="107"/>
      <c r="R301" s="121"/>
      <c r="S301" s="121"/>
      <c r="T301" s="121"/>
      <c r="U301" s="121"/>
      <c r="V301" s="121"/>
      <c r="W301" s="1"/>
      <c r="X301" s="1"/>
      <c r="Y301" s="1"/>
    </row>
    <row r="302" spans="1:25" s="475" customFormat="1" ht="15" customHeight="1">
      <c r="B302" s="479" t="str">
        <f xml:space="preserve"> COUNTA(B$10:B301) &amp; ") Indfødte mængder"</f>
        <v>8) Indfødte mængder</v>
      </c>
      <c r="C302" s="477"/>
      <c r="D302" s="478"/>
      <c r="K302" s="472"/>
    </row>
    <row r="303" spans="1:25" customFormat="1" ht="15" customHeight="1">
      <c r="A303" s="1"/>
      <c r="B303" s="1"/>
      <c r="C303" s="2"/>
      <c r="D303" s="85"/>
      <c r="E303" s="1"/>
      <c r="F303" s="107"/>
      <c r="G303" s="107"/>
      <c r="H303" s="107"/>
      <c r="I303" s="107"/>
      <c r="J303" s="107"/>
      <c r="K303" s="87"/>
      <c r="L303" s="85"/>
      <c r="M303" s="85"/>
      <c r="N303" s="107"/>
      <c r="O303" s="107"/>
      <c r="P303" s="107"/>
      <c r="Q303" s="107"/>
      <c r="R303" s="121"/>
      <c r="S303" s="121"/>
      <c r="T303" s="121"/>
      <c r="U303" s="121"/>
      <c r="V303" s="121"/>
      <c r="W303" s="1"/>
      <c r="X303" s="1"/>
      <c r="Y303" s="1"/>
    </row>
    <row r="304" spans="1:25" customFormat="1" ht="15" customHeight="1">
      <c r="A304" s="1"/>
      <c r="B304" s="1"/>
      <c r="C304" s="2"/>
      <c r="D304" s="97" t="s">
        <v>573</v>
      </c>
      <c r="E304" s="27"/>
      <c r="F304" s="107"/>
      <c r="G304" s="107"/>
      <c r="H304" s="107"/>
      <c r="I304" s="107"/>
      <c r="J304" s="107"/>
      <c r="K304" s="114"/>
      <c r="L304" s="99"/>
      <c r="M304" s="99"/>
      <c r="N304" s="571"/>
      <c r="O304" s="572"/>
      <c r="P304" s="107"/>
      <c r="Q304" s="107"/>
      <c r="R304" s="1"/>
      <c r="S304" s="1"/>
      <c r="T304" s="1"/>
      <c r="U304" s="1"/>
      <c r="V304" s="1"/>
      <c r="W304" s="89" t="s">
        <v>16</v>
      </c>
      <c r="X304" s="89"/>
      <c r="Y304" s="260" t="s">
        <v>362</v>
      </c>
    </row>
    <row r="305" spans="1:25" customFormat="1" ht="15" customHeight="1">
      <c r="A305" s="1"/>
      <c r="B305" s="1"/>
      <c r="C305" s="2"/>
      <c r="D305" s="123" t="s">
        <v>654</v>
      </c>
      <c r="E305" s="15"/>
      <c r="F305" s="116"/>
      <c r="G305" s="116"/>
      <c r="H305" s="116"/>
      <c r="I305" s="116"/>
      <c r="J305" s="116"/>
      <c r="K305" s="117" t="str">
        <f>Model.Units2</f>
        <v>kWh</v>
      </c>
      <c r="L305" s="123">
        <f>--(COUNTIF(O305:W305,"&lt;0")&gt;0)</f>
        <v>0</v>
      </c>
      <c r="M305" s="142">
        <f xml:space="preserve"> -- ( OR( -- ( OR( COUNTIF( O305:P305,  "=0" ) &gt; 0, COUNTIF( O305:P305,  "" ) &gt; 0 ) ) &gt; 0, -- ( OR( COUNTIF( R305:V305,  "=0" ) &gt; 0, COUNTIF( R305:V305,  "" ) &gt; 0 ) ) &gt; 0 ) )</f>
        <v>1</v>
      </c>
      <c r="N305" s="116"/>
      <c r="O305" s="373"/>
      <c r="P305" s="373"/>
      <c r="Q305" s="274"/>
      <c r="R305" s="373"/>
      <c r="S305" s="373"/>
      <c r="T305" s="373"/>
      <c r="U305" s="373"/>
      <c r="V305" s="373"/>
      <c r="W305" s="186">
        <f xml:space="preserve"> SUM( O305:V305 )</f>
        <v>0</v>
      </c>
      <c r="X305" s="111"/>
      <c r="Y305" s="121"/>
    </row>
    <row r="306" spans="1:25" customFormat="1" ht="15" customHeight="1">
      <c r="A306" s="1"/>
      <c r="B306" s="1"/>
      <c r="C306" s="2"/>
      <c r="D306" s="99" t="s">
        <v>655</v>
      </c>
      <c r="E306" s="27"/>
      <c r="F306" s="115"/>
      <c r="G306" s="115"/>
      <c r="H306" s="115"/>
      <c r="I306" s="115"/>
      <c r="J306" s="115"/>
      <c r="K306" s="98" t="str">
        <f>Model.Units2</f>
        <v>kWh</v>
      </c>
      <c r="L306" s="99">
        <f>--(COUNTIF(O306:W306,"&lt;0")&gt;0)</f>
        <v>0</v>
      </c>
      <c r="M306" s="151">
        <f xml:space="preserve"> -- ( OR( -- ( OR( COUNTIF( O306:P306,  "=0" ) &gt; 0, COUNTIF( O306:P306,  "" ) &gt; 0 ) ) &gt; 0, -- ( OR( COUNTIF( R306:V306,  "=0" ) &gt; 0, COUNTIF( R306:V306,  "" ) &gt; 0 ) ) &gt; 0 ) )</f>
        <v>1</v>
      </c>
      <c r="N306" s="115"/>
      <c r="O306" s="374"/>
      <c r="P306" s="374"/>
      <c r="Q306" s="202"/>
      <c r="R306" s="374"/>
      <c r="S306" s="374"/>
      <c r="T306" s="374"/>
      <c r="U306" s="374"/>
      <c r="V306" s="374"/>
      <c r="W306" s="186">
        <f xml:space="preserve"> SUM( O306:V306 )</f>
        <v>0</v>
      </c>
      <c r="X306" s="111"/>
      <c r="Y306" s="121"/>
    </row>
    <row r="307" spans="1:25" customFormat="1" ht="15" customHeight="1">
      <c r="A307" s="1"/>
      <c r="B307" s="1"/>
      <c r="C307" s="2"/>
      <c r="D307" s="99" t="s">
        <v>658</v>
      </c>
      <c r="E307" s="27"/>
      <c r="F307" s="115"/>
      <c r="G307" s="115"/>
      <c r="H307" s="115"/>
      <c r="I307" s="115"/>
      <c r="J307" s="115"/>
      <c r="K307" s="98" t="str">
        <f>Model.Units2</f>
        <v>kWh</v>
      </c>
      <c r="L307" s="99"/>
      <c r="M307" s="151"/>
      <c r="N307" s="115"/>
      <c r="O307" s="575">
        <f>O305-O306</f>
        <v>0</v>
      </c>
      <c r="P307" s="575">
        <f t="shared" ref="P307:V307" si="42">P305-P306</f>
        <v>0</v>
      </c>
      <c r="Q307" s="576"/>
      <c r="R307" s="575">
        <f t="shared" si="42"/>
        <v>0</v>
      </c>
      <c r="S307" s="575">
        <f t="shared" si="42"/>
        <v>0</v>
      </c>
      <c r="T307" s="575">
        <f t="shared" si="42"/>
        <v>0</v>
      </c>
      <c r="U307" s="575">
        <f t="shared" si="42"/>
        <v>0</v>
      </c>
      <c r="V307" s="575">
        <f t="shared" si="42"/>
        <v>0</v>
      </c>
      <c r="W307" s="186">
        <f xml:space="preserve"> SUM( O307:V307 )</f>
        <v>0</v>
      </c>
      <c r="X307" s="111"/>
      <c r="Y307" s="121"/>
    </row>
    <row r="308" spans="1:25" customFormat="1" ht="15" customHeight="1">
      <c r="A308" s="1"/>
      <c r="B308" s="1"/>
      <c r="C308" s="2"/>
      <c r="D308" s="85"/>
      <c r="E308" s="1"/>
      <c r="F308" s="107"/>
      <c r="G308" s="107"/>
      <c r="H308" s="107"/>
      <c r="I308" s="107"/>
      <c r="J308" s="107"/>
      <c r="K308" s="87"/>
      <c r="L308" s="85"/>
      <c r="M308" s="119"/>
      <c r="N308" s="107"/>
      <c r="O308" s="107"/>
      <c r="P308" s="107"/>
      <c r="Q308" s="107"/>
      <c r="R308" s="107"/>
      <c r="S308" s="107"/>
      <c r="T308" s="107"/>
      <c r="U308" s="107"/>
      <c r="V308" s="107"/>
      <c r="W308" s="107"/>
      <c r="X308" s="111"/>
      <c r="Y308" s="121"/>
    </row>
    <row r="309" spans="1:25" ht="15" customHeight="1">
      <c r="D309" s="4" t="s">
        <v>589</v>
      </c>
    </row>
    <row r="310" spans="1:25" ht="15" customHeight="1">
      <c r="D310" s="90" t="s">
        <v>655</v>
      </c>
      <c r="E310" s="33"/>
      <c r="F310" s="33"/>
      <c r="G310" s="33"/>
      <c r="H310" s="33"/>
      <c r="I310" s="33"/>
      <c r="J310" s="33"/>
      <c r="K310" s="92" t="str">
        <f>Model.Units2</f>
        <v>kWh</v>
      </c>
      <c r="L310" s="90"/>
      <c r="M310" s="139"/>
      <c r="N310" s="33"/>
      <c r="O310" s="575">
        <f xml:space="preserve"> O306</f>
        <v>0</v>
      </c>
      <c r="P310" s="575">
        <f xml:space="preserve"> P306</f>
        <v>0</v>
      </c>
      <c r="Q310" s="576"/>
      <c r="R310" s="575">
        <f xml:space="preserve"> R306</f>
        <v>0</v>
      </c>
      <c r="S310" s="575">
        <f xml:space="preserve"> S306</f>
        <v>0</v>
      </c>
      <c r="T310" s="575">
        <f xml:space="preserve"> T306</f>
        <v>0</v>
      </c>
      <c r="U310" s="575">
        <f xml:space="preserve"> U306</f>
        <v>0</v>
      </c>
      <c r="V310" s="575">
        <f xml:space="preserve"> V306</f>
        <v>0</v>
      </c>
      <c r="W310" s="186">
        <f xml:space="preserve"> SUM( O310:V310 )</f>
        <v>0</v>
      </c>
    </row>
    <row r="311" spans="1:25" ht="15" customHeight="1">
      <c r="D311" s="85"/>
      <c r="K311" s="87"/>
      <c r="L311" s="85"/>
      <c r="M311" s="119"/>
      <c r="O311" s="549"/>
      <c r="P311" s="564"/>
      <c r="Q311" s="549"/>
      <c r="R311" s="549"/>
      <c r="S311" s="549"/>
      <c r="T311" s="549"/>
      <c r="U311" s="549"/>
      <c r="V311" s="549"/>
      <c r="W311" s="549"/>
    </row>
    <row r="312" spans="1:25" ht="15" customHeight="1">
      <c r="D312" s="85"/>
      <c r="K312" s="87"/>
      <c r="L312" s="85"/>
      <c r="M312" s="119"/>
      <c r="O312" s="549"/>
      <c r="P312" s="549"/>
      <c r="Q312" s="549"/>
      <c r="R312" s="549"/>
      <c r="S312" s="549"/>
      <c r="T312" s="549"/>
      <c r="U312" s="549"/>
      <c r="V312" s="549"/>
      <c r="W312" s="549"/>
    </row>
    <row r="313" spans="1:25" customFormat="1" ht="15" customHeight="1">
      <c r="A313" s="1"/>
      <c r="B313" s="1"/>
      <c r="C313" s="2"/>
      <c r="D313" s="85"/>
      <c r="E313" s="1"/>
      <c r="F313" s="107"/>
      <c r="G313" s="107"/>
      <c r="H313" s="107"/>
      <c r="I313" s="107"/>
      <c r="J313" s="107"/>
      <c r="K313" s="87"/>
      <c r="L313" s="85"/>
      <c r="M313" s="85"/>
      <c r="N313" s="107"/>
      <c r="O313" s="107"/>
      <c r="P313" s="107"/>
      <c r="Q313" s="107"/>
      <c r="R313" s="121"/>
      <c r="S313" s="121"/>
      <c r="T313" s="121"/>
      <c r="U313" s="121"/>
      <c r="V313" s="121"/>
      <c r="W313" s="1"/>
      <c r="X313" s="1"/>
      <c r="Y313" s="1"/>
    </row>
    <row r="314" spans="1:25" s="475" customFormat="1" ht="15" customHeight="1" outlineLevel="1">
      <c r="B314" s="479" t="str">
        <f xml:space="preserve"> COUNTA(B$10:B313) &amp; ") Installationer"</f>
        <v>9) Installationer</v>
      </c>
      <c r="C314" s="477"/>
      <c r="D314" s="478"/>
      <c r="K314" s="472"/>
    </row>
    <row r="315" spans="1:25" customFormat="1" ht="15" customHeight="1" outlineLevel="1">
      <c r="A315" s="1"/>
      <c r="B315" s="1"/>
      <c r="C315" s="2"/>
      <c r="D315" s="85"/>
      <c r="E315" s="1"/>
      <c r="F315" s="107"/>
      <c r="G315" s="107"/>
      <c r="H315" s="107"/>
      <c r="I315" s="107"/>
      <c r="J315" s="107"/>
      <c r="K315" s="87"/>
      <c r="L315" s="85"/>
      <c r="M315" s="85"/>
      <c r="N315" s="107"/>
      <c r="O315" s="107"/>
      <c r="P315" s="107"/>
      <c r="Q315" s="107"/>
      <c r="R315" s="121"/>
      <c r="S315" s="121"/>
      <c r="T315" s="121"/>
      <c r="U315" s="121"/>
      <c r="V315" s="121"/>
      <c r="W315" s="1"/>
      <c r="X315" s="1"/>
      <c r="Y315" s="1"/>
    </row>
    <row r="316" spans="1:25" customFormat="1" ht="15" customHeight="1" outlineLevel="1">
      <c r="A316" s="1"/>
      <c r="B316" s="1"/>
      <c r="C316" s="2"/>
      <c r="D316" s="88" t="s">
        <v>260</v>
      </c>
      <c r="E316" s="1"/>
      <c r="F316" s="107"/>
      <c r="G316" s="107"/>
      <c r="H316" s="107"/>
      <c r="I316" s="107"/>
      <c r="J316" s="107"/>
      <c r="K316" s="114"/>
      <c r="L316" s="85"/>
      <c r="M316" s="85"/>
      <c r="N316" s="107"/>
      <c r="O316" s="107"/>
      <c r="P316" s="107"/>
      <c r="Q316" s="107"/>
      <c r="R316" s="1"/>
      <c r="S316" s="1"/>
      <c r="T316" s="1"/>
      <c r="U316" s="1"/>
      <c r="V316" s="1"/>
      <c r="W316" s="89" t="s">
        <v>16</v>
      </c>
      <c r="X316" s="1"/>
      <c r="Y316" s="260" t="s">
        <v>362</v>
      </c>
    </row>
    <row r="317" spans="1:25" customFormat="1" ht="15" customHeight="1" outlineLevel="1">
      <c r="A317" s="1"/>
      <c r="B317" s="1"/>
      <c r="C317" s="2"/>
      <c r="D317" s="123" t="s">
        <v>261</v>
      </c>
      <c r="E317" s="15"/>
      <c r="F317" s="116"/>
      <c r="G317" s="116"/>
      <c r="H317" s="116"/>
      <c r="I317" s="116"/>
      <c r="J317" s="116"/>
      <c r="K317" s="117" t="s">
        <v>3</v>
      </c>
      <c r="L317" s="123">
        <f xml:space="preserve"> -- ( COUNTIF( Q317:V317, "&lt;0" ) &gt; 0 ) +  -- ( COUNTIF( Q317:V317, "*" ) &gt; 0 )</f>
        <v>0</v>
      </c>
      <c r="M317" s="142">
        <f xml:space="preserve"> -- ( OR( COUNTIF( Q317:V317,  "=0" ) &gt; 0, COUNTIF( Q317:V317,  "" ) &gt; 0 ) )</f>
        <v>1</v>
      </c>
      <c r="N317" s="116"/>
      <c r="O317" s="274"/>
      <c r="P317" s="274"/>
      <c r="Q317" s="373"/>
      <c r="R317" s="373"/>
      <c r="S317" s="126"/>
      <c r="T317" s="126"/>
      <c r="U317" s="126"/>
      <c r="V317" s="126"/>
      <c r="W317" s="18">
        <f xml:space="preserve"> SUM( Q317:V317 )</f>
        <v>0</v>
      </c>
      <c r="X317" s="1"/>
      <c r="Y317" s="1"/>
    </row>
    <row r="318" spans="1:25" customFormat="1" ht="15" customHeight="1" outlineLevel="1">
      <c r="A318" s="1"/>
      <c r="B318" s="1"/>
      <c r="C318" s="2"/>
      <c r="D318" s="99" t="s">
        <v>262</v>
      </c>
      <c r="E318" s="27"/>
      <c r="F318" s="115"/>
      <c r="G318" s="115"/>
      <c r="H318" s="115"/>
      <c r="I318" s="115"/>
      <c r="J318" s="115"/>
      <c r="K318" s="98" t="s">
        <v>3</v>
      </c>
      <c r="L318" s="99">
        <f xml:space="preserve"> -- ( COUNTIF( Q318:V318, "&lt;0" ) &gt; 0 ) +  -- ( COUNTIF( Q318:V318, "*" ) &gt; 0 )</f>
        <v>0</v>
      </c>
      <c r="M318" s="151">
        <f xml:space="preserve"> -- ( OR( COUNTIF( Q318:V318,  "=0" ) &gt; 0, COUNTIF( Q318:V318,  "" ) &gt; 0 ) )</f>
        <v>1</v>
      </c>
      <c r="N318" s="115"/>
      <c r="O318" s="202"/>
      <c r="P318" s="202"/>
      <c r="Q318" s="374"/>
      <c r="R318" s="374"/>
      <c r="S318" s="128"/>
      <c r="T318" s="128"/>
      <c r="U318" s="128"/>
      <c r="V318" s="128"/>
      <c r="W318" s="4">
        <f xml:space="preserve"> SUM( Q318:V318 )</f>
        <v>0</v>
      </c>
      <c r="X318" s="1"/>
      <c r="Y318" s="1"/>
    </row>
    <row r="319" spans="1:25" customFormat="1" ht="15" customHeight="1" outlineLevel="1">
      <c r="A319" s="1"/>
      <c r="B319" s="1"/>
      <c r="C319" s="2"/>
      <c r="D319" s="105" t="s">
        <v>16</v>
      </c>
      <c r="E319" s="33"/>
      <c r="F319" s="120"/>
      <c r="G319" s="120"/>
      <c r="H319" s="120"/>
      <c r="I319" s="120"/>
      <c r="J319" s="120"/>
      <c r="K319" s="106" t="s">
        <v>3</v>
      </c>
      <c r="L319" s="90"/>
      <c r="M319" s="90"/>
      <c r="N319" s="120"/>
      <c r="O319" s="120"/>
      <c r="P319" s="120"/>
      <c r="Q319" s="186">
        <f t="shared" ref="Q319:W319" si="43" xml:space="preserve"> SUM( Q317:Q318 )</f>
        <v>0</v>
      </c>
      <c r="R319" s="186">
        <f t="shared" si="43"/>
        <v>0</v>
      </c>
      <c r="S319" s="186">
        <f t="shared" si="43"/>
        <v>0</v>
      </c>
      <c r="T319" s="186">
        <f t="shared" si="43"/>
        <v>0</v>
      </c>
      <c r="U319" s="186">
        <f t="shared" si="43"/>
        <v>0</v>
      </c>
      <c r="V319" s="186">
        <f t="shared" si="43"/>
        <v>0</v>
      </c>
      <c r="W319" s="186">
        <f t="shared" si="43"/>
        <v>0</v>
      </c>
      <c r="X319" s="1"/>
      <c r="Y319" s="1"/>
    </row>
    <row r="320" spans="1:25" customFormat="1" ht="15" customHeight="1" outlineLevel="1">
      <c r="A320" s="1"/>
      <c r="B320" s="1"/>
      <c r="C320" s="2"/>
      <c r="D320" s="2"/>
      <c r="E320" s="2"/>
      <c r="F320" s="107"/>
      <c r="G320" s="107"/>
      <c r="H320" s="107"/>
      <c r="I320" s="107"/>
      <c r="J320" s="107"/>
      <c r="K320" s="114"/>
      <c r="L320" s="85"/>
      <c r="M320" s="85"/>
      <c r="N320" s="107"/>
      <c r="O320" s="107"/>
      <c r="P320" s="107"/>
      <c r="Q320" s="107"/>
      <c r="R320" s="1"/>
      <c r="S320" s="1"/>
      <c r="T320" s="1"/>
      <c r="U320" s="1"/>
      <c r="V320" s="1"/>
      <c r="W320" s="1"/>
      <c r="X320" s="1"/>
      <c r="Y320" s="1"/>
    </row>
    <row r="321" spans="1:25" customFormat="1" ht="15" customHeight="1" outlineLevel="1">
      <c r="A321" s="1"/>
      <c r="B321" s="1"/>
      <c r="C321" s="2"/>
      <c r="D321" s="88" t="s">
        <v>65</v>
      </c>
      <c r="E321" s="1"/>
      <c r="F321" s="107"/>
      <c r="G321" s="107"/>
      <c r="H321" s="107"/>
      <c r="I321" s="107"/>
      <c r="J321" s="107"/>
      <c r="K321" s="114"/>
      <c r="L321" s="85"/>
      <c r="M321" s="85"/>
      <c r="N321" s="107"/>
      <c r="O321" s="107"/>
      <c r="P321" s="107"/>
      <c r="Q321" s="107"/>
      <c r="R321" s="1"/>
      <c r="S321" s="1"/>
      <c r="T321" s="1"/>
      <c r="U321" s="1"/>
      <c r="V321" s="1"/>
      <c r="W321" s="89" t="s">
        <v>16</v>
      </c>
      <c r="X321" s="89"/>
      <c r="Y321" s="194"/>
    </row>
    <row r="322" spans="1:25" customFormat="1" ht="15" customHeight="1" outlineLevel="1">
      <c r="A322" s="1"/>
      <c r="B322" s="1"/>
      <c r="C322" s="2"/>
      <c r="D322" s="123" t="s">
        <v>240</v>
      </c>
      <c r="E322" s="15"/>
      <c r="F322" s="116"/>
      <c r="G322" s="116"/>
      <c r="H322" s="116"/>
      <c r="I322" s="116"/>
      <c r="J322" s="116"/>
      <c r="K322" s="117" t="s">
        <v>3</v>
      </c>
      <c r="L322" s="123">
        <f xml:space="preserve"> -- ( COUNTIF( Q322:V322, "&lt;0" ) &gt; 0 ) +  -- ( COUNTIF( Q322:V322, "*" ) &gt; 0 )</f>
        <v>0</v>
      </c>
      <c r="M322" s="142">
        <f xml:space="preserve"> -- ( OR( COUNTIF( Q322:V322,  "=0" ) &gt; 0, COUNTIF( Q322:V322,  "" ) &gt; 0 ) )</f>
        <v>1</v>
      </c>
      <c r="N322" s="116"/>
      <c r="O322" s="274"/>
      <c r="P322" s="274"/>
      <c r="Q322" s="129"/>
      <c r="R322" s="129"/>
      <c r="S322" s="129"/>
      <c r="T322" s="129"/>
      <c r="U322" s="129"/>
      <c r="V322" s="129"/>
      <c r="W322" s="18">
        <f xml:space="preserve"> SUM( Q322:V322 )</f>
        <v>0</v>
      </c>
      <c r="X322" s="4"/>
      <c r="Y322" s="1"/>
    </row>
    <row r="323" spans="1:25" customFormat="1" ht="15" customHeight="1" outlineLevel="1">
      <c r="A323" s="1"/>
      <c r="B323" s="1"/>
      <c r="C323" s="2"/>
      <c r="D323" s="1" t="s">
        <v>242</v>
      </c>
      <c r="E323" s="1"/>
      <c r="F323" s="107"/>
      <c r="G323" s="107"/>
      <c r="H323" s="107"/>
      <c r="I323" s="107"/>
      <c r="J323" s="107"/>
      <c r="K323" s="87" t="s">
        <v>3</v>
      </c>
      <c r="L323" s="85">
        <f xml:space="preserve"> -- ( COUNTIF( Q323:V323, "&lt;0" ) &gt; 0 ) +  -- ( COUNTIF( Q323:V323, "*" ) &gt; 0 )</f>
        <v>0</v>
      </c>
      <c r="M323" s="119">
        <f xml:space="preserve"> -- ( OR( COUNTIF( Q323:V323,  "=0" ) &gt; 0, COUNTIF( Q323:V323,  "" ) &gt; 0 ) )</f>
        <v>1</v>
      </c>
      <c r="N323" s="107"/>
      <c r="O323" s="202"/>
      <c r="P323" s="202"/>
      <c r="Q323" s="214"/>
      <c r="R323" s="214"/>
      <c r="S323" s="214"/>
      <c r="T323" s="214"/>
      <c r="U323" s="214"/>
      <c r="V323" s="214"/>
      <c r="W323" s="4">
        <f xml:space="preserve"> SUM( Q323:V323 )</f>
        <v>0</v>
      </c>
      <c r="X323" s="4"/>
      <c r="Y323" s="1"/>
    </row>
    <row r="324" spans="1:25" customFormat="1" ht="15" customHeight="1" outlineLevel="1">
      <c r="A324" s="1"/>
      <c r="B324" s="1"/>
      <c r="C324" s="2"/>
      <c r="D324" s="85" t="s">
        <v>243</v>
      </c>
      <c r="E324" s="1"/>
      <c r="F324" s="107"/>
      <c r="G324" s="107"/>
      <c r="H324" s="107"/>
      <c r="I324" s="107"/>
      <c r="J324" s="107"/>
      <c r="K324" s="87" t="s">
        <v>3</v>
      </c>
      <c r="L324" s="85">
        <f xml:space="preserve"> -- ( COUNTIF( Q324:V324, "&lt;0" ) &gt; 0 ) +  -- ( COUNTIF( Q324:V324, "*" ) &gt; 0 )</f>
        <v>0</v>
      </c>
      <c r="M324" s="119">
        <f xml:space="preserve"> -- ( OR( COUNTIF( Q324:V324,  "=0" ) &gt; 0, COUNTIF( Q324:V324,  "" ) &gt; 0 ) )</f>
        <v>1</v>
      </c>
      <c r="N324" s="107"/>
      <c r="O324" s="269"/>
      <c r="P324" s="269"/>
      <c r="Q324" s="130"/>
      <c r="R324" s="130"/>
      <c r="S324" s="130"/>
      <c r="T324" s="130"/>
      <c r="U324" s="130"/>
      <c r="V324" s="130"/>
      <c r="W324" s="4">
        <f xml:space="preserve"> SUM( Q324:V324 )</f>
        <v>0</v>
      </c>
      <c r="X324" s="4"/>
      <c r="Y324" s="1"/>
    </row>
    <row r="325" spans="1:25" customFormat="1" ht="7.5" customHeight="1" outlineLevel="1">
      <c r="A325" s="1"/>
      <c r="B325" s="1"/>
      <c r="C325" s="2"/>
      <c r="D325" s="85"/>
      <c r="E325" s="1"/>
      <c r="F325" s="107"/>
      <c r="G325" s="107"/>
      <c r="H325" s="107"/>
      <c r="I325" s="107"/>
      <c r="J325" s="107"/>
      <c r="K325" s="87"/>
      <c r="L325" s="85"/>
      <c r="M325" s="85"/>
      <c r="N325" s="107"/>
      <c r="O325" s="107"/>
      <c r="P325" s="107"/>
      <c r="Q325" s="1"/>
      <c r="R325" s="1"/>
      <c r="S325" s="1"/>
      <c r="T325" s="1"/>
      <c r="U325" s="1"/>
      <c r="V325" s="1"/>
      <c r="W325" s="4"/>
      <c r="X325" s="4"/>
      <c r="Y325" s="1"/>
    </row>
    <row r="326" spans="1:25" customFormat="1" ht="15" customHeight="1" outlineLevel="1">
      <c r="A326" s="1"/>
      <c r="B326" s="1"/>
      <c r="C326" s="2"/>
      <c r="D326" s="85" t="s">
        <v>241</v>
      </c>
      <c r="E326" s="1"/>
      <c r="F326" s="107"/>
      <c r="G326" s="107"/>
      <c r="H326" s="107"/>
      <c r="I326" s="107"/>
      <c r="J326" s="107"/>
      <c r="K326" s="87" t="s">
        <v>3</v>
      </c>
      <c r="L326" s="85">
        <f xml:space="preserve"> -- ( COUNTIF( Q326:V326, "&lt;0" ) &gt; 0 ) +  -- ( COUNTIF( Q326:V326, "*" ) &gt; 0 )</f>
        <v>0</v>
      </c>
      <c r="M326" s="119">
        <f xml:space="preserve"> -- ( OR( COUNTIF( Q326:V326,  "=0" ) &gt; 0, COUNTIF( Q326:V326,  "" ) &gt; 0 ) )</f>
        <v>1</v>
      </c>
      <c r="N326" s="107"/>
      <c r="O326" s="107"/>
      <c r="P326" s="107"/>
      <c r="Q326" s="1">
        <f t="shared" ref="Q326:V326" si="44" xml:space="preserve"> Q319</f>
        <v>0</v>
      </c>
      <c r="R326" s="1">
        <f t="shared" si="44"/>
        <v>0</v>
      </c>
      <c r="S326" s="1">
        <f t="shared" si="44"/>
        <v>0</v>
      </c>
      <c r="T326" s="1">
        <f t="shared" si="44"/>
        <v>0</v>
      </c>
      <c r="U326" s="1">
        <f t="shared" si="44"/>
        <v>0</v>
      </c>
      <c r="V326" s="1">
        <f t="shared" si="44"/>
        <v>0</v>
      </c>
      <c r="W326" s="4">
        <f xml:space="preserve"> SUM( Q326:V326 )</f>
        <v>0</v>
      </c>
      <c r="X326" s="4"/>
      <c r="Y326" s="1"/>
    </row>
    <row r="327" spans="1:25" customFormat="1" ht="15" customHeight="1" outlineLevel="1">
      <c r="A327" s="1"/>
      <c r="B327" s="1"/>
      <c r="C327" s="2"/>
      <c r="D327" s="105" t="s">
        <v>16</v>
      </c>
      <c r="E327" s="33"/>
      <c r="F327" s="120"/>
      <c r="G327" s="120"/>
      <c r="H327" s="120"/>
      <c r="I327" s="120"/>
      <c r="J327" s="120"/>
      <c r="K327" s="106" t="s">
        <v>3</v>
      </c>
      <c r="L327" s="105"/>
      <c r="M327" s="105"/>
      <c r="N327" s="120"/>
      <c r="O327" s="371"/>
      <c r="P327" s="371"/>
      <c r="Q327" s="186">
        <f t="shared" ref="Q327:W327" si="45" xml:space="preserve"> SUM( Q322:Q326 )</f>
        <v>0</v>
      </c>
      <c r="R327" s="186">
        <f t="shared" si="45"/>
        <v>0</v>
      </c>
      <c r="S327" s="186">
        <f t="shared" si="45"/>
        <v>0</v>
      </c>
      <c r="T327" s="186">
        <f t="shared" si="45"/>
        <v>0</v>
      </c>
      <c r="U327" s="186">
        <f t="shared" si="45"/>
        <v>0</v>
      </c>
      <c r="V327" s="186">
        <f t="shared" si="45"/>
        <v>0</v>
      </c>
      <c r="W327" s="186">
        <f t="shared" si="45"/>
        <v>0</v>
      </c>
      <c r="X327" s="4"/>
      <c r="Y327" s="1"/>
    </row>
    <row r="328" spans="1:25" customFormat="1" ht="15" customHeight="1" outlineLevel="1">
      <c r="A328" s="1"/>
      <c r="B328" s="1"/>
      <c r="C328" s="2"/>
      <c r="D328" s="88"/>
      <c r="E328" s="1"/>
      <c r="F328" s="107"/>
      <c r="G328" s="107"/>
      <c r="H328" s="107"/>
      <c r="I328" s="107"/>
      <c r="J328" s="107"/>
      <c r="K328" s="114"/>
      <c r="L328" s="85"/>
      <c r="M328" s="85"/>
      <c r="N328" s="107"/>
      <c r="O328" s="107"/>
      <c r="P328" s="107"/>
      <c r="Q328" s="107"/>
      <c r="R328" s="1"/>
      <c r="S328" s="1"/>
      <c r="T328" s="1"/>
      <c r="U328" s="1"/>
      <c r="V328" s="1"/>
      <c r="W328" s="1"/>
      <c r="X328" s="1"/>
      <c r="Y328" s="1"/>
    </row>
    <row r="329" spans="1:25" customFormat="1" ht="15" customHeight="1" outlineLevel="1">
      <c r="A329" s="1"/>
      <c r="B329" s="1"/>
      <c r="C329" s="2"/>
      <c r="D329" s="88"/>
      <c r="E329" s="1"/>
      <c r="F329" s="107"/>
      <c r="G329" s="107"/>
      <c r="H329" s="107"/>
      <c r="I329" s="107"/>
      <c r="J329" s="107"/>
      <c r="K329" s="114"/>
      <c r="L329" s="85"/>
      <c r="M329" s="85"/>
      <c r="N329" s="107"/>
      <c r="O329" s="107"/>
      <c r="P329" s="107"/>
      <c r="Q329" s="107"/>
      <c r="R329" s="1"/>
      <c r="S329" s="1"/>
      <c r="T329" s="1"/>
      <c r="U329" s="1"/>
      <c r="V329" s="1"/>
      <c r="W329" s="1"/>
      <c r="X329" s="1"/>
      <c r="Y329" s="1"/>
    </row>
    <row r="330" spans="1:25" customFormat="1" ht="15" customHeight="1" outlineLevel="1">
      <c r="A330" s="1"/>
      <c r="B330" s="1"/>
      <c r="C330" s="2"/>
      <c r="D330" s="88"/>
      <c r="E330" s="1"/>
      <c r="F330" s="107"/>
      <c r="G330" s="107"/>
      <c r="H330" s="107"/>
      <c r="I330" s="107"/>
      <c r="J330" s="107"/>
      <c r="K330" s="114"/>
      <c r="L330" s="85"/>
      <c r="M330" s="85"/>
      <c r="N330" s="107"/>
      <c r="O330" s="107"/>
      <c r="P330" s="107"/>
      <c r="Q330" s="107"/>
      <c r="R330" s="1"/>
      <c r="S330" s="1"/>
      <c r="T330" s="1"/>
      <c r="U330" s="1"/>
      <c r="V330" s="1"/>
      <c r="W330" s="1"/>
      <c r="X330" s="1"/>
      <c r="Y330" s="1"/>
    </row>
    <row r="331" spans="1:25" s="475" customFormat="1" ht="15" customHeight="1">
      <c r="B331" s="479" t="str">
        <f xml:space="preserve"> COUNTA(B$10:B328) &amp; ") Eksisterende tarifblad til brug for varslingsoutput"</f>
        <v>10) Eksisterende tarifblad til brug for varslingsoutput</v>
      </c>
      <c r="C331" s="477"/>
      <c r="D331" s="478"/>
      <c r="K331" s="472"/>
    </row>
    <row r="332" spans="1:25" customFormat="1" ht="15" customHeight="1" outlineLevel="1">
      <c r="A332" s="1"/>
      <c r="B332" s="1"/>
      <c r="C332" s="2"/>
      <c r="D332" s="85"/>
      <c r="E332" s="1"/>
      <c r="F332" s="107"/>
      <c r="G332" s="107"/>
      <c r="H332" s="107"/>
      <c r="I332" s="107"/>
      <c r="J332" s="107"/>
      <c r="K332" s="87"/>
      <c r="L332" s="85"/>
      <c r="M332" s="85"/>
      <c r="N332" s="107"/>
      <c r="O332" s="107"/>
      <c r="P332" s="107"/>
      <c r="Q332" s="107"/>
      <c r="R332" s="1"/>
      <c r="S332" s="1"/>
      <c r="T332" s="1"/>
      <c r="U332" s="1"/>
      <c r="V332" s="1"/>
      <c r="W332" s="1"/>
      <c r="X332" s="1"/>
      <c r="Y332" s="1"/>
    </row>
    <row r="333" spans="1:25" ht="15" customHeight="1" outlineLevel="1">
      <c r="D333" s="4" t="s">
        <v>271</v>
      </c>
      <c r="Y333" s="260" t="s">
        <v>362</v>
      </c>
    </row>
    <row r="334" spans="1:25" ht="15" customHeight="1" outlineLevel="1">
      <c r="D334" s="15" t="s">
        <v>182</v>
      </c>
      <c r="E334" s="15"/>
      <c r="F334" s="15"/>
      <c r="G334" s="15"/>
      <c r="H334" s="15"/>
      <c r="I334" s="15"/>
      <c r="J334" s="15"/>
      <c r="K334" s="19" t="s">
        <v>216</v>
      </c>
      <c r="L334" s="123">
        <f xml:space="preserve"> -- ( COUNTIF( R334:V334, "&lt;0" ) &gt; 0 ) +  -- ( COUNTIF( R334:V334, "*" ) &gt; 0 )</f>
        <v>0</v>
      </c>
      <c r="M334" s="142">
        <f xml:space="preserve"> -- ( OR( COUNTIF( R334:V334,  "=0" ) &gt; 0, COUNTIF( R334:V334,  "" ) &gt; 0 ) )</f>
        <v>1</v>
      </c>
      <c r="N334" s="15"/>
      <c r="O334" s="274"/>
      <c r="P334" s="274"/>
      <c r="Q334" s="274"/>
      <c r="R334" s="118"/>
      <c r="S334" s="118"/>
      <c r="T334" s="118"/>
      <c r="U334" s="118"/>
      <c r="V334" s="118"/>
      <c r="W334" s="15"/>
    </row>
    <row r="335" spans="1:25" ht="15" customHeight="1" outlineLevel="1">
      <c r="D335" s="1" t="s">
        <v>184</v>
      </c>
      <c r="K335" s="5" t="s">
        <v>216</v>
      </c>
      <c r="L335" s="85">
        <f xml:space="preserve"> -- ( COUNTIF( R335:V335, "&lt;0" ) &gt; 0 ) +  -- ( COUNTIF( R335:V335, "*" ) &gt; 0 )</f>
        <v>0</v>
      </c>
      <c r="M335" s="119">
        <f xml:space="preserve"> -- ( OR( COUNTIF( R335:V335,  "=0" ) &gt; 0, COUNTIF( R335:V335,  "" ) &gt; 0 ) )</f>
        <v>1</v>
      </c>
      <c r="O335" s="202"/>
      <c r="P335" s="202"/>
      <c r="Q335" s="202"/>
      <c r="R335" s="110"/>
      <c r="S335" s="110"/>
      <c r="T335" s="110"/>
      <c r="U335" s="110"/>
      <c r="V335" s="110"/>
    </row>
    <row r="336" spans="1:25" ht="15" customHeight="1" outlineLevel="1">
      <c r="D336" s="27" t="s">
        <v>185</v>
      </c>
      <c r="E336" s="27"/>
      <c r="F336" s="27"/>
      <c r="G336" s="27"/>
      <c r="H336" s="27"/>
      <c r="I336" s="27"/>
      <c r="J336" s="27"/>
      <c r="K336" s="32" t="s">
        <v>216</v>
      </c>
      <c r="L336" s="99">
        <f xml:space="preserve"> -- ( COUNTIF( R336:V336, "&lt;0" ) &gt; 0 ) +  -- ( COUNTIF( R336:V336, "*" ) &gt; 0 )</f>
        <v>0</v>
      </c>
      <c r="M336" s="151">
        <f xml:space="preserve"> -- ( OR( COUNTIF( R336:V336,  "=0" ) &gt; 0, COUNTIF( R336:V336,  "" ) &gt; 0 ) )</f>
        <v>1</v>
      </c>
      <c r="N336" s="27"/>
      <c r="O336" s="269"/>
      <c r="P336" s="269"/>
      <c r="Q336" s="269"/>
      <c r="R336" s="112"/>
      <c r="S336" s="112"/>
      <c r="T336" s="112"/>
      <c r="U336" s="112"/>
      <c r="V336" s="112"/>
      <c r="W336" s="27"/>
    </row>
    <row r="337" spans="4:23" ht="15" customHeight="1" outlineLevel="1">
      <c r="D337" s="1"/>
    </row>
    <row r="338" spans="4:23" ht="15" customHeight="1" outlineLevel="1">
      <c r="D338" s="4" t="s">
        <v>272</v>
      </c>
    </row>
    <row r="339" spans="4:23" ht="15" customHeight="1" outlineLevel="1">
      <c r="D339" s="15" t="s">
        <v>182</v>
      </c>
      <c r="E339" s="15"/>
      <c r="F339" s="15"/>
      <c r="G339" s="15"/>
      <c r="H339" s="15"/>
      <c r="I339" s="15"/>
      <c r="J339" s="15"/>
      <c r="K339" s="19" t="s">
        <v>216</v>
      </c>
      <c r="L339" s="123">
        <f xml:space="preserve"> -- ( COUNTIF( R339:V339, "&lt;0" ) &gt; 0 ) +  -- ( COUNTIF( R339:V339, "*" ) &gt; 0 )</f>
        <v>0</v>
      </c>
      <c r="M339" s="142">
        <f xml:space="preserve"> -- ( OR( COUNTIF( R339:V339,  "=0" ) &gt; 0, COUNTIF( R339:V339,  "" ) &gt; 0 ) )</f>
        <v>1</v>
      </c>
      <c r="N339" s="15"/>
      <c r="O339" s="274"/>
      <c r="P339" s="274"/>
      <c r="Q339" s="274"/>
      <c r="R339" s="118"/>
      <c r="S339" s="118"/>
      <c r="T339" s="118"/>
      <c r="U339" s="118"/>
      <c r="V339" s="118"/>
      <c r="W339" s="15"/>
    </row>
    <row r="340" spans="4:23" ht="15" customHeight="1" outlineLevel="1">
      <c r="D340" s="1" t="s">
        <v>184</v>
      </c>
      <c r="K340" s="5" t="s">
        <v>216</v>
      </c>
      <c r="L340" s="85">
        <f xml:space="preserve"> -- ( COUNTIF( R340:V340, "&lt;0" ) &gt; 0 ) +  -- ( COUNTIF( R340:V340, "*" ) &gt; 0 )</f>
        <v>0</v>
      </c>
      <c r="M340" s="119">
        <f xml:space="preserve"> -- ( OR( COUNTIF( R340:V340,  "=0" ) &gt; 0, COUNTIF( R340:V340,  "" ) &gt; 0 ) )</f>
        <v>1</v>
      </c>
      <c r="O340" s="202"/>
      <c r="P340" s="202"/>
      <c r="Q340" s="202"/>
      <c r="R340" s="110"/>
      <c r="S340" s="110"/>
      <c r="T340" s="110"/>
      <c r="U340" s="110"/>
      <c r="V340" s="110"/>
    </row>
    <row r="341" spans="4:23" ht="15" customHeight="1" outlineLevel="1">
      <c r="D341" s="27" t="s">
        <v>185</v>
      </c>
      <c r="E341" s="27"/>
      <c r="F341" s="27"/>
      <c r="G341" s="27"/>
      <c r="H341" s="27"/>
      <c r="I341" s="27"/>
      <c r="J341" s="27"/>
      <c r="K341" s="32" t="s">
        <v>216</v>
      </c>
      <c r="L341" s="99">
        <f xml:space="preserve"> -- ( COUNTIF( R341:V341, "&lt;0" ) &gt; 0 ) +  -- ( COUNTIF( R341:V341, "*" ) &gt; 0 )</f>
        <v>0</v>
      </c>
      <c r="M341" s="151">
        <f xml:space="preserve"> -- ( OR( COUNTIF( R341:V341,  "=0" ) &gt; 0, COUNTIF( R341:V341,  "" ) &gt; 0 ) )</f>
        <v>1</v>
      </c>
      <c r="N341" s="27"/>
      <c r="O341" s="269"/>
      <c r="P341" s="269"/>
      <c r="Q341" s="269"/>
      <c r="R341" s="112"/>
      <c r="S341" s="112"/>
      <c r="T341" s="112"/>
      <c r="U341" s="112"/>
      <c r="V341" s="112"/>
      <c r="W341" s="27"/>
    </row>
    <row r="342" spans="4:23" ht="15" customHeight="1">
      <c r="D342" s="1"/>
    </row>
    <row r="343" spans="4:23" ht="15" customHeight="1">
      <c r="D343" s="4" t="s">
        <v>585</v>
      </c>
    </row>
    <row r="344" spans="4:23" ht="15" customHeight="1">
      <c r="D344" s="33" t="s">
        <v>585</v>
      </c>
      <c r="E344" s="33"/>
      <c r="F344" s="33"/>
      <c r="G344" s="33"/>
      <c r="H344" s="33"/>
      <c r="I344" s="33"/>
      <c r="J344" s="33"/>
      <c r="K344" s="34" t="s">
        <v>216</v>
      </c>
      <c r="L344" s="90">
        <f xml:space="preserve"> -- ( COUNTIF( O344:V344, "&lt;0" ) &gt; 0 ) +  -- ( COUNTIF( O344:V344, "*" ) &gt; 0 )</f>
        <v>0</v>
      </c>
      <c r="M344" s="139">
        <f xml:space="preserve"> -- ( OR( -- ( OR( COUNTIF( O344:P344,  "=0" ) &gt; 0, COUNTIF( O344:P344,  "" ) &gt; 0 ) ) &gt; 0, -- ( OR( COUNTIF( R344:V344,  "=0" ) &gt; 0, COUNTIF( R344:V344,  "" ) &gt; 0 ) ) &gt; 0 ) )</f>
        <v>1</v>
      </c>
      <c r="N344" s="33"/>
      <c r="O344" s="94"/>
      <c r="P344" s="94"/>
      <c r="Q344" s="271"/>
      <c r="R344" s="94"/>
      <c r="S344" s="94"/>
      <c r="T344" s="94"/>
      <c r="U344" s="94"/>
      <c r="V344" s="94"/>
      <c r="W344" s="33"/>
    </row>
    <row r="345" spans="4:23" ht="15" customHeight="1">
      <c r="D345" s="1"/>
    </row>
    <row r="346" spans="4:23" ht="15" customHeight="1" outlineLevel="1">
      <c r="D346" s="4" t="s">
        <v>120</v>
      </c>
    </row>
    <row r="347" spans="4:23" ht="15" customHeight="1" outlineLevel="1">
      <c r="D347" s="33" t="s">
        <v>288</v>
      </c>
      <c r="E347" s="33"/>
      <c r="F347" s="33"/>
      <c r="G347" s="33"/>
      <c r="H347" s="33"/>
      <c r="I347" s="33"/>
      <c r="J347" s="33"/>
      <c r="K347" s="34" t="s">
        <v>216</v>
      </c>
      <c r="L347" s="90">
        <f xml:space="preserve"> -- ( COUNTIF( R347:V347, "&lt;0" ) &gt; 0 ) +  -- ( COUNTIF( R347:V347, "*" ) &gt; 0 )</f>
        <v>0</v>
      </c>
      <c r="M347" s="139">
        <f xml:space="preserve"> -- ( OR( COUNTIF( R347:V347,  "=0" ) &gt; 0, COUNTIF( R347:V347,  "" ) &gt; 0 ) )</f>
        <v>1</v>
      </c>
      <c r="N347" s="33"/>
      <c r="O347" s="271"/>
      <c r="P347" s="271"/>
      <c r="Q347" s="271"/>
      <c r="R347" s="94"/>
      <c r="S347" s="94"/>
      <c r="T347" s="94"/>
      <c r="U347" s="94"/>
      <c r="V347" s="94"/>
      <c r="W347" s="33"/>
    </row>
    <row r="348" spans="4:23" ht="15" customHeight="1" outlineLevel="1">
      <c r="D348" s="1"/>
    </row>
    <row r="349" spans="4:23" ht="15" customHeight="1" outlineLevel="1">
      <c r="D349" s="4" t="s">
        <v>217</v>
      </c>
    </row>
    <row r="350" spans="4:23" ht="15" customHeight="1" outlineLevel="1">
      <c r="D350" s="33" t="s">
        <v>219</v>
      </c>
      <c r="E350" s="33"/>
      <c r="F350" s="33"/>
      <c r="G350" s="33"/>
      <c r="H350" s="33"/>
      <c r="I350" s="33"/>
      <c r="J350" s="33"/>
      <c r="K350" s="34" t="s">
        <v>134</v>
      </c>
      <c r="L350" s="90">
        <f xml:space="preserve">  -- ( COUNTIF( U350:V350, "&lt;&gt;" ) &gt; 0 )  + -- ( COUNTIF( R350:T350, "&lt;0" ) &gt; 0 )  +  -- ( COUNTIF( R350:T350, "*" ) &gt; 0 )</f>
        <v>0</v>
      </c>
      <c r="M350" s="139">
        <f xml:space="preserve"> -- ( OR( COUNTIF( R350:T350,  "=0" ) &gt; 0, COUNTIF( R350:T350,  "" ) &gt; 0 ) )</f>
        <v>1</v>
      </c>
      <c r="N350" s="33"/>
      <c r="O350" s="271"/>
      <c r="P350" s="271"/>
      <c r="Q350" s="271"/>
      <c r="R350" s="287"/>
      <c r="S350" s="287"/>
      <c r="T350" s="327"/>
      <c r="U350" s="140"/>
      <c r="V350" s="141"/>
      <c r="W350" s="33"/>
    </row>
    <row r="351" spans="4:23" ht="15" customHeight="1" outlineLevel="1"/>
    <row r="352" spans="4:23" ht="15" customHeight="1" outlineLevel="1">
      <c r="D352" s="4" t="s">
        <v>39</v>
      </c>
    </row>
    <row r="353" spans="1:25" ht="15" customHeight="1" outlineLevel="1">
      <c r="D353" s="123" t="s">
        <v>263</v>
      </c>
      <c r="E353" s="15"/>
      <c r="F353" s="15"/>
      <c r="G353" s="15"/>
      <c r="H353" s="15"/>
      <c r="I353" s="15"/>
      <c r="J353" s="15"/>
      <c r="K353" s="19" t="s">
        <v>218</v>
      </c>
      <c r="L353" s="123">
        <f xml:space="preserve"> -- ( COUNTIF( Q353:V353, "&lt;0" ) &gt; 0 ) +  -- ( COUNTIF( Q353:V353, "*" ) &gt; 0 )</f>
        <v>0</v>
      </c>
      <c r="M353" s="142">
        <f xml:space="preserve"> -- ( OR( COUNTIF( Q353:V353,  "=0" ) &gt; 0, COUNTIF( Q353:V353,  "" ) &gt; 0 ) )</f>
        <v>1</v>
      </c>
      <c r="N353" s="15"/>
      <c r="O353" s="369"/>
      <c r="P353" s="506"/>
      <c r="Q353" s="126"/>
      <c r="R353" s="373"/>
      <c r="S353" s="126"/>
      <c r="T353" s="126"/>
      <c r="U353" s="126"/>
      <c r="V353" s="126"/>
      <c r="W353" s="15"/>
    </row>
    <row r="354" spans="1:25" ht="15" customHeight="1" outlineLevel="1">
      <c r="D354" s="85" t="s">
        <v>264</v>
      </c>
      <c r="K354" s="5" t="s">
        <v>218</v>
      </c>
      <c r="L354" s="85">
        <f xml:space="preserve"> -- ( COUNTIF( Q354:V354, "&lt;0" ) &gt; 0 ) +  -- ( COUNTIF( Q354:V354, "*" ) &gt; 0 )</f>
        <v>0</v>
      </c>
      <c r="M354" s="119">
        <f xml:space="preserve"> -- ( OR( COUNTIF( Q354:V354,  "=0" ) &gt; 0, COUNTIF( Q354:V354,  "" ) &gt; 0 ) )</f>
        <v>1</v>
      </c>
      <c r="O354" s="370"/>
      <c r="P354" s="507"/>
      <c r="Q354" s="130"/>
      <c r="R354" s="290"/>
      <c r="S354" s="130"/>
      <c r="T354" s="130"/>
      <c r="U354" s="130"/>
      <c r="V354" s="130"/>
    </row>
    <row r="355" spans="1:25" ht="15" customHeight="1" outlineLevel="1">
      <c r="D355" s="85" t="s">
        <v>243</v>
      </c>
      <c r="K355" s="5" t="s">
        <v>218</v>
      </c>
      <c r="L355" s="85">
        <f xml:space="preserve"> -- ( COUNTIF( Q355:V355, "&lt;0" ) &gt; 0 ) +  -- ( COUNTIF( Q355:V355, "*" ) &gt; 0 )</f>
        <v>0</v>
      </c>
      <c r="M355" s="119">
        <f xml:space="preserve"> -- ( OR( COUNTIF( Q355:V355,  "=0" ) &gt; 0, COUNTIF( Q355:V355,  "" ) &gt; 0 ) )</f>
        <v>1</v>
      </c>
      <c r="O355" s="370"/>
      <c r="P355" s="507"/>
      <c r="Q355" s="130"/>
      <c r="R355" s="290"/>
      <c r="S355" s="130"/>
      <c r="T355" s="130"/>
      <c r="U355" s="130"/>
      <c r="V355" s="130"/>
    </row>
    <row r="356" spans="1:25" ht="15" customHeight="1" outlineLevel="1">
      <c r="D356" s="99" t="s">
        <v>223</v>
      </c>
      <c r="E356" s="27"/>
      <c r="F356" s="27"/>
      <c r="G356" s="27"/>
      <c r="H356" s="27"/>
      <c r="I356" s="27"/>
      <c r="J356" s="27"/>
      <c r="K356" s="32" t="s">
        <v>218</v>
      </c>
      <c r="L356" s="99">
        <f xml:space="preserve"> -- ( COUNTIF( Q356:V356, "&lt;0" ) &gt; 0 ) +  -- ( COUNTIF( Q356:V356, "*" ) &gt; 0 )</f>
        <v>0</v>
      </c>
      <c r="M356" s="151">
        <f xml:space="preserve"> -- ( OR( COUNTIF( Q356:V356,  "=0" ) &gt; 0, COUNTIF( Q356:V356,  "" ) &gt; 0 ) )</f>
        <v>1</v>
      </c>
      <c r="N356" s="27"/>
      <c r="O356" s="368"/>
      <c r="P356" s="508"/>
      <c r="Q356" s="128"/>
      <c r="R356" s="374"/>
      <c r="S356" s="128"/>
      <c r="T356" s="128"/>
      <c r="U356" s="128"/>
      <c r="V356" s="128"/>
      <c r="W356" s="27"/>
    </row>
    <row r="357" spans="1:25" customFormat="1" ht="15" customHeight="1" outlineLevel="1">
      <c r="A357" s="1"/>
      <c r="B357" s="1"/>
      <c r="C357" s="2"/>
      <c r="D357" s="85"/>
      <c r="E357" s="1"/>
      <c r="F357" s="107"/>
      <c r="G357" s="107"/>
      <c r="H357" s="107"/>
      <c r="I357" s="107"/>
      <c r="J357" s="107"/>
      <c r="K357" s="87"/>
      <c r="L357" s="85"/>
      <c r="M357" s="85"/>
      <c r="N357" s="107"/>
      <c r="O357" s="107"/>
      <c r="P357" s="107"/>
      <c r="Q357" s="107"/>
      <c r="R357" s="1"/>
      <c r="S357" s="1"/>
      <c r="T357" s="1"/>
      <c r="U357" s="1"/>
      <c r="V357" s="1"/>
      <c r="W357" s="1"/>
      <c r="X357" s="1"/>
      <c r="Y357" s="1"/>
    </row>
    <row r="358" spans="1:25" ht="15" customHeight="1" outlineLevel="1"/>
    <row r="359" spans="1:25" customFormat="1" ht="15" customHeight="1">
      <c r="A359" s="1"/>
      <c r="B359" s="1"/>
      <c r="C359" s="2"/>
      <c r="D359" s="85"/>
      <c r="E359" s="1"/>
      <c r="F359" s="107"/>
      <c r="G359" s="107"/>
      <c r="H359" s="107"/>
      <c r="I359" s="107"/>
      <c r="J359" s="107"/>
      <c r="K359" s="87"/>
      <c r="L359" s="85"/>
      <c r="M359" s="119"/>
      <c r="N359" s="107"/>
      <c r="O359" s="107"/>
      <c r="P359" s="107"/>
      <c r="Q359" s="107"/>
      <c r="R359" s="107"/>
      <c r="S359" s="107"/>
      <c r="T359" s="107"/>
      <c r="U359" s="107"/>
      <c r="V359" s="107"/>
      <c r="W359" s="107"/>
      <c r="X359" s="107"/>
      <c r="Y359" s="121"/>
    </row>
    <row r="360" spans="1:25" s="475" customFormat="1" ht="15" customHeight="1">
      <c r="B360" s="479" t="s">
        <v>104</v>
      </c>
      <c r="C360" s="477"/>
      <c r="D360" s="478"/>
      <c r="K360" s="472"/>
    </row>
  </sheetData>
  <sheetProtection sheet="1" objects="1" scenarios="1"/>
  <protectedRanges>
    <protectedRange sqref="N15:Y356" name="Range1"/>
  </protectedRanges>
  <mergeCells count="14">
    <mergeCell ref="S98:S99"/>
    <mergeCell ref="T98:T99"/>
    <mergeCell ref="U98:U99"/>
    <mergeCell ref="V98:V99"/>
    <mergeCell ref="V57:V58"/>
    <mergeCell ref="U57:U58"/>
    <mergeCell ref="T57:T58"/>
    <mergeCell ref="S57:S58"/>
    <mergeCell ref="Q98:Q99"/>
    <mergeCell ref="R98:R99"/>
    <mergeCell ref="R57:R58"/>
    <mergeCell ref="Q57:Q58"/>
    <mergeCell ref="O57:P58"/>
    <mergeCell ref="O98:P99"/>
  </mergeCells>
  <conditionalFormatting sqref="I4:I5">
    <cfRule type="cellIs" dxfId="638" priority="375" operator="between">
      <formula>-ErrorTolerance</formula>
      <formula>ErrorTolerance</formula>
    </cfRule>
  </conditionalFormatting>
  <conditionalFormatting sqref="J2:Q3 B2:E3">
    <cfRule type="expression" dxfId="637" priority="380">
      <formula>$I$4&lt;ErrorTolerance</formula>
    </cfRule>
  </conditionalFormatting>
  <conditionalFormatting sqref="B3">
    <cfRule type="expression" dxfId="636" priority="389">
      <formula>$I$5&gt;=ErrorTolerance</formula>
    </cfRule>
  </conditionalFormatting>
  <conditionalFormatting sqref="M140:M141 M322:M326 M354:M356 M144:M149 M359 M309 M79:M91">
    <cfRule type="cellIs" dxfId="635" priority="325" operator="greaterThan">
      <formula>0</formula>
    </cfRule>
  </conditionalFormatting>
  <conditionalFormatting sqref="L140:L141 L322:L326 L354:L356 L144:L149 L79:L91 L359 L309">
    <cfRule type="cellIs" dxfId="634" priority="324" operator="greaterThan">
      <formula>0</formula>
    </cfRule>
  </conditionalFormatting>
  <conditionalFormatting sqref="M85">
    <cfRule type="cellIs" dxfId="633" priority="323" operator="greaterThan">
      <formula>0</formula>
    </cfRule>
  </conditionalFormatting>
  <conditionalFormatting sqref="M89">
    <cfRule type="cellIs" dxfId="632" priority="322" operator="greaterThan">
      <formula>0</formula>
    </cfRule>
  </conditionalFormatting>
  <conditionalFormatting sqref="AM76">
    <cfRule type="expression" dxfId="631" priority="317">
      <formula>$L$77 &lt;&gt; 0</formula>
    </cfRule>
  </conditionalFormatting>
  <conditionalFormatting sqref="L41:L44">
    <cfRule type="cellIs" dxfId="630" priority="313" operator="greaterThan">
      <formula>0</formula>
    </cfRule>
  </conditionalFormatting>
  <conditionalFormatting sqref="L35:L36">
    <cfRule type="cellIs" dxfId="629" priority="312" operator="greaterThan">
      <formula>0</formula>
    </cfRule>
  </conditionalFormatting>
  <conditionalFormatting sqref="L31">
    <cfRule type="cellIs" dxfId="628" priority="311" operator="greaterThan">
      <formula>0</formula>
    </cfRule>
  </conditionalFormatting>
  <conditionalFormatting sqref="L28">
    <cfRule type="cellIs" dxfId="627" priority="310" operator="greaterThan">
      <formula>0</formula>
    </cfRule>
  </conditionalFormatting>
  <conditionalFormatting sqref="M92:M95 M117:M135">
    <cfRule type="cellIs" dxfId="626" priority="309" operator="greaterThan">
      <formula>0</formula>
    </cfRule>
  </conditionalFormatting>
  <conditionalFormatting sqref="L184">
    <cfRule type="cellIs" dxfId="625" priority="307" operator="greaterThan">
      <formula>0</formula>
    </cfRule>
  </conditionalFormatting>
  <conditionalFormatting sqref="L190:L213">
    <cfRule type="cellIs" dxfId="624" priority="306" operator="greaterThan">
      <formula>0</formula>
    </cfRule>
  </conditionalFormatting>
  <conditionalFormatting sqref="L217:L240">
    <cfRule type="cellIs" dxfId="623" priority="305" operator="greaterThan">
      <formula>0</formula>
    </cfRule>
  </conditionalFormatting>
  <conditionalFormatting sqref="L244:L267">
    <cfRule type="cellIs" dxfId="622" priority="304" operator="greaterThan">
      <formula>0</formula>
    </cfRule>
  </conditionalFormatting>
  <conditionalFormatting sqref="L271:L294">
    <cfRule type="cellIs" dxfId="621" priority="303" operator="greaterThan">
      <formula>0</formula>
    </cfRule>
  </conditionalFormatting>
  <conditionalFormatting sqref="L317:L318">
    <cfRule type="cellIs" dxfId="620" priority="300" operator="greaterThan">
      <formula>0</formula>
    </cfRule>
  </conditionalFormatting>
  <conditionalFormatting sqref="L153 L159 L162:L163 L155:L156">
    <cfRule type="cellIs" dxfId="619" priority="293" operator="greaterThan">
      <formula>0</formula>
    </cfRule>
  </conditionalFormatting>
  <conditionalFormatting sqref="L167">
    <cfRule type="cellIs" dxfId="618" priority="292" operator="greaterThan">
      <formula>0</formula>
    </cfRule>
  </conditionalFormatting>
  <conditionalFormatting sqref="M31">
    <cfRule type="cellIs" dxfId="617" priority="289" operator="greaterThan">
      <formula>0</formula>
    </cfRule>
  </conditionalFormatting>
  <conditionalFormatting sqref="M34:M37">
    <cfRule type="cellIs" dxfId="616" priority="288" operator="greaterThan">
      <formula>0</formula>
    </cfRule>
  </conditionalFormatting>
  <conditionalFormatting sqref="M41">
    <cfRule type="cellIs" dxfId="615" priority="287" operator="greaterThan">
      <formula>0</formula>
    </cfRule>
  </conditionalFormatting>
  <conditionalFormatting sqref="M43:M44">
    <cfRule type="cellIs" dxfId="614" priority="286" operator="greaterThan">
      <formula>0</formula>
    </cfRule>
  </conditionalFormatting>
  <conditionalFormatting sqref="M317:M318">
    <cfRule type="cellIs" dxfId="613" priority="280" operator="greaterThan">
      <formula>0</formula>
    </cfRule>
  </conditionalFormatting>
  <conditionalFormatting sqref="M153 M159 M162:M163 M155:M156">
    <cfRule type="cellIs" dxfId="612" priority="277" operator="greaterThan">
      <formula>0</formula>
    </cfRule>
  </conditionalFormatting>
  <conditionalFormatting sqref="M167">
    <cfRule type="cellIs" dxfId="611" priority="276" operator="greaterThan">
      <formula>0</formula>
    </cfRule>
  </conditionalFormatting>
  <conditionalFormatting sqref="M334:M336">
    <cfRule type="cellIs" dxfId="610" priority="275" operator="greaterThan">
      <formula>0</formula>
    </cfRule>
  </conditionalFormatting>
  <conditionalFormatting sqref="M339:M341">
    <cfRule type="cellIs" dxfId="609" priority="274" operator="greaterThan">
      <formula>0</formula>
    </cfRule>
  </conditionalFormatting>
  <conditionalFormatting sqref="M350">
    <cfRule type="cellIs" dxfId="608" priority="273" operator="greaterThan">
      <formula>0</formula>
    </cfRule>
  </conditionalFormatting>
  <conditionalFormatting sqref="M353">
    <cfRule type="cellIs" dxfId="607" priority="272" operator="greaterThan">
      <formula>0</formula>
    </cfRule>
  </conditionalFormatting>
  <conditionalFormatting sqref="M347">
    <cfRule type="cellIs" dxfId="606" priority="270" operator="greaterThan">
      <formula>0</formula>
    </cfRule>
  </conditionalFormatting>
  <conditionalFormatting sqref="L350">
    <cfRule type="cellIs" dxfId="605" priority="268" operator="greaterThan">
      <formula>0</formula>
    </cfRule>
  </conditionalFormatting>
  <conditionalFormatting sqref="L334:L336">
    <cfRule type="cellIs" dxfId="604" priority="267" operator="greaterThan">
      <formula>0</formula>
    </cfRule>
  </conditionalFormatting>
  <conditionalFormatting sqref="L339:L341">
    <cfRule type="cellIs" dxfId="603" priority="266" operator="greaterThan">
      <formula>0</formula>
    </cfRule>
  </conditionalFormatting>
  <conditionalFormatting sqref="L353">
    <cfRule type="cellIs" dxfId="602" priority="265" operator="greaterThan">
      <formula>0</formula>
    </cfRule>
  </conditionalFormatting>
  <conditionalFormatting sqref="L347">
    <cfRule type="cellIs" dxfId="601" priority="263" operator="greaterThan">
      <formula>0</formula>
    </cfRule>
  </conditionalFormatting>
  <conditionalFormatting sqref="I6">
    <cfRule type="cellIs" dxfId="600" priority="261" operator="between">
      <formula>-ErrorTolerance</formula>
      <formula>ErrorTolerance</formula>
    </cfRule>
  </conditionalFormatting>
  <conditionalFormatting sqref="I7">
    <cfRule type="cellIs" dxfId="599" priority="260" operator="between">
      <formula>-ErrorTolerance</formula>
      <formula>ErrorTolerance</formula>
    </cfRule>
  </conditionalFormatting>
  <conditionalFormatting sqref="L298">
    <cfRule type="cellIs" dxfId="598" priority="253" operator="greaterThan">
      <formula>0</formula>
    </cfRule>
  </conditionalFormatting>
  <conditionalFormatting sqref="M298">
    <cfRule type="cellIs" dxfId="597" priority="252" operator="greaterThan">
      <formula>0</formula>
    </cfRule>
  </conditionalFormatting>
  <conditionalFormatting sqref="M42">
    <cfRule type="cellIs" dxfId="596" priority="251" operator="greaterThan">
      <formula>0</formula>
    </cfRule>
  </conditionalFormatting>
  <conditionalFormatting sqref="M184">
    <cfRule type="cellIs" dxfId="595" priority="250" operator="greaterThan">
      <formula>0</formula>
    </cfRule>
  </conditionalFormatting>
  <conditionalFormatting sqref="H2">
    <cfRule type="expression" dxfId="594" priority="247">
      <formula>Model.Navigation.View=No</formula>
    </cfRule>
  </conditionalFormatting>
  <conditionalFormatting sqref="H2">
    <cfRule type="expression" dxfId="593" priority="246">
      <formula>Model.Navigation.View=No</formula>
    </cfRule>
  </conditionalFormatting>
  <conditionalFormatting sqref="F2">
    <cfRule type="expression" dxfId="592" priority="245">
      <formula>Model.Navigation.View=No</formula>
    </cfRule>
  </conditionalFormatting>
  <conditionalFormatting sqref="F2">
    <cfRule type="expression" dxfId="591" priority="244">
      <formula>Model.Navigation.View=No</formula>
    </cfRule>
  </conditionalFormatting>
  <conditionalFormatting sqref="I2">
    <cfRule type="expression" dxfId="590" priority="243">
      <formula>Model.Navigation.View=No</formula>
    </cfRule>
  </conditionalFormatting>
  <conditionalFormatting sqref="I2">
    <cfRule type="expression" dxfId="589" priority="242">
      <formula>Model.Navigation.View=No</formula>
    </cfRule>
  </conditionalFormatting>
  <conditionalFormatting sqref="M176">
    <cfRule type="cellIs" dxfId="588" priority="241" operator="greaterThan">
      <formula>0</formula>
    </cfRule>
  </conditionalFormatting>
  <conditionalFormatting sqref="M177">
    <cfRule type="cellIs" dxfId="587" priority="240" operator="greaterThan">
      <formula>0</formula>
    </cfRule>
  </conditionalFormatting>
  <conditionalFormatting sqref="L158">
    <cfRule type="cellIs" dxfId="586" priority="239" operator="greaterThan">
      <formula>0</formula>
    </cfRule>
  </conditionalFormatting>
  <conditionalFormatting sqref="M158">
    <cfRule type="cellIs" dxfId="585" priority="238" operator="greaterThan">
      <formula>0</formula>
    </cfRule>
  </conditionalFormatting>
  <conditionalFormatting sqref="L161">
    <cfRule type="cellIs" dxfId="584" priority="237" operator="greaterThan">
      <formula>0</formula>
    </cfRule>
  </conditionalFormatting>
  <conditionalFormatting sqref="M161">
    <cfRule type="cellIs" dxfId="583" priority="236" operator="greaterThan">
      <formula>0</formula>
    </cfRule>
  </conditionalFormatting>
  <conditionalFormatting sqref="L154">
    <cfRule type="cellIs" dxfId="582" priority="235" operator="greaterThan">
      <formula>0</formula>
    </cfRule>
  </conditionalFormatting>
  <conditionalFormatting sqref="M154">
    <cfRule type="cellIs" dxfId="581" priority="234" operator="greaterThan">
      <formula>0</formula>
    </cfRule>
  </conditionalFormatting>
  <conditionalFormatting sqref="L157">
    <cfRule type="cellIs" dxfId="580" priority="233" operator="greaterThan">
      <formula>0</formula>
    </cfRule>
  </conditionalFormatting>
  <conditionalFormatting sqref="M157">
    <cfRule type="cellIs" dxfId="579" priority="232" operator="greaterThan">
      <formula>0</formula>
    </cfRule>
  </conditionalFormatting>
  <conditionalFormatting sqref="L160">
    <cfRule type="cellIs" dxfId="578" priority="231" operator="greaterThan">
      <formula>0</formula>
    </cfRule>
  </conditionalFormatting>
  <conditionalFormatting sqref="M160">
    <cfRule type="cellIs" dxfId="577" priority="230" operator="greaterThan">
      <formula>0</formula>
    </cfRule>
  </conditionalFormatting>
  <conditionalFormatting sqref="M142:M143">
    <cfRule type="cellIs" dxfId="576" priority="229" operator="greaterThan">
      <formula>0</formula>
    </cfRule>
  </conditionalFormatting>
  <conditionalFormatting sqref="L142:L143">
    <cfRule type="cellIs" dxfId="575" priority="228" operator="greaterThan">
      <formula>0</formula>
    </cfRule>
  </conditionalFormatting>
  <conditionalFormatting sqref="R81:V84">
    <cfRule type="expression" dxfId="574" priority="226">
      <formula>R81 = ""</formula>
    </cfRule>
    <cfRule type="expression" dxfId="573" priority="227">
      <formula>R81 = 0</formula>
    </cfRule>
  </conditionalFormatting>
  <conditionalFormatting sqref="R91:V91">
    <cfRule type="expression" dxfId="572" priority="224">
      <formula>R91 = ""</formula>
    </cfRule>
    <cfRule type="expression" dxfId="571" priority="225">
      <formula>R91 = 0</formula>
    </cfRule>
  </conditionalFormatting>
  <conditionalFormatting sqref="L34">
    <cfRule type="cellIs" dxfId="570" priority="223" operator="greaterThan">
      <formula>0</formula>
    </cfRule>
  </conditionalFormatting>
  <conditionalFormatting sqref="L37">
    <cfRule type="cellIs" dxfId="569" priority="222" operator="greaterThan">
      <formula>0</formula>
    </cfRule>
  </conditionalFormatting>
  <conditionalFormatting sqref="G2">
    <cfRule type="expression" dxfId="568" priority="218">
      <formula>Model.Navigation.View=No</formula>
    </cfRule>
  </conditionalFormatting>
  <conditionalFormatting sqref="G2">
    <cfRule type="expression" dxfId="567" priority="217">
      <formula>Model.Navigation.View=No</formula>
    </cfRule>
  </conditionalFormatting>
  <conditionalFormatting sqref="N80">
    <cfRule type="expression" dxfId="566" priority="215">
      <formula>N80 = ""</formula>
    </cfRule>
    <cfRule type="expression" dxfId="565" priority="216">
      <formula>N80 = 0</formula>
    </cfRule>
  </conditionalFormatting>
  <conditionalFormatting sqref="M118:M123">
    <cfRule type="cellIs" dxfId="564" priority="214" operator="greaterThan">
      <formula>0</formula>
    </cfRule>
  </conditionalFormatting>
  <conditionalFormatting sqref="M133">
    <cfRule type="cellIs" dxfId="563" priority="209" operator="greaterThan">
      <formula>0</formula>
    </cfRule>
  </conditionalFormatting>
  <conditionalFormatting sqref="L308">
    <cfRule type="cellIs" dxfId="562" priority="198" operator="greaterThan">
      <formula>0</formula>
    </cfRule>
  </conditionalFormatting>
  <conditionalFormatting sqref="M308">
    <cfRule type="cellIs" dxfId="561" priority="197" operator="greaterThan">
      <formula>0</formula>
    </cfRule>
  </conditionalFormatting>
  <conditionalFormatting sqref="L344">
    <cfRule type="cellIs" dxfId="560" priority="194" operator="greaterThan">
      <formula>0</formula>
    </cfRule>
  </conditionalFormatting>
  <conditionalFormatting sqref="M124:M132">
    <cfRule type="cellIs" dxfId="559" priority="193" operator="greaterThan">
      <formula>0</formula>
    </cfRule>
  </conditionalFormatting>
  <conditionalFormatting sqref="M126">
    <cfRule type="cellIs" dxfId="558" priority="191" operator="greaterThan">
      <formula>0</formula>
    </cfRule>
  </conditionalFormatting>
  <conditionalFormatting sqref="M130">
    <cfRule type="cellIs" dxfId="557" priority="190" operator="greaterThan">
      <formula>0</formula>
    </cfRule>
  </conditionalFormatting>
  <conditionalFormatting sqref="AM117">
    <cfRule type="expression" dxfId="556" priority="189">
      <formula>$L$77 &lt;&gt; 0</formula>
    </cfRule>
  </conditionalFormatting>
  <conditionalFormatting sqref="N125">
    <cfRule type="expression" dxfId="555" priority="177">
      <formula>N125 = ""</formula>
    </cfRule>
    <cfRule type="expression" dxfId="554" priority="178">
      <formula>N125 = 0</formula>
    </cfRule>
  </conditionalFormatting>
  <conditionalFormatting sqref="N124">
    <cfRule type="expression" dxfId="553" priority="179">
      <formula>N124 = ""</formula>
    </cfRule>
    <cfRule type="expression" dxfId="552" priority="180">
      <formula>N124 = 0</formula>
    </cfRule>
  </conditionalFormatting>
  <conditionalFormatting sqref="N123">
    <cfRule type="expression" dxfId="551" priority="175">
      <formula>N123 = ""</formula>
    </cfRule>
    <cfRule type="expression" dxfId="550" priority="176">
      <formula>N123 = 0</formula>
    </cfRule>
  </conditionalFormatting>
  <conditionalFormatting sqref="N122">
    <cfRule type="expression" dxfId="549" priority="173">
      <formula>N122 = ""</formula>
    </cfRule>
    <cfRule type="expression" dxfId="548" priority="174">
      <formula>N122 = 0</formula>
    </cfRule>
  </conditionalFormatting>
  <conditionalFormatting sqref="N120">
    <cfRule type="expression" dxfId="547" priority="171">
      <formula>N120 = ""</formula>
    </cfRule>
    <cfRule type="expression" dxfId="546" priority="172">
      <formula>N120 = 0</formula>
    </cfRule>
  </conditionalFormatting>
  <conditionalFormatting sqref="N129">
    <cfRule type="expression" dxfId="545" priority="169">
      <formula>N129 = ""</formula>
    </cfRule>
    <cfRule type="expression" dxfId="544" priority="170">
      <formula>N129 = 0</formula>
    </cfRule>
  </conditionalFormatting>
  <conditionalFormatting sqref="N130">
    <cfRule type="expression" dxfId="543" priority="167">
      <formula>N130 = ""</formula>
    </cfRule>
    <cfRule type="expression" dxfId="542" priority="168">
      <formula>N130 = 0</formula>
    </cfRule>
  </conditionalFormatting>
  <conditionalFormatting sqref="N132">
    <cfRule type="expression" dxfId="541" priority="165">
      <formula>N132 = ""</formula>
    </cfRule>
    <cfRule type="expression" dxfId="540" priority="166">
      <formula>N132 = 0</formula>
    </cfRule>
  </conditionalFormatting>
  <conditionalFormatting sqref="N131">
    <cfRule type="expression" dxfId="539" priority="163">
      <formula>N131 = ""</formula>
    </cfRule>
    <cfRule type="expression" dxfId="538" priority="164">
      <formula>N131 = 0</formula>
    </cfRule>
  </conditionalFormatting>
  <conditionalFormatting sqref="L118:L132">
    <cfRule type="cellIs" dxfId="537" priority="162" operator="greaterThan">
      <formula>0</formula>
    </cfRule>
  </conditionalFormatting>
  <conditionalFormatting sqref="L310:L312">
    <cfRule type="cellIs" dxfId="536" priority="156" operator="greaterThan">
      <formula>0</formula>
    </cfRule>
  </conditionalFormatting>
  <conditionalFormatting sqref="M310:M312">
    <cfRule type="cellIs" dxfId="535" priority="154" operator="greaterThan">
      <formula>0</formula>
    </cfRule>
  </conditionalFormatting>
  <conditionalFormatting sqref="M344">
    <cfRule type="cellIs" dxfId="534" priority="150" operator="greaterThan">
      <formula>0</formula>
    </cfRule>
  </conditionalFormatting>
  <conditionalFormatting sqref="M28">
    <cfRule type="cellIs" dxfId="533" priority="149" operator="greaterThan">
      <formula>0</formula>
    </cfRule>
  </conditionalFormatting>
  <conditionalFormatting sqref="L133">
    <cfRule type="cellIs" dxfId="532" priority="148" operator="greaterThan">
      <formula>0</formula>
    </cfRule>
  </conditionalFormatting>
  <conditionalFormatting sqref="L187">
    <cfRule type="cellIs" dxfId="531" priority="147" operator="greaterThan">
      <formula>0</formula>
    </cfRule>
  </conditionalFormatting>
  <conditionalFormatting sqref="L305:L307">
    <cfRule type="cellIs" dxfId="530" priority="143" operator="greaterThan">
      <formula>0</formula>
    </cfRule>
  </conditionalFormatting>
  <conditionalFormatting sqref="M305:M307">
    <cfRule type="cellIs" dxfId="529" priority="142" operator="greaterThan">
      <formula>0</formula>
    </cfRule>
  </conditionalFormatting>
  <conditionalFormatting sqref="M187">
    <cfRule type="cellIs" dxfId="528" priority="141" operator="greaterThan">
      <formula>0</formula>
    </cfRule>
  </conditionalFormatting>
  <conditionalFormatting sqref="M271:M294">
    <cfRule type="cellIs" dxfId="527" priority="135" operator="greaterThan">
      <formula>0</formula>
    </cfRule>
  </conditionalFormatting>
  <conditionalFormatting sqref="M244:M267">
    <cfRule type="cellIs" dxfId="526" priority="134" operator="greaterThan">
      <formula>0</formula>
    </cfRule>
  </conditionalFormatting>
  <conditionalFormatting sqref="M217:M240">
    <cfRule type="cellIs" dxfId="525" priority="133" operator="greaterThan">
      <formula>0</formula>
    </cfRule>
  </conditionalFormatting>
  <conditionalFormatting sqref="M190:M213">
    <cfRule type="cellIs" dxfId="524" priority="132" operator="greaterThan">
      <formula>0</formula>
    </cfRule>
  </conditionalFormatting>
  <conditionalFormatting sqref="R187:V187">
    <cfRule type="expression" dxfId="523" priority="404">
      <formula>$N$15 = "Nej"</formula>
    </cfRule>
  </conditionalFormatting>
  <conditionalFormatting sqref="R190:V213 R217:V240 R244:V267 R271:V294">
    <cfRule type="expression" dxfId="522" priority="405">
      <formula>$N$15 = "Ja"</formula>
    </cfRule>
  </conditionalFormatting>
  <conditionalFormatting sqref="L59:L60">
    <cfRule type="cellIs" dxfId="521" priority="130" operator="greaterThan">
      <formula>0</formula>
    </cfRule>
  </conditionalFormatting>
  <conditionalFormatting sqref="AM58">
    <cfRule type="expression" dxfId="520" priority="129">
      <formula>$L$77 &lt;&gt; 0</formula>
    </cfRule>
  </conditionalFormatting>
  <conditionalFormatting sqref="L67:L68">
    <cfRule type="cellIs" dxfId="519" priority="125" operator="greaterThan">
      <formula>0</formula>
    </cfRule>
  </conditionalFormatting>
  <conditionalFormatting sqref="M59">
    <cfRule type="cellIs" dxfId="518" priority="123" operator="greaterThan">
      <formula>0</formula>
    </cfRule>
  </conditionalFormatting>
  <conditionalFormatting sqref="M67:M68">
    <cfRule type="cellIs" dxfId="517" priority="122" operator="greaterThan">
      <formula>0</formula>
    </cfRule>
  </conditionalFormatting>
  <conditionalFormatting sqref="M60">
    <cfRule type="cellIs" dxfId="516" priority="121" operator="greaterThan">
      <formula>0</formula>
    </cfRule>
  </conditionalFormatting>
  <conditionalFormatting sqref="M77:M78">
    <cfRule type="cellIs" dxfId="515" priority="100" operator="greaterThan">
      <formula>0</formula>
    </cfRule>
  </conditionalFormatting>
  <conditionalFormatting sqref="L77:L78">
    <cfRule type="cellIs" dxfId="514" priority="99" operator="greaterThan">
      <formula>0</formula>
    </cfRule>
  </conditionalFormatting>
  <conditionalFormatting sqref="M77">
    <cfRule type="cellIs" dxfId="513" priority="98" operator="greaterThan">
      <formula>0</formula>
    </cfRule>
  </conditionalFormatting>
  <conditionalFormatting sqref="M74">
    <cfRule type="cellIs" dxfId="512" priority="88" operator="greaterThan">
      <formula>0</formula>
    </cfRule>
  </conditionalFormatting>
  <conditionalFormatting sqref="M61">
    <cfRule type="cellIs" dxfId="511" priority="83" operator="greaterThan">
      <formula>0</formula>
    </cfRule>
  </conditionalFormatting>
  <conditionalFormatting sqref="L61">
    <cfRule type="cellIs" dxfId="510" priority="82" operator="greaterThan">
      <formula>0</formula>
    </cfRule>
  </conditionalFormatting>
  <conditionalFormatting sqref="M62:M66">
    <cfRule type="cellIs" dxfId="509" priority="81" operator="greaterThan">
      <formula>0</formula>
    </cfRule>
  </conditionalFormatting>
  <conditionalFormatting sqref="L62:L66">
    <cfRule type="cellIs" dxfId="508" priority="80" operator="greaterThan">
      <formula>0</formula>
    </cfRule>
  </conditionalFormatting>
  <conditionalFormatting sqref="R63:V66">
    <cfRule type="expression" dxfId="507" priority="78">
      <formula>R63 = ""</formula>
    </cfRule>
    <cfRule type="expression" dxfId="506" priority="79">
      <formula>R63 = 0</formula>
    </cfRule>
  </conditionalFormatting>
  <conditionalFormatting sqref="N62">
    <cfRule type="expression" dxfId="505" priority="76">
      <formula>N62 = ""</formula>
    </cfRule>
    <cfRule type="expression" dxfId="504" priority="77">
      <formula>N62 = 0</formula>
    </cfRule>
  </conditionalFormatting>
  <conditionalFormatting sqref="M69:M73">
    <cfRule type="cellIs" dxfId="503" priority="75" operator="greaterThan">
      <formula>0</formula>
    </cfRule>
  </conditionalFormatting>
  <conditionalFormatting sqref="L69:L73">
    <cfRule type="cellIs" dxfId="502" priority="74" operator="greaterThan">
      <formula>0</formula>
    </cfRule>
  </conditionalFormatting>
  <conditionalFormatting sqref="M71">
    <cfRule type="cellIs" dxfId="501" priority="73" operator="greaterThan">
      <formula>0</formula>
    </cfRule>
  </conditionalFormatting>
  <conditionalFormatting sqref="R73:V73">
    <cfRule type="expression" dxfId="500" priority="69">
      <formula>R73 = ""</formula>
    </cfRule>
    <cfRule type="expression" dxfId="499" priority="70">
      <formula>R73 = 0</formula>
    </cfRule>
  </conditionalFormatting>
  <conditionalFormatting sqref="AM99">
    <cfRule type="expression" dxfId="498" priority="61">
      <formula>$L$77 &lt;&gt; 0</formula>
    </cfRule>
  </conditionalFormatting>
  <conditionalFormatting sqref="M100 M102:M107 M110:M115">
    <cfRule type="cellIs" dxfId="497" priority="38" operator="greaterThan">
      <formula>0</formula>
    </cfRule>
  </conditionalFormatting>
  <conditionalFormatting sqref="M100 M102:M105">
    <cfRule type="cellIs" dxfId="496" priority="37" operator="greaterThan">
      <formula>0</formula>
    </cfRule>
  </conditionalFormatting>
  <conditionalFormatting sqref="M115">
    <cfRule type="cellIs" dxfId="495" priority="36" operator="greaterThan">
      <formula>0</formula>
    </cfRule>
  </conditionalFormatting>
  <conditionalFormatting sqref="M106:M107 M110:M114">
    <cfRule type="cellIs" dxfId="494" priority="35" operator="greaterThan">
      <formula>0</formula>
    </cfRule>
  </conditionalFormatting>
  <conditionalFormatting sqref="M112">
    <cfRule type="cellIs" dxfId="493" priority="33" operator="greaterThan">
      <formula>0</formula>
    </cfRule>
  </conditionalFormatting>
  <conditionalFormatting sqref="N107">
    <cfRule type="expression" dxfId="492" priority="29">
      <formula>N107 = ""</formula>
    </cfRule>
    <cfRule type="expression" dxfId="491" priority="30">
      <formula>N107 = 0</formula>
    </cfRule>
  </conditionalFormatting>
  <conditionalFormatting sqref="N106">
    <cfRule type="expression" dxfId="490" priority="31">
      <formula>N106 = ""</formula>
    </cfRule>
    <cfRule type="expression" dxfId="489" priority="32">
      <formula>N106 = 0</formula>
    </cfRule>
  </conditionalFormatting>
  <conditionalFormatting sqref="N105">
    <cfRule type="expression" dxfId="488" priority="27">
      <formula>N105 = ""</formula>
    </cfRule>
    <cfRule type="expression" dxfId="487" priority="28">
      <formula>N105 = 0</formula>
    </cfRule>
  </conditionalFormatting>
  <conditionalFormatting sqref="N104">
    <cfRule type="expression" dxfId="486" priority="25">
      <formula>N104 = ""</formula>
    </cfRule>
    <cfRule type="expression" dxfId="485" priority="26">
      <formula>N104 = 0</formula>
    </cfRule>
  </conditionalFormatting>
  <conditionalFormatting sqref="N102">
    <cfRule type="expression" dxfId="484" priority="23">
      <formula>N102 = ""</formula>
    </cfRule>
    <cfRule type="expression" dxfId="483" priority="24">
      <formula>N102 = 0</formula>
    </cfRule>
  </conditionalFormatting>
  <conditionalFormatting sqref="N111">
    <cfRule type="expression" dxfId="482" priority="21">
      <formula>N111 = ""</formula>
    </cfRule>
    <cfRule type="expression" dxfId="481" priority="22">
      <formula>N111 = 0</formula>
    </cfRule>
  </conditionalFormatting>
  <conditionalFormatting sqref="N112">
    <cfRule type="expression" dxfId="480" priority="19">
      <formula>N112 = ""</formula>
    </cfRule>
    <cfRule type="expression" dxfId="479" priority="20">
      <formula>N112 = 0</formula>
    </cfRule>
  </conditionalFormatting>
  <conditionalFormatting sqref="N114">
    <cfRule type="expression" dxfId="478" priority="17">
      <formula>N114 = ""</formula>
    </cfRule>
    <cfRule type="expression" dxfId="477" priority="18">
      <formula>N114 = 0</formula>
    </cfRule>
  </conditionalFormatting>
  <conditionalFormatting sqref="N113">
    <cfRule type="expression" dxfId="476" priority="15">
      <formula>N113 = ""</formula>
    </cfRule>
    <cfRule type="expression" dxfId="475" priority="16">
      <formula>N113 = 0</formula>
    </cfRule>
  </conditionalFormatting>
  <conditionalFormatting sqref="L100:L114">
    <cfRule type="cellIs" dxfId="474" priority="14" operator="greaterThan">
      <formula>0</formula>
    </cfRule>
  </conditionalFormatting>
  <conditionalFormatting sqref="L115">
    <cfRule type="cellIs" dxfId="473" priority="13" operator="greaterThan">
      <formula>0</formula>
    </cfRule>
  </conditionalFormatting>
  <conditionalFormatting sqref="M101">
    <cfRule type="cellIs" dxfId="472" priority="8" operator="greaterThan">
      <formula>0</formula>
    </cfRule>
  </conditionalFormatting>
  <conditionalFormatting sqref="M108:M109">
    <cfRule type="cellIs" dxfId="471" priority="7" operator="greaterThan">
      <formula>0</formula>
    </cfRule>
  </conditionalFormatting>
  <dataValidations count="3">
    <dataValidation type="list" allowBlank="1" showInputMessage="1" showErrorMessage="1" sqref="N175" xr:uid="{DEB33C9E-A0DA-4F61-A139-0557EA1F09D6}">
      <formula1>List.tarifeffekt</formula1>
    </dataValidation>
    <dataValidation type="list" allowBlank="1" showInputMessage="1" showErrorMessage="1" sqref="N176" xr:uid="{D9539031-7CC0-470A-9835-98A107B3ADED}">
      <formula1>List.HøjLav</formula1>
    </dataValidation>
    <dataValidation type="list" allowBlank="1" showInputMessage="1" showErrorMessage="1" sqref="N177 N15" xr:uid="{70964C5E-F277-4573-A966-2F3203FD29DA}">
      <formula1>List.YesNo</formula1>
    </dataValidation>
  </dataValidations>
  <hyperlinks>
    <hyperlink ref="G2" location="'2.3 Selskabsspecifikke input'!B11" tooltip="Gå til toppen af arket" display="'2.3 Selskabsspecifikke input'!B11" xr:uid="{FA62B170-FD14-40D8-A46E-3862B51EDD65}"/>
    <hyperlink ref="H2" location="'2.3 Selskabsspecifikke input'!B2" tooltip="Gå til selskabsspecifikke input" display="'2.3 Selskabsspecifikke input'!B2" xr:uid="{F0F325DE-8985-4F01-BA6D-D4650156D5E6}"/>
    <hyperlink ref="F2" location="Modeloverblik!B2" tooltip="Gå til modelbeskrivelse" display="Modeloverblik!B2" xr:uid="{544879E5-085A-48C4-BEA8-722ACBAAC838}"/>
    <hyperlink ref="I2" location="'4.1 Fejl- og kontroloversigt'!B2" tooltip="Gå til fejl- og kontrolchecks" display="'4.1 Fejl- og kontroloversigt'!B2" xr:uid="{7873BE19-2B2B-4940-91B8-C873E74B0F0C}"/>
  </hyperlinks>
  <pageMargins left="0.70866141732283472" right="0.70866141732283472" top="0.74803149606299213" bottom="0.74803149606299213" header="0.31496062992125984" footer="0.31496062992125984"/>
  <pageSetup paperSize="9" scale="26"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ignoredErrors>
    <ignoredError sqref="L67"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332" id="{64B6A7DC-518E-4B41-8400-0AEF52E96578}">
            <xm:f>$N$156 = '2.1 Model setup'!$K$42</xm:f>
            <x14:dxf>
              <fill>
                <patternFill patternType="lightUp">
                  <bgColor rgb="FFFFF1CC"/>
                </patternFill>
              </fill>
            </x14:dxf>
          </x14:cfRule>
          <xm:sqref>R156:V156</xm:sqref>
        </x14:conditionalFormatting>
        <x14:conditionalFormatting xmlns:xm="http://schemas.microsoft.com/office/excel/2006/main">
          <x14:cfRule type="expression" priority="331" id="{491DE5E4-3C9A-4CFA-B19F-F3B850D2E790}">
            <xm:f>$N$159 = '2.1 Model setup'!$K$42</xm:f>
            <x14:dxf>
              <fill>
                <patternFill patternType="lightUp">
                  <bgColor rgb="FFFFF1CC"/>
                </patternFill>
              </fill>
            </x14:dxf>
          </x14:cfRule>
          <xm:sqref>R159:V159</xm:sqref>
        </x14:conditionalFormatting>
        <x14:conditionalFormatting xmlns:xm="http://schemas.microsoft.com/office/excel/2006/main">
          <x14:cfRule type="expression" priority="330" id="{ABCDF287-5AC5-48A8-B36D-FDA05437C717}">
            <xm:f>$N$162 = '2.1 Model setup'!$K$42</xm:f>
            <x14:dxf>
              <fill>
                <patternFill patternType="lightUp">
                  <bgColor rgb="FFFFF1CC"/>
                </patternFill>
              </fill>
            </x14:dxf>
          </x14:cfRule>
          <xm:sqref>R162:V162</xm:sqref>
        </x14:conditionalFormatting>
        <x14:conditionalFormatting xmlns:xm="http://schemas.microsoft.com/office/excel/2006/main">
          <x14:cfRule type="expression" priority="221" id="{FEDCDAC3-7A47-400B-A8F1-D2456D8109D6}">
            <xm:f>$N$153 = '2.1 Model setup'!$K$42</xm:f>
            <x14:dxf>
              <fill>
                <patternFill patternType="lightUp">
                  <bgColor rgb="FFFFF1CC"/>
                </patternFill>
              </fill>
            </x14:dxf>
          </x14:cfRule>
          <xm:sqref>R153:V153</xm:sqref>
        </x14:conditionalFormatting>
        <x14:conditionalFormatting xmlns:xm="http://schemas.microsoft.com/office/excel/2006/main">
          <x14:cfRule type="expression" priority="220" id="{9A019EDF-3002-4E5E-8BF6-12D37AF5B7EB}">
            <xm:f>$N$146 = '2.1 Model setup'!$K$98</xm:f>
            <x14:dxf>
              <fill>
                <patternFill patternType="lightUp"/>
              </fill>
            </x14:dxf>
          </x14:cfRule>
          <xm:sqref>R147:V147</xm:sqref>
        </x14:conditionalFormatting>
        <x14:conditionalFormatting xmlns:xm="http://schemas.microsoft.com/office/excel/2006/main">
          <x14:cfRule type="expression" priority="219" id="{08FC9802-8C98-46A7-B969-4BA19BBF38EB}">
            <xm:f>$N$146 = '2.1 Model setup'!$K$99</xm:f>
            <x14:dxf>
              <fill>
                <patternFill patternType="lightUp"/>
              </fill>
            </x14:dxf>
          </x14:cfRule>
          <xm:sqref>N147:P147</xm:sqref>
        </x14:conditionalFormatting>
        <x14:conditionalFormatting xmlns:xm="http://schemas.microsoft.com/office/excel/2006/main">
          <x14:cfRule type="expression" priority="66" id="{BCC9D28D-818C-4A76-9DD7-11A6A18FED08}">
            <xm:f>$N$18='2.1 Model setup'!$K$144</xm:f>
            <x14:dxf>
              <fill>
                <patternFill patternType="lightUp"/>
              </fill>
            </x14:dxf>
          </x14:cfRule>
          <xm:sqref>N59 S59 U59 S100</xm:sqref>
        </x14:conditionalFormatting>
        <x14:conditionalFormatting xmlns:xm="http://schemas.microsoft.com/office/excel/2006/main">
          <x14:cfRule type="expression" priority="65" id="{52075A60-2FED-410F-B948-1B04C99C99B0}">
            <xm:f>$N$19='2.1 Model setup'!$K$144</xm:f>
            <x14:dxf>
              <fill>
                <patternFill patternType="lightUp"/>
              </fill>
            </x14:dxf>
          </x14:cfRule>
          <xm:sqref>N60 R60:V60 R101:T101</xm:sqref>
        </x14:conditionalFormatting>
        <x14:conditionalFormatting xmlns:xm="http://schemas.microsoft.com/office/excel/2006/main">
          <x14:cfRule type="expression" priority="64" id="{50AB9A2F-91D5-4ED3-8EDE-A2BE97B58762}">
            <xm:f>$N$20='2.1 Model setup'!$K$144</xm:f>
            <x14:dxf>
              <fill>
                <patternFill patternType="lightUp"/>
              </fill>
            </x14:dxf>
          </x14:cfRule>
          <xm:sqref>N67 S67 U67 S108</xm:sqref>
        </x14:conditionalFormatting>
        <x14:conditionalFormatting xmlns:xm="http://schemas.microsoft.com/office/excel/2006/main">
          <x14:cfRule type="expression" priority="63" id="{6DA80585-3F56-4425-94E5-902580A50182}">
            <xm:f>$N$21='2.1 Model setup'!$K$144</xm:f>
            <x14:dxf>
              <fill>
                <patternFill patternType="lightUp"/>
              </fill>
            </x14:dxf>
          </x14:cfRule>
          <xm:sqref>N68 R68:V68 R109:T109</xm:sqref>
        </x14:conditionalFormatting>
        <x14:conditionalFormatting xmlns:xm="http://schemas.microsoft.com/office/excel/2006/main">
          <x14:cfRule type="expression" priority="12" id="{D00055EB-CE42-4D35-974C-7541B7141C4C}">
            <xm:f>$N$18='2.1 Model setup'!$K$144</xm:f>
            <x14:dxf>
              <fill>
                <patternFill patternType="lightUp"/>
              </fill>
            </x14:dxf>
          </x14:cfRule>
          <xm:sqref>N100</xm:sqref>
        </x14:conditionalFormatting>
        <x14:conditionalFormatting xmlns:xm="http://schemas.microsoft.com/office/excel/2006/main">
          <x14:cfRule type="expression" priority="11" id="{C166837F-CE30-49BD-BF40-C3B2AC839D37}">
            <xm:f>$N$19='2.1 Model setup'!$K$144</xm:f>
            <x14:dxf>
              <fill>
                <patternFill patternType="lightUp"/>
              </fill>
            </x14:dxf>
          </x14:cfRule>
          <xm:sqref>N101</xm:sqref>
        </x14:conditionalFormatting>
        <x14:conditionalFormatting xmlns:xm="http://schemas.microsoft.com/office/excel/2006/main">
          <x14:cfRule type="expression" priority="10" id="{E573F084-7FE4-41C7-BE20-C6BFE3051F32}">
            <xm:f>$N$20='2.1 Model setup'!$K$144</xm:f>
            <x14:dxf>
              <fill>
                <patternFill patternType="lightUp"/>
              </fill>
            </x14:dxf>
          </x14:cfRule>
          <xm:sqref>N108</xm:sqref>
        </x14:conditionalFormatting>
        <x14:conditionalFormatting xmlns:xm="http://schemas.microsoft.com/office/excel/2006/main">
          <x14:cfRule type="expression" priority="9" id="{ABC685BB-6D15-42A8-8C18-1C1C6210FB8E}">
            <xm:f>$N$21='2.1 Model setup'!$K$144</xm:f>
            <x14:dxf>
              <fill>
                <patternFill patternType="lightUp"/>
              </fill>
            </x14:dxf>
          </x14:cfRule>
          <xm:sqref>N109</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21D0B86-ED64-4434-B3F0-536155212517}">
          <x14:formula1>
            <xm:f>'2.1 Model setup'!$K$41:$K$42</xm:f>
          </x14:formula1>
          <xm:sqref>N159:P159 N156:P156 N153:P153 N162:P162</xm:sqref>
        </x14:dataValidation>
        <x14:dataValidation type="list" allowBlank="1" showInputMessage="1" showErrorMessage="1" xr:uid="{9F1E5A04-4AC1-42E6-BEC1-B8A35F13BF1A}">
          <x14:formula1>
            <xm:f>'2.1 Model setup'!$K$57:$K$58</xm:f>
          </x14:formula1>
          <xm:sqref>N174</xm:sqref>
        </x14:dataValidation>
        <x14:dataValidation type="list" allowBlank="1" showInputMessage="1" showErrorMessage="1" xr:uid="{17E22EBE-FB91-4B35-9D60-7D528B5C8400}">
          <x14:formula1>
            <xm:f>'2.1 Model setup'!$K$98:$K$99</xm:f>
          </x14:formula1>
          <xm:sqref>N146:P146</xm:sqref>
        </x14:dataValidation>
        <x14:dataValidation type="list" allowBlank="1" showInputMessage="1" showErrorMessage="1" xr:uid="{11C20733-D830-4F09-B676-2FE79CD3EA28}">
          <x14:formula1>
            <xm:f>'2.1 Model setup'!$K$144:$K$145</xm:f>
          </x14:formula1>
          <xm:sqref>N18:N21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E92C6-A31F-4984-9D6B-180E70DE9A3B}">
  <sheetPr>
    <tabColor rgb="FF222221"/>
  </sheetPr>
  <dimension ref="A1:O11"/>
  <sheetViews>
    <sheetView showGridLines="0" zoomScale="85" zoomScaleNormal="85" workbookViewId="0"/>
  </sheetViews>
  <sheetFormatPr defaultColWidth="0" defaultRowHeight="12" customHeight="1" zeroHeight="1"/>
  <cols>
    <col min="1" max="2" width="4.1640625" customWidth="1"/>
    <col min="3" max="13" width="9.1640625" customWidth="1"/>
    <col min="14" max="15" width="4.1640625" customWidth="1"/>
    <col min="16" max="16384" width="9.1640625" hidden="1"/>
  </cols>
  <sheetData>
    <row r="1" spans="2:14"/>
    <row r="2" spans="2:14">
      <c r="B2" s="55"/>
      <c r="C2" s="56"/>
      <c r="D2" s="56"/>
      <c r="E2" s="56"/>
      <c r="F2" s="56"/>
      <c r="G2" s="56"/>
      <c r="H2" s="56"/>
      <c r="I2" s="56"/>
      <c r="J2" s="56"/>
      <c r="K2" s="56"/>
      <c r="L2" s="56"/>
      <c r="M2" s="56"/>
      <c r="N2" s="57"/>
    </row>
    <row r="3" spans="2:14"/>
    <row r="4" spans="2:14"/>
    <row r="5" spans="2:14"/>
    <row r="6" spans="2:14" ht="35.25">
      <c r="C6" s="58" t="s">
        <v>237</v>
      </c>
    </row>
    <row r="7" spans="2:14"/>
    <row r="8" spans="2:14"/>
    <row r="9" spans="2:14"/>
    <row r="10" spans="2:14">
      <c r="B10" s="59"/>
      <c r="C10" s="60"/>
      <c r="D10" s="60"/>
      <c r="E10" s="60"/>
      <c r="F10" s="60"/>
      <c r="G10" s="60"/>
      <c r="H10" s="60"/>
      <c r="I10" s="60"/>
      <c r="J10" s="60"/>
      <c r="K10" s="60"/>
      <c r="L10" s="60"/>
      <c r="M10" s="60"/>
      <c r="N10" s="61"/>
    </row>
    <row r="11" spans="2:14"/>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84430-232E-48F5-86B2-EE25E8C63465}">
  <sheetPr codeName="Sheet19">
    <tabColor rgb="FF966432"/>
    <outlinePr summaryBelow="0"/>
    <pageSetUpPr fitToPage="1"/>
  </sheetPr>
  <dimension ref="A1:BV652"/>
  <sheetViews>
    <sheetView showGridLines="0" zoomScale="85" zoomScaleNormal="85" workbookViewId="0">
      <pane xSplit="14" ySplit="10" topLeftCell="O11" activePane="bottomRight" state="frozen"/>
      <selection activeCell="C6" sqref="C6"/>
      <selection pane="topRight" activeCell="C6" sqref="C6"/>
      <selection pane="bottomLeft" activeCell="C6" sqref="C6"/>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16" width="17" style="1" hidden="1" customWidth="1"/>
    <col min="17" max="17" width="18.6640625" style="1" hidden="1" customWidth="1"/>
    <col min="18" max="24" width="18.6640625" style="1" customWidth="1"/>
    <col min="25" max="74" width="16.6640625" style="1" hidden="1" customWidth="1"/>
    <col min="75" max="16384" width="9.1640625" style="1" hidden="1"/>
  </cols>
  <sheetData>
    <row r="1" spans="2:23" ht="4.9000000000000004" customHeight="1"/>
    <row r="2" spans="2:23" ht="19.899999999999999" customHeight="1">
      <c r="B2" s="6" t="str">
        <f ca="1" xml:space="preserve"> MID( CELL("filename", B2), FIND("]", CELL("filename",B2) ) + 1, Model.MaxChars)</f>
        <v>3.1 Opsplitning af forbrug</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2:23"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2:23" ht="15" customHeight="1">
      <c r="F4" s="74" t="s">
        <v>274</v>
      </c>
      <c r="G4" s="2"/>
      <c r="I4" s="25">
        <f xml:space="preserve"> SUM(L:L)</f>
        <v>0</v>
      </c>
    </row>
    <row r="5" spans="2:23" ht="15" customHeight="1">
      <c r="F5" s="74" t="s">
        <v>275</v>
      </c>
      <c r="G5" s="2"/>
      <c r="I5" s="84">
        <f xml:space="preserve"> SUM(M:M)</f>
        <v>0</v>
      </c>
    </row>
    <row r="6" spans="2:23" ht="15" customHeight="1">
      <c r="F6" s="74" t="s">
        <v>276</v>
      </c>
      <c r="G6" s="2"/>
      <c r="I6" s="25">
        <f xml:space="preserve"> SUM( L:L ) + SUM( '1.1 Provenu'!L:L ) + SUM( '1.2 Tarifoversigt'!L:L) + SUM( '1.3 Varslingsanalyse'!L:L) + SUM( '1.4 Hoveddata'!L:L) + SUM('2.1 Model setup'!L:L ) + SUM('2.2 Generelle input'!L:L ) + SUM( '2.3 Selskabsspecifikke input'!L:L) + SUM( '3.2 Abonnement'!L:L) + SUM( '3.3 Forbrugstariffer og effekt'!L:L) + SUM( '3.4 Tidsdifferentieret tarif'!L:L) + SUM('3.5 Indfødningstarif'!L:L)+ SUM( 'Hjælpeark, forbrugsnøgler'!L:L) + SUM( 'Hjælpeark, fall-back-metoden'!L:L )</f>
        <v>0</v>
      </c>
    </row>
    <row r="7" spans="2:23" ht="15" customHeight="1">
      <c r="F7" s="75" t="s">
        <v>236</v>
      </c>
      <c r="G7" s="26"/>
      <c r="H7" s="27"/>
      <c r="I7" s="329">
        <f xml:space="preserve"> '1.3 Varslingsanalyse'!I7</f>
        <v>0</v>
      </c>
    </row>
    <row r="8" spans="2:23" ht="15" customHeight="1">
      <c r="L8" s="484" t="str">
        <f xml:space="preserve"> Header.Labels</f>
        <v>Checks</v>
      </c>
      <c r="M8" s="484"/>
    </row>
    <row r="9" spans="2:23" ht="5.0999999999999996" customHeight="1">
      <c r="E9" s="14"/>
      <c r="F9" s="28"/>
      <c r="G9" s="28"/>
      <c r="H9" s="28"/>
      <c r="I9" s="28"/>
      <c r="J9" s="28"/>
      <c r="L9" s="485"/>
      <c r="M9" s="473"/>
      <c r="N9" s="28"/>
      <c r="O9" s="28"/>
      <c r="P9" s="28"/>
      <c r="Q9" s="28"/>
    </row>
    <row r="10" spans="2:23"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2:23" s="15" customFormat="1" ht="15" customHeight="1">
      <c r="C11" s="16"/>
      <c r="D11" s="17"/>
      <c r="F11" s="1"/>
      <c r="K11" s="19"/>
    </row>
    <row r="12" spans="2:23" s="475" customFormat="1" ht="15" customHeight="1">
      <c r="B12" s="479" t="str">
        <f xml:space="preserve"> COUNTA(B$10:B11) &amp; ") Tariferingsgrundlag og forrentning"</f>
        <v>1) Tariferingsgrundlag og forrentning</v>
      </c>
      <c r="C12" s="477"/>
      <c r="D12" s="478"/>
      <c r="K12" s="472"/>
    </row>
    <row r="14" spans="2:23" ht="15" customHeight="1">
      <c r="D14" s="4" t="s">
        <v>69</v>
      </c>
    </row>
    <row r="15" spans="2:23" ht="15" customHeight="1">
      <c r="D15" s="123" t="s">
        <v>287</v>
      </c>
      <c r="E15" s="15"/>
      <c r="F15" s="15"/>
      <c r="G15" s="15"/>
      <c r="H15" s="15"/>
      <c r="I15" s="15"/>
      <c r="J15" s="15"/>
      <c r="K15" s="19" t="str">
        <f xml:space="preserve"> Model.Units</f>
        <v>DKKt</v>
      </c>
      <c r="L15" s="15"/>
      <c r="M15" s="15"/>
      <c r="N15" s="15">
        <f xml:space="preserve"> '2.3 Selskabsspecifikke input'!N31</f>
        <v>0</v>
      </c>
      <c r="O15" s="274"/>
      <c r="P15" s="274"/>
      <c r="Q15" s="274"/>
      <c r="R15" s="274"/>
      <c r="S15" s="274"/>
      <c r="T15" s="274"/>
      <c r="U15" s="274"/>
      <c r="V15" s="274"/>
      <c r="W15" s="274"/>
    </row>
    <row r="16" spans="2:23" ht="15" customHeight="1">
      <c r="D16" s="124" t="s">
        <v>73</v>
      </c>
      <c r="K16" s="5" t="str">
        <f xml:space="preserve"> Model.Units</f>
        <v>DKKt</v>
      </c>
      <c r="N16" s="1">
        <f xml:space="preserve"> '2.3 Selskabsspecifikke input'!N38</f>
        <v>0</v>
      </c>
      <c r="O16" s="202"/>
      <c r="P16" s="202"/>
      <c r="Q16" s="202"/>
      <c r="R16" s="202"/>
      <c r="S16" s="202"/>
      <c r="T16" s="202"/>
      <c r="U16" s="202"/>
      <c r="V16" s="202"/>
      <c r="W16" s="202"/>
    </row>
    <row r="17" spans="4:23" ht="15" customHeight="1">
      <c r="D17" s="124" t="s">
        <v>75</v>
      </c>
      <c r="K17" s="5" t="str">
        <f xml:space="preserve"> Model.Units</f>
        <v>DKKt</v>
      </c>
      <c r="N17" s="1">
        <f xml:space="preserve"> '2.3 Selskabsspecifikke input'!N45</f>
        <v>0</v>
      </c>
      <c r="O17" s="202"/>
      <c r="P17" s="202"/>
      <c r="Q17" s="202"/>
      <c r="R17" s="202"/>
      <c r="S17" s="202"/>
      <c r="T17" s="202"/>
      <c r="U17" s="202"/>
      <c r="V17" s="202"/>
      <c r="W17" s="202"/>
    </row>
    <row r="18" spans="4:23" ht="15" customHeight="1">
      <c r="D18" s="186" t="s">
        <v>69</v>
      </c>
      <c r="E18" s="33"/>
      <c r="F18" s="33"/>
      <c r="G18" s="33"/>
      <c r="H18" s="33"/>
      <c r="I18" s="33"/>
      <c r="J18" s="33"/>
      <c r="K18" s="34" t="str">
        <f xml:space="preserve"> Model.Units</f>
        <v>DKKt</v>
      </c>
      <c r="L18" s="90">
        <f xml:space="preserve"> -- ( ROUND( N18, 5 ) &lt;&gt; ROUND( '2.3 Selskabsspecifikke input'!N51, 5 ) )</f>
        <v>0</v>
      </c>
      <c r="M18" s="33"/>
      <c r="N18" s="33">
        <f xml:space="preserve"> N15 - N16 - N17</f>
        <v>0</v>
      </c>
      <c r="O18" s="271"/>
      <c r="P18" s="271"/>
      <c r="Q18" s="271"/>
      <c r="R18" s="271"/>
      <c r="S18" s="271"/>
      <c r="T18" s="271"/>
      <c r="U18" s="271"/>
      <c r="V18" s="271"/>
      <c r="W18" s="271"/>
    </row>
    <row r="20" spans="4:23" ht="15" customHeight="1">
      <c r="D20" s="35" t="s">
        <v>70</v>
      </c>
      <c r="E20" s="27"/>
      <c r="F20" s="27"/>
      <c r="G20" s="27"/>
      <c r="H20" s="27"/>
      <c r="I20" s="27"/>
      <c r="J20" s="27"/>
      <c r="K20" s="32"/>
      <c r="L20" s="27"/>
      <c r="M20" s="27"/>
      <c r="N20" s="27"/>
      <c r="O20" s="27"/>
      <c r="P20" s="27"/>
      <c r="Q20" s="27"/>
      <c r="R20" s="27"/>
      <c r="S20" s="27"/>
      <c r="T20" s="27"/>
      <c r="U20" s="27"/>
      <c r="V20" s="27"/>
      <c r="W20" s="27"/>
    </row>
    <row r="21" spans="4:23" ht="15" customHeight="1">
      <c r="D21" s="1" t="s">
        <v>69</v>
      </c>
      <c r="K21" s="5" t="str">
        <f t="shared" ref="K21:K26" si="0" xml:space="preserve"> Model.Units</f>
        <v>DKKt</v>
      </c>
      <c r="N21" s="1">
        <f xml:space="preserve"> N18</f>
        <v>0</v>
      </c>
      <c r="O21" s="202"/>
      <c r="P21" s="202"/>
      <c r="Q21" s="202"/>
      <c r="R21" s="202"/>
      <c r="S21" s="202"/>
      <c r="T21" s="202"/>
      <c r="U21" s="202"/>
      <c r="V21" s="202"/>
      <c r="W21" s="202"/>
    </row>
    <row r="22" spans="4:23" ht="15" customHeight="1">
      <c r="D22" s="50" t="s">
        <v>620</v>
      </c>
      <c r="K22" s="5" t="str">
        <f t="shared" si="0"/>
        <v>DKKt</v>
      </c>
      <c r="N22" s="1">
        <f xml:space="preserve"> '2.3 Selskabsspecifikke input'!N92</f>
        <v>0</v>
      </c>
      <c r="O22" s="202"/>
      <c r="P22" s="202"/>
      <c r="Q22" s="202"/>
      <c r="R22" s="202"/>
      <c r="S22" s="202"/>
      <c r="T22" s="202"/>
      <c r="U22" s="202"/>
      <c r="V22" s="202"/>
      <c r="W22" s="202"/>
    </row>
    <row r="23" spans="4:23" ht="15" customHeight="1">
      <c r="D23" s="50" t="s">
        <v>621</v>
      </c>
      <c r="K23" s="5" t="str">
        <f t="shared" si="0"/>
        <v>DKKt</v>
      </c>
      <c r="N23" s="1">
        <f xml:space="preserve"> '2.3 Selskabsspecifikke input'!N133</f>
        <v>0</v>
      </c>
      <c r="O23" s="202"/>
      <c r="P23" s="202"/>
      <c r="Q23" s="202"/>
      <c r="R23" s="202"/>
      <c r="S23" s="202"/>
      <c r="T23" s="202"/>
      <c r="U23" s="202"/>
      <c r="V23" s="202"/>
      <c r="W23" s="202"/>
    </row>
    <row r="24" spans="4:23" ht="15" customHeight="1">
      <c r="D24" s="186" t="s">
        <v>71</v>
      </c>
      <c r="E24" s="33"/>
      <c r="F24" s="33"/>
      <c r="G24" s="33"/>
      <c r="H24" s="33"/>
      <c r="I24" s="33"/>
      <c r="J24" s="33"/>
      <c r="K24" s="34" t="str">
        <f t="shared" si="0"/>
        <v>DKKt</v>
      </c>
      <c r="L24" s="33"/>
      <c r="M24" s="139">
        <f xml:space="preserve"> -- ( N24 &lt; 0 )</f>
        <v>0</v>
      </c>
      <c r="N24" s="33">
        <f xml:space="preserve"> N21 - N22 - N23</f>
        <v>0</v>
      </c>
      <c r="O24" s="271"/>
      <c r="P24" s="271"/>
      <c r="Q24" s="271"/>
      <c r="R24" s="271"/>
      <c r="S24" s="271"/>
      <c r="T24" s="271"/>
      <c r="U24" s="271"/>
      <c r="V24" s="271"/>
      <c r="W24" s="271"/>
    </row>
    <row r="25" spans="4:23" ht="15" customHeight="1">
      <c r="D25" s="50" t="s">
        <v>459</v>
      </c>
      <c r="K25" s="5" t="str">
        <f t="shared" si="0"/>
        <v>DKKt</v>
      </c>
      <c r="N25" s="1">
        <f xml:space="preserve"> '2.3 Selskabsspecifikke input'!N42</f>
        <v>0</v>
      </c>
      <c r="O25" s="202"/>
      <c r="P25" s="202"/>
      <c r="Q25" s="202"/>
      <c r="R25" s="202"/>
      <c r="S25" s="202"/>
      <c r="T25" s="202"/>
      <c r="U25" s="202"/>
      <c r="V25" s="202"/>
      <c r="W25" s="202"/>
    </row>
    <row r="26" spans="4:23" ht="15" customHeight="1">
      <c r="D26" s="189" t="s">
        <v>72</v>
      </c>
      <c r="E26" s="33"/>
      <c r="F26" s="33"/>
      <c r="G26" s="33"/>
      <c r="H26" s="33"/>
      <c r="I26" s="33"/>
      <c r="J26" s="33"/>
      <c r="K26" s="34" t="str">
        <f t="shared" si="0"/>
        <v>DKKt</v>
      </c>
      <c r="L26" s="33"/>
      <c r="M26" s="139">
        <f xml:space="preserve"> -- ( N26 &lt; 0 )</f>
        <v>0</v>
      </c>
      <c r="N26" s="33">
        <f xml:space="preserve"> N24 + N25</f>
        <v>0</v>
      </c>
      <c r="O26" s="271"/>
      <c r="P26" s="271"/>
      <c r="Q26" s="271"/>
      <c r="R26" s="271"/>
      <c r="S26" s="271"/>
      <c r="T26" s="271"/>
      <c r="U26" s="271"/>
      <c r="V26" s="271"/>
      <c r="W26" s="271"/>
    </row>
    <row r="28" spans="4:23" ht="15" customHeight="1">
      <c r="D28" s="4" t="s">
        <v>194</v>
      </c>
      <c r="W28" s="89" t="s">
        <v>16</v>
      </c>
    </row>
    <row r="29" spans="4:23" ht="15" customHeight="1">
      <c r="D29" s="123" t="s">
        <v>195</v>
      </c>
      <c r="E29" s="15"/>
      <c r="F29" s="15"/>
      <c r="G29" s="15"/>
      <c r="H29" s="15"/>
      <c r="I29" s="15"/>
      <c r="J29" s="15"/>
      <c r="K29" s="190" t="s">
        <v>134</v>
      </c>
      <c r="L29" s="15"/>
      <c r="M29" s="15"/>
      <c r="N29" s="15"/>
      <c r="O29" s="274"/>
      <c r="P29" s="274"/>
      <c r="Q29" s="274"/>
      <c r="R29" s="150">
        <f xml:space="preserve"> '2.2 Generelle input'!R15</f>
        <v>65</v>
      </c>
      <c r="S29" s="150">
        <f xml:space="preserve"> '2.2 Generelle input'!S15</f>
        <v>65</v>
      </c>
      <c r="T29" s="150">
        <f xml:space="preserve"> '2.2 Generelle input'!T15</f>
        <v>65</v>
      </c>
      <c r="U29" s="150">
        <f xml:space="preserve"> '2.2 Generelle input'!U15</f>
        <v>65</v>
      </c>
      <c r="V29" s="150">
        <f xml:space="preserve"> '2.2 Generelle input'!V15</f>
        <v>65</v>
      </c>
      <c r="W29" s="292"/>
    </row>
    <row r="30" spans="4:23" ht="15" customHeight="1">
      <c r="D30" s="85" t="s">
        <v>119</v>
      </c>
      <c r="K30" s="191" t="s">
        <v>3</v>
      </c>
      <c r="O30" s="202"/>
      <c r="P30" s="202"/>
      <c r="Q30" s="202"/>
      <c r="R30" s="121">
        <f xml:space="preserve"> '2.3 Selskabsspecifikke input'!R317</f>
        <v>0</v>
      </c>
      <c r="S30" s="121">
        <f xml:space="preserve"> '2.3 Selskabsspecifikke input'!S317</f>
        <v>0</v>
      </c>
      <c r="T30" s="121">
        <f xml:space="preserve"> '2.3 Selskabsspecifikke input'!T317</f>
        <v>0</v>
      </c>
      <c r="U30" s="121">
        <f xml:space="preserve"> '2.3 Selskabsspecifikke input'!U317</f>
        <v>0</v>
      </c>
      <c r="V30" s="121">
        <f xml:space="preserve"> '2.3 Selskabsspecifikke input'!V317</f>
        <v>0</v>
      </c>
      <c r="W30" s="111">
        <f xml:space="preserve"> SUM( R30:V30 )</f>
        <v>0</v>
      </c>
    </row>
    <row r="31" spans="4:23" ht="15" customHeight="1">
      <c r="D31" s="105" t="s">
        <v>307</v>
      </c>
      <c r="E31" s="186"/>
      <c r="F31" s="186"/>
      <c r="G31" s="186"/>
      <c r="H31" s="186"/>
      <c r="I31" s="186"/>
      <c r="J31" s="186"/>
      <c r="K31" s="192" t="str">
        <f xml:space="preserve"> Model.Units</f>
        <v>DKKt</v>
      </c>
      <c r="L31" s="186"/>
      <c r="M31" s="186"/>
      <c r="N31" s="186"/>
      <c r="O31" s="388"/>
      <c r="P31" s="388"/>
      <c r="Q31" s="388"/>
      <c r="R31" s="95">
        <f xml:space="preserve"> R29 * R30 / tDKKtilDKK</f>
        <v>0</v>
      </c>
      <c r="S31" s="95">
        <f xml:space="preserve"> S29 * S30 / tDKKtilDKK</f>
        <v>0</v>
      </c>
      <c r="T31" s="95">
        <f xml:space="preserve"> T29 * T30 / tDKKtilDKK</f>
        <v>0</v>
      </c>
      <c r="U31" s="95">
        <f xml:space="preserve"> U29 * U30 / tDKKtilDKK</f>
        <v>0</v>
      </c>
      <c r="V31" s="95">
        <f xml:space="preserve"> V29 * V30 / tDKKtilDKK</f>
        <v>0</v>
      </c>
      <c r="W31" s="95">
        <f xml:space="preserve"> SUM( R31:V31 )</f>
        <v>0</v>
      </c>
    </row>
    <row r="35" spans="2:23" s="475" customFormat="1" ht="15" customHeight="1">
      <c r="B35" s="479" t="str">
        <f xml:space="preserve"> COUNTA(B$10:B27) &amp; ") Fordelingsnøgler"</f>
        <v>2) Fordelingsnøgler</v>
      </c>
      <c r="C35" s="477"/>
      <c r="D35" s="478"/>
      <c r="K35" s="472"/>
    </row>
    <row r="36" spans="2:23" ht="15" customHeight="1">
      <c r="B36" s="2"/>
    </row>
    <row r="37" spans="2:23" ht="15" customHeight="1">
      <c r="B37" s="2"/>
      <c r="D37" s="97" t="s">
        <v>339</v>
      </c>
      <c r="E37" s="27"/>
      <c r="K37" s="98"/>
      <c r="W37" s="89" t="s">
        <v>16</v>
      </c>
    </row>
    <row r="38" spans="2:23" ht="15" customHeight="1">
      <c r="B38" s="2"/>
      <c r="D38" s="85" t="s">
        <v>65</v>
      </c>
      <c r="F38" s="15"/>
      <c r="G38" s="15"/>
      <c r="H38" s="15"/>
      <c r="I38" s="15"/>
      <c r="J38" s="15"/>
      <c r="K38" s="87" t="s">
        <v>3</v>
      </c>
      <c r="L38" s="15"/>
      <c r="M38" s="15"/>
      <c r="N38" s="15"/>
      <c r="O38" s="274"/>
      <c r="P38" s="274"/>
      <c r="Q38" s="274"/>
      <c r="R38" s="15">
        <f xml:space="preserve"> '2.3 Selskabsspecifikke input'!Q140 + '2.3 Selskabsspecifikke input'!R140</f>
        <v>0</v>
      </c>
      <c r="S38" s="15">
        <f xml:space="preserve"> '2.3 Selskabsspecifikke input'!S140</f>
        <v>0</v>
      </c>
      <c r="T38" s="15">
        <f xml:space="preserve"> '2.3 Selskabsspecifikke input'!T140</f>
        <v>0</v>
      </c>
      <c r="U38" s="15">
        <f xml:space="preserve"> '2.3 Selskabsspecifikke input'!U140</f>
        <v>0</v>
      </c>
      <c r="V38" s="15">
        <f xml:space="preserve"> '2.3 Selskabsspecifikke input'!V140</f>
        <v>0</v>
      </c>
      <c r="W38" s="18">
        <f t="shared" ref="W38:W49" si="1" xml:space="preserve"> SUM( R38:V38 )</f>
        <v>0</v>
      </c>
    </row>
    <row r="39" spans="2:23" ht="7.5" customHeight="1">
      <c r="B39" s="2"/>
      <c r="D39" s="85"/>
      <c r="K39" s="87"/>
      <c r="W39" s="4"/>
    </row>
    <row r="40" spans="2:23" ht="15" customHeight="1">
      <c r="B40" s="2"/>
      <c r="D40" s="85" t="s">
        <v>23</v>
      </c>
      <c r="K40" s="87" t="str">
        <f xml:space="preserve"> Model.Units</f>
        <v>DKKt</v>
      </c>
      <c r="O40" s="202"/>
      <c r="P40" s="202"/>
      <c r="Q40" s="202"/>
      <c r="R40" s="231">
        <f xml:space="preserve"> '2.3 Selskabsspecifikke input'!R142</f>
        <v>0</v>
      </c>
      <c r="S40" s="231">
        <f xml:space="preserve"> '2.3 Selskabsspecifikke input'!S142</f>
        <v>0</v>
      </c>
      <c r="T40" s="231">
        <f xml:space="preserve"> '2.3 Selskabsspecifikke input'!T142</f>
        <v>0</v>
      </c>
      <c r="U40" s="231">
        <f xml:space="preserve"> '2.3 Selskabsspecifikke input'!U142</f>
        <v>0</v>
      </c>
      <c r="V40" s="231">
        <f xml:space="preserve"> '2.3 Selskabsspecifikke input'!V142</f>
        <v>0</v>
      </c>
      <c r="W40" s="4">
        <f t="shared" si="1"/>
        <v>0</v>
      </c>
    </row>
    <row r="41" spans="2:23" ht="7.5" customHeight="1">
      <c r="B41" s="2"/>
      <c r="D41" s="85"/>
      <c r="K41" s="87"/>
      <c r="R41" s="231"/>
      <c r="S41" s="231"/>
      <c r="T41" s="231"/>
      <c r="U41" s="231"/>
      <c r="V41" s="231"/>
      <c r="W41" s="4"/>
    </row>
    <row r="42" spans="2:23" ht="15" customHeight="1">
      <c r="B42" s="2"/>
      <c r="D42" s="85" t="s">
        <v>516</v>
      </c>
      <c r="K42" s="87" t="str">
        <f xml:space="preserve"> Model.Units</f>
        <v>DKKt</v>
      </c>
      <c r="O42" s="202"/>
      <c r="P42" s="202"/>
      <c r="Q42" s="202"/>
      <c r="R42" s="1">
        <f xml:space="preserve"> '2.3 Selskabsspecifikke input'!R144</f>
        <v>0</v>
      </c>
      <c r="S42" s="231">
        <f xml:space="preserve"> '2.3 Selskabsspecifikke input'!S144</f>
        <v>0</v>
      </c>
      <c r="T42" s="231">
        <f xml:space="preserve"> '2.3 Selskabsspecifikke input'!T144</f>
        <v>0</v>
      </c>
      <c r="U42" s="231">
        <f xml:space="preserve"> '2.3 Selskabsspecifikke input'!U144</f>
        <v>0</v>
      </c>
      <c r="V42" s="231">
        <f xml:space="preserve"> '2.3 Selskabsspecifikke input'!V144</f>
        <v>0</v>
      </c>
      <c r="W42" s="4">
        <f t="shared" si="1"/>
        <v>0</v>
      </c>
    </row>
    <row r="43" spans="2:23" ht="7.5" customHeight="1">
      <c r="B43" s="2"/>
      <c r="D43" s="85"/>
      <c r="K43" s="87"/>
      <c r="R43" s="231"/>
      <c r="S43" s="231"/>
      <c r="T43" s="231"/>
      <c r="U43" s="231"/>
      <c r="V43" s="231"/>
      <c r="W43" s="4"/>
    </row>
    <row r="44" spans="2:23" ht="15" customHeight="1">
      <c r="B44" s="2"/>
      <c r="D44" s="85" t="s">
        <v>472</v>
      </c>
      <c r="K44" s="87" t="s">
        <v>41</v>
      </c>
      <c r="N44" s="14" t="str">
        <f xml:space="preserve"> '2.3 Selskabsspecifikke input'!N146</f>
        <v>Kundekat.</v>
      </c>
      <c r="O44" s="389"/>
      <c r="P44" s="389"/>
      <c r="Q44" s="389"/>
      <c r="R44" s="202"/>
      <c r="S44" s="202"/>
      <c r="T44" s="202"/>
      <c r="U44" s="202"/>
      <c r="V44" s="202"/>
      <c r="W44" s="344"/>
    </row>
    <row r="45" spans="2:23" ht="15" customHeight="1">
      <c r="B45" s="2"/>
      <c r="D45" s="85" t="s">
        <v>21</v>
      </c>
      <c r="K45" s="87" t="str">
        <f xml:space="preserve"> Model.Units</f>
        <v>DKKt</v>
      </c>
      <c r="N45" s="20">
        <f xml:space="preserve"> '2.3 Selskabsspecifikke input'!N147</f>
        <v>0</v>
      </c>
      <c r="O45" s="390"/>
      <c r="P45" s="390"/>
      <c r="Q45" s="390"/>
      <c r="R45" s="231">
        <f xml:space="preserve"> '2.3 Selskabsspecifikke input'!R147</f>
        <v>0</v>
      </c>
      <c r="S45" s="231">
        <f xml:space="preserve"> '2.3 Selskabsspecifikke input'!S147</f>
        <v>0</v>
      </c>
      <c r="T45" s="231">
        <f xml:space="preserve"> '2.3 Selskabsspecifikke input'!T147</f>
        <v>0</v>
      </c>
      <c r="U45" s="231">
        <f xml:space="preserve"> '2.3 Selskabsspecifikke input'!U147</f>
        <v>0</v>
      </c>
      <c r="V45" s="231">
        <f xml:space="preserve"> '2.3 Selskabsspecifikke input'!V147</f>
        <v>0</v>
      </c>
      <c r="W45" s="4">
        <f xml:space="preserve"> SUM( N45:V45 )</f>
        <v>0</v>
      </c>
    </row>
    <row r="46" spans="2:23" ht="7.5" customHeight="1">
      <c r="B46" s="2"/>
      <c r="D46" s="85"/>
      <c r="K46" s="87"/>
      <c r="N46" s="20"/>
      <c r="O46" s="20"/>
      <c r="P46" s="20"/>
      <c r="Q46" s="20"/>
      <c r="R46" s="231"/>
      <c r="S46" s="231"/>
      <c r="T46" s="231"/>
      <c r="U46" s="231"/>
      <c r="V46" s="231"/>
      <c r="W46" s="4"/>
    </row>
    <row r="47" spans="2:23" ht="15" customHeight="1">
      <c r="B47" s="2"/>
      <c r="D47" s="85" t="s">
        <v>123</v>
      </c>
      <c r="K47" s="87" t="str">
        <f>Model.Units2</f>
        <v>kWh</v>
      </c>
      <c r="O47" s="202"/>
      <c r="P47" s="202"/>
      <c r="Q47" s="202"/>
      <c r="R47" s="1">
        <f xml:space="preserve"> '2.3 Selskabsspecifikke input'!R184</f>
        <v>0</v>
      </c>
      <c r="S47" s="1">
        <f xml:space="preserve"> '2.3 Selskabsspecifikke input'!S184</f>
        <v>0</v>
      </c>
      <c r="T47" s="1">
        <f xml:space="preserve"> '2.3 Selskabsspecifikke input'!T184</f>
        <v>0</v>
      </c>
      <c r="U47" s="1">
        <f xml:space="preserve"> '2.3 Selskabsspecifikke input'!U184</f>
        <v>0</v>
      </c>
      <c r="V47" s="1">
        <f xml:space="preserve"> '2.3 Selskabsspecifikke input'!V184</f>
        <v>0</v>
      </c>
      <c r="W47" s="4">
        <f t="shared" si="1"/>
        <v>0</v>
      </c>
    </row>
    <row r="48" spans="2:23" ht="15" customHeight="1">
      <c r="B48" s="2"/>
      <c r="D48" s="99" t="s">
        <v>508</v>
      </c>
      <c r="E48" s="27"/>
      <c r="F48" s="27"/>
      <c r="G48" s="27"/>
      <c r="H48" s="27"/>
      <c r="I48" s="27"/>
      <c r="J48" s="27"/>
      <c r="K48" s="98" t="str">
        <f>Model.Units2</f>
        <v>kWh</v>
      </c>
      <c r="L48" s="27"/>
      <c r="M48" s="27"/>
      <c r="N48" s="27"/>
      <c r="O48" s="269"/>
      <c r="P48" s="269"/>
      <c r="Q48" s="269"/>
      <c r="R48" s="27">
        <f xml:space="preserve"> '2.3 Selskabsspecifikke input'!R149</f>
        <v>0</v>
      </c>
      <c r="S48" s="27">
        <f xml:space="preserve"> '2.3 Selskabsspecifikke input'!S149</f>
        <v>0</v>
      </c>
      <c r="T48" s="27">
        <f xml:space="preserve"> '2.3 Selskabsspecifikke input'!T149</f>
        <v>0</v>
      </c>
      <c r="U48" s="27">
        <f xml:space="preserve"> '2.3 Selskabsspecifikke input'!U149</f>
        <v>0</v>
      </c>
      <c r="V48" s="27">
        <f xml:space="preserve"> '2.3 Selskabsspecifikke input'!V149</f>
        <v>0</v>
      </c>
      <c r="W48" s="35">
        <f t="shared" si="1"/>
        <v>0</v>
      </c>
    </row>
    <row r="49" spans="2:23" ht="15" customHeight="1">
      <c r="B49" s="2"/>
      <c r="D49" s="105" t="s">
        <v>487</v>
      </c>
      <c r="E49" s="186"/>
      <c r="F49" s="186"/>
      <c r="G49" s="186"/>
      <c r="H49" s="186"/>
      <c r="I49" s="186"/>
      <c r="J49" s="186"/>
      <c r="K49" s="106" t="str">
        <f>Model.Units2</f>
        <v>kWh</v>
      </c>
      <c r="L49" s="186"/>
      <c r="M49" s="186"/>
      <c r="N49" s="186"/>
      <c r="O49" s="388"/>
      <c r="P49" s="388"/>
      <c r="Q49" s="388"/>
      <c r="R49" s="186">
        <f xml:space="preserve"> R47 + R48</f>
        <v>0</v>
      </c>
      <c r="S49" s="186">
        <f xml:space="preserve"> S47 + S48</f>
        <v>0</v>
      </c>
      <c r="T49" s="186">
        <f xml:space="preserve"> T47 + T48</f>
        <v>0</v>
      </c>
      <c r="U49" s="186">
        <f xml:space="preserve"> U47 + U48</f>
        <v>0</v>
      </c>
      <c r="V49" s="186">
        <f xml:space="preserve"> V47 + V48</f>
        <v>0</v>
      </c>
      <c r="W49" s="186">
        <f t="shared" si="1"/>
        <v>0</v>
      </c>
    </row>
    <row r="50" spans="2:23" ht="15" customHeight="1">
      <c r="B50" s="2"/>
    </row>
    <row r="51" spans="2:23" ht="15" customHeight="1">
      <c r="B51" s="2"/>
      <c r="D51" s="88" t="s">
        <v>338</v>
      </c>
      <c r="E51" s="27"/>
      <c r="K51" s="98"/>
      <c r="N51" s="14" t="s">
        <v>559</v>
      </c>
      <c r="O51" s="14"/>
      <c r="P51" s="14"/>
      <c r="Q51" s="14"/>
      <c r="W51" s="89"/>
    </row>
    <row r="52" spans="2:23" ht="15" customHeight="1">
      <c r="B52" s="2"/>
      <c r="D52" s="123" t="s">
        <v>17</v>
      </c>
      <c r="F52" s="15"/>
      <c r="G52" s="15"/>
      <c r="H52" s="15"/>
      <c r="I52" s="15"/>
      <c r="J52" s="15"/>
      <c r="K52" s="117" t="s">
        <v>18</v>
      </c>
      <c r="L52" s="15"/>
      <c r="M52" s="15"/>
      <c r="N52" s="343" t="str">
        <f xml:space="preserve"> '2.3 Selskabsspecifikke input'!N153</f>
        <v>Nej</v>
      </c>
      <c r="O52" s="391"/>
      <c r="P52" s="391"/>
      <c r="Q52" s="391"/>
      <c r="R52" s="15">
        <f xml:space="preserve"> IF( $N52 = '2.1 Model setup'!$K$42, '2.2 Generelle input'!R45, '2.3 Selskabsspecifikke input'!R153 )</f>
        <v>15</v>
      </c>
      <c r="S52" s="15">
        <f xml:space="preserve"> IF( $N52 = '2.1 Model setup'!$K$42, '2.2 Generelle input'!S45, '2.3 Selskabsspecifikke input'!S153 )</f>
        <v>15</v>
      </c>
      <c r="T52" s="15">
        <f xml:space="preserve"> IF( $N52 = '2.1 Model setup'!$K$42, '2.2 Generelle input'!T45, '2.3 Selskabsspecifikke input'!T153 )</f>
        <v>15</v>
      </c>
      <c r="U52" s="15">
        <f xml:space="preserve"> IF( $N52 = '2.1 Model setup'!$K$42, '2.2 Generelle input'!U45, '2.3 Selskabsspecifikke input'!U153 )</f>
        <v>15</v>
      </c>
      <c r="V52" s="15">
        <f xml:space="preserve"> IF( $N52 = '2.1 Model setup'!$K$42, '2.2 Generelle input'!V45, '2.3 Selskabsspecifikke input'!V153 )</f>
        <v>15</v>
      </c>
      <c r="W52" s="15"/>
    </row>
    <row r="53" spans="2:23" ht="7.5" customHeight="1">
      <c r="B53" s="2"/>
      <c r="D53" s="85"/>
      <c r="K53" s="87"/>
      <c r="N53" s="14"/>
      <c r="O53" s="14"/>
      <c r="P53" s="14"/>
      <c r="Q53" s="14"/>
    </row>
    <row r="54" spans="2:23" ht="15" customHeight="1">
      <c r="B54" s="2"/>
      <c r="D54" s="85" t="s">
        <v>10</v>
      </c>
      <c r="K54" s="87" t="s">
        <v>134</v>
      </c>
      <c r="N54" s="14" t="str">
        <f xml:space="preserve"> '2.3 Selskabsspecifikke input'!N156</f>
        <v>Nej</v>
      </c>
      <c r="O54" s="389"/>
      <c r="P54" s="389"/>
      <c r="Q54" s="389"/>
      <c r="R54" s="1">
        <f xml:space="preserve"> IF( $N54 = '2.1 Model setup'!$K$42, '2.2 Generelle input'!R46, '2.3 Selskabsspecifikke input'!R156 )</f>
        <v>14896</v>
      </c>
      <c r="S54" s="1">
        <f xml:space="preserve"> IF( $N54 = '2.1 Model setup'!$K$42, '2.2 Generelle input'!S46, '2.3 Selskabsspecifikke input'!S156 )</f>
        <v>13435</v>
      </c>
      <c r="T54" s="1">
        <f xml:space="preserve"> IF( $N54 = '2.1 Model setup'!$K$42, '2.2 Generelle input'!T46, '2.3 Selskabsspecifikke input'!T156 )</f>
        <v>13435</v>
      </c>
      <c r="U54" s="1">
        <f xml:space="preserve"> IF( $N54 = '2.1 Model setup'!$K$42, '2.2 Generelle input'!U46, '2.3 Selskabsspecifikke input'!U156 )</f>
        <v>1500</v>
      </c>
      <c r="V54" s="1">
        <f xml:space="preserve"> IF( $N54 = '2.1 Model setup'!$K$42, '2.2 Generelle input'!V46, '2.3 Selskabsspecifikke input'!V156 )</f>
        <v>1500</v>
      </c>
    </row>
    <row r="55" spans="2:23" ht="15" customHeight="1">
      <c r="B55" s="2"/>
      <c r="D55" s="85" t="s">
        <v>20</v>
      </c>
      <c r="K55" s="87" t="s">
        <v>134</v>
      </c>
      <c r="N55" s="14" t="str">
        <f xml:space="preserve"> '2.3 Selskabsspecifikke input'!N159</f>
        <v>Nej</v>
      </c>
      <c r="O55" s="389"/>
      <c r="P55" s="389"/>
      <c r="Q55" s="389"/>
      <c r="R55" s="1">
        <f xml:space="preserve"> IF( $N55 = '2.1 Model setup'!$K$42, '2.2 Generelle input'!R47, '2.3 Selskabsspecifikke input'!R159 )</f>
        <v>1168</v>
      </c>
      <c r="S55" s="1">
        <f xml:space="preserve"> IF( $N55 = '2.1 Model setup'!$K$42, '2.2 Generelle input'!S47, '2.3 Selskabsspecifikke input'!S159 )</f>
        <v>1168</v>
      </c>
      <c r="T55" s="1">
        <f xml:space="preserve"> IF( $N55 = '2.1 Model setup'!$K$42, '2.2 Generelle input'!T47, '2.3 Selskabsspecifikke input'!T159 )</f>
        <v>1168</v>
      </c>
      <c r="U55" s="1">
        <f xml:space="preserve"> IF( $N55 = '2.1 Model setup'!$K$42, '2.2 Generelle input'!U47, '2.3 Selskabsspecifikke input'!U159 )</f>
        <v>74</v>
      </c>
      <c r="V55" s="1">
        <f xml:space="preserve"> IF( $N55 = '2.1 Model setup'!$K$42, '2.2 Generelle input'!V47, '2.3 Selskabsspecifikke input'!V159 )</f>
        <v>74</v>
      </c>
    </row>
    <row r="56" spans="2:23" ht="15" customHeight="1">
      <c r="B56" s="2"/>
      <c r="D56" s="99" t="s">
        <v>19</v>
      </c>
      <c r="E56" s="27"/>
      <c r="F56" s="27"/>
      <c r="G56" s="27"/>
      <c r="H56" s="27"/>
      <c r="I56" s="27"/>
      <c r="J56" s="27"/>
      <c r="K56" s="98" t="s">
        <v>134</v>
      </c>
      <c r="L56" s="27"/>
      <c r="M56" s="27"/>
      <c r="N56" s="577" t="str">
        <f xml:space="preserve"> '2.3 Selskabsspecifikke input'!N162</f>
        <v>Nej</v>
      </c>
      <c r="O56" s="392"/>
      <c r="P56" s="392"/>
      <c r="Q56" s="392"/>
      <c r="R56" s="27">
        <f xml:space="preserve"> IF( $N56 = '2.1 Model setup'!$K$42, '2.2 Generelle input'!R48, '2.3 Selskabsspecifikke input'!R162 )</f>
        <v>570</v>
      </c>
      <c r="S56" s="27">
        <f xml:space="preserve"> IF( $N56 = '2.1 Model setup'!$K$42, '2.2 Generelle input'!S48, '2.3 Selskabsspecifikke input'!S162 )</f>
        <v>570</v>
      </c>
      <c r="T56" s="27">
        <f xml:space="preserve"> IF( $N56 = '2.1 Model setup'!$K$42, '2.2 Generelle input'!T48, '2.3 Selskabsspecifikke input'!T162 )</f>
        <v>570</v>
      </c>
      <c r="U56" s="27">
        <f xml:space="preserve"> IF( $N56 = '2.1 Model setup'!$K$42, '2.2 Generelle input'!U48, '2.3 Selskabsspecifikke input'!U162 )</f>
        <v>26</v>
      </c>
      <c r="V56" s="27">
        <f xml:space="preserve"> IF( $N56 = '2.1 Model setup'!$K$42, '2.2 Generelle input'!V48, '2.3 Selskabsspecifikke input'!V162 )</f>
        <v>26</v>
      </c>
      <c r="W56" s="27"/>
    </row>
    <row r="57" spans="2:23" ht="15" customHeight="1">
      <c r="B57" s="2"/>
    </row>
    <row r="58" spans="2:23" ht="15" customHeight="1">
      <c r="B58" s="2"/>
      <c r="D58" s="35" t="s">
        <v>226</v>
      </c>
      <c r="E58" s="27"/>
      <c r="F58" s="27"/>
      <c r="G58" s="27"/>
      <c r="H58" s="27"/>
      <c r="I58" s="27"/>
      <c r="J58" s="27"/>
      <c r="K58" s="32"/>
      <c r="L58" s="27"/>
      <c r="M58" s="27"/>
      <c r="N58" s="27"/>
      <c r="O58" s="27"/>
      <c r="P58" s="27"/>
      <c r="Q58" s="27"/>
      <c r="R58" s="27"/>
      <c r="S58" s="27"/>
      <c r="T58" s="27"/>
      <c r="U58" s="27"/>
      <c r="V58" s="27"/>
      <c r="W58" s="89" t="s">
        <v>16</v>
      </c>
    </row>
    <row r="59" spans="2:23" ht="15" customHeight="1">
      <c r="B59" s="2"/>
      <c r="D59" s="1" t="s">
        <v>481</v>
      </c>
      <c r="K59" s="5" t="str">
        <f xml:space="preserve"> Model.Units</f>
        <v>DKKt</v>
      </c>
      <c r="O59" s="202"/>
      <c r="P59" s="202"/>
      <c r="Q59" s="202"/>
      <c r="R59" s="1">
        <f t="shared" ref="R59:V61" si="2" xml:space="preserve"> R$38 * R54 / tDKKtilDKK</f>
        <v>0</v>
      </c>
      <c r="S59" s="1">
        <f t="shared" si="2"/>
        <v>0</v>
      </c>
      <c r="T59" s="1">
        <f t="shared" si="2"/>
        <v>0</v>
      </c>
      <c r="U59" s="1">
        <f t="shared" si="2"/>
        <v>0</v>
      </c>
      <c r="V59" s="1">
        <f t="shared" si="2"/>
        <v>0</v>
      </c>
      <c r="W59" s="18">
        <f xml:space="preserve"> SUM( R59:V59 )</f>
        <v>0</v>
      </c>
    </row>
    <row r="60" spans="2:23" ht="15" customHeight="1">
      <c r="B60" s="2"/>
      <c r="D60" s="1" t="s">
        <v>66</v>
      </c>
      <c r="K60" s="5" t="str">
        <f xml:space="preserve"> Model.Units</f>
        <v>DKKt</v>
      </c>
      <c r="O60" s="202"/>
      <c r="P60" s="202"/>
      <c r="Q60" s="202"/>
      <c r="R60" s="1">
        <f t="shared" si="2"/>
        <v>0</v>
      </c>
      <c r="S60" s="1">
        <f t="shared" si="2"/>
        <v>0</v>
      </c>
      <c r="T60" s="1">
        <f t="shared" si="2"/>
        <v>0</v>
      </c>
      <c r="U60" s="1">
        <f t="shared" si="2"/>
        <v>0</v>
      </c>
      <c r="V60" s="1">
        <f t="shared" si="2"/>
        <v>0</v>
      </c>
      <c r="W60" s="4">
        <f xml:space="preserve"> SUM( R60:V60 )</f>
        <v>0</v>
      </c>
    </row>
    <row r="61" spans="2:23" ht="15" customHeight="1">
      <c r="B61" s="2"/>
      <c r="D61" s="27" t="s">
        <v>67</v>
      </c>
      <c r="E61" s="27"/>
      <c r="F61" s="27"/>
      <c r="G61" s="27"/>
      <c r="H61" s="27"/>
      <c r="I61" s="27"/>
      <c r="J61" s="27"/>
      <c r="K61" s="32" t="str">
        <f xml:space="preserve"> Model.Units</f>
        <v>DKKt</v>
      </c>
      <c r="L61" s="27"/>
      <c r="M61" s="27"/>
      <c r="N61" s="27"/>
      <c r="O61" s="269"/>
      <c r="P61" s="269"/>
      <c r="Q61" s="269"/>
      <c r="R61" s="27">
        <f t="shared" si="2"/>
        <v>0</v>
      </c>
      <c r="S61" s="27">
        <f t="shared" si="2"/>
        <v>0</v>
      </c>
      <c r="T61" s="27">
        <f t="shared" si="2"/>
        <v>0</v>
      </c>
      <c r="U61" s="27">
        <f t="shared" si="2"/>
        <v>0</v>
      </c>
      <c r="V61" s="27">
        <f t="shared" si="2"/>
        <v>0</v>
      </c>
      <c r="W61" s="35">
        <f xml:space="preserve"> SUM( R61:V61 )</f>
        <v>0</v>
      </c>
    </row>
    <row r="62" spans="2:23" ht="15" customHeight="1">
      <c r="B62" s="2"/>
    </row>
    <row r="63" spans="2:23" ht="15" customHeight="1">
      <c r="D63" s="4" t="s">
        <v>340</v>
      </c>
      <c r="W63" s="89" t="s">
        <v>16</v>
      </c>
    </row>
    <row r="64" spans="2:23" ht="15" customHeight="1">
      <c r="D64" s="15" t="s">
        <v>66</v>
      </c>
      <c r="E64" s="15"/>
      <c r="F64" s="15"/>
      <c r="G64" s="15"/>
      <c r="H64" s="15"/>
      <c r="I64" s="15"/>
      <c r="J64" s="15"/>
      <c r="K64" s="19" t="str">
        <f xml:space="preserve"> Model.Units</f>
        <v>DKKt</v>
      </c>
      <c r="L64" s="15"/>
      <c r="M64" s="15"/>
      <c r="N64" s="15"/>
      <c r="O64" s="274"/>
      <c r="P64" s="274"/>
      <c r="Q64" s="274"/>
      <c r="R64" s="15">
        <f xml:space="preserve"> R60</f>
        <v>0</v>
      </c>
      <c r="S64" s="15">
        <f t="shared" ref="S64:V65" si="3" xml:space="preserve"> S60</f>
        <v>0</v>
      </c>
      <c r="T64" s="15">
        <f t="shared" si="3"/>
        <v>0</v>
      </c>
      <c r="U64" s="15">
        <f t="shared" si="3"/>
        <v>0</v>
      </c>
      <c r="V64" s="15">
        <f t="shared" si="3"/>
        <v>0</v>
      </c>
      <c r="W64" s="18">
        <f t="shared" ref="W64:W74" si="4" xml:space="preserve"> SUM( R64:V64 )</f>
        <v>0</v>
      </c>
    </row>
    <row r="65" spans="4:23" ht="15" customHeight="1">
      <c r="D65" s="1" t="s">
        <v>67</v>
      </c>
      <c r="K65" s="5" t="str">
        <f xml:space="preserve"> Model.Units</f>
        <v>DKKt</v>
      </c>
      <c r="O65" s="202"/>
      <c r="P65" s="202"/>
      <c r="Q65" s="202"/>
      <c r="R65" s="1">
        <f xml:space="preserve"> R61</f>
        <v>0</v>
      </c>
      <c r="S65" s="1">
        <f t="shared" si="3"/>
        <v>0</v>
      </c>
      <c r="T65" s="1">
        <f t="shared" si="3"/>
        <v>0</v>
      </c>
      <c r="U65" s="1">
        <f t="shared" si="3"/>
        <v>0</v>
      </c>
      <c r="V65" s="1">
        <f t="shared" si="3"/>
        <v>0</v>
      </c>
      <c r="W65" s="4">
        <f t="shared" si="4"/>
        <v>0</v>
      </c>
    </row>
    <row r="66" spans="4:23" ht="7.5" customHeight="1">
      <c r="D66" s="1"/>
      <c r="W66" s="4"/>
    </row>
    <row r="67" spans="4:23" ht="15" customHeight="1">
      <c r="D67" s="85" t="s">
        <v>65</v>
      </c>
      <c r="K67" s="87" t="s">
        <v>3</v>
      </c>
      <c r="O67" s="202"/>
      <c r="P67" s="202"/>
      <c r="Q67" s="202"/>
      <c r="R67" s="1">
        <f xml:space="preserve"> R38</f>
        <v>0</v>
      </c>
      <c r="S67" s="1">
        <f xml:space="preserve"> S38</f>
        <v>0</v>
      </c>
      <c r="T67" s="1">
        <f xml:space="preserve"> T38</f>
        <v>0</v>
      </c>
      <c r="U67" s="1">
        <f xml:space="preserve"> U38</f>
        <v>0</v>
      </c>
      <c r="V67" s="1">
        <f xml:space="preserve"> V38</f>
        <v>0</v>
      </c>
      <c r="W67" s="4">
        <f t="shared" si="4"/>
        <v>0</v>
      </c>
    </row>
    <row r="68" spans="4:23" ht="7.5" customHeight="1">
      <c r="D68" s="85"/>
      <c r="K68" s="87"/>
      <c r="W68" s="4"/>
    </row>
    <row r="69" spans="4:23" ht="15" customHeight="1">
      <c r="D69" s="1" t="s">
        <v>54</v>
      </c>
      <c r="K69" s="87" t="str">
        <f xml:space="preserve"> Model.Units2</f>
        <v>kWh</v>
      </c>
      <c r="O69" s="202"/>
      <c r="P69" s="202"/>
      <c r="Q69" s="202"/>
      <c r="R69" s="1">
        <f xml:space="preserve"> R49</f>
        <v>0</v>
      </c>
      <c r="S69" s="1">
        <f xml:space="preserve"> S49</f>
        <v>0</v>
      </c>
      <c r="T69" s="1">
        <f xml:space="preserve"> T49</f>
        <v>0</v>
      </c>
      <c r="U69" s="1">
        <f xml:space="preserve"> U49</f>
        <v>0</v>
      </c>
      <c r="V69" s="1">
        <f xml:space="preserve"> V49</f>
        <v>0</v>
      </c>
      <c r="W69" s="4">
        <f xml:space="preserve"> SUM( R69:V69 )</f>
        <v>0</v>
      </c>
    </row>
    <row r="70" spans="4:23" ht="7.5" customHeight="1">
      <c r="D70" s="1"/>
      <c r="K70" s="87"/>
      <c r="W70" s="4"/>
    </row>
    <row r="71" spans="4:23" ht="15" customHeight="1">
      <c r="D71" s="1" t="s">
        <v>55</v>
      </c>
      <c r="K71" s="87" t="str">
        <f xml:space="preserve"> Model.Units</f>
        <v>DKKt</v>
      </c>
      <c r="O71" s="202"/>
      <c r="P71" s="202"/>
      <c r="Q71" s="202"/>
      <c r="R71" s="1">
        <f xml:space="preserve"> IF( R52 = 0, 0, R59 / R52 )</f>
        <v>0</v>
      </c>
      <c r="S71" s="1">
        <f xml:space="preserve"> IF( S52 = 0, 0, S59 / S52 )</f>
        <v>0</v>
      </c>
      <c r="T71" s="1">
        <f xml:space="preserve"> IF( T52 = 0, 0, T59 / T52 )</f>
        <v>0</v>
      </c>
      <c r="U71" s="1">
        <f xml:space="preserve"> IF( U52 = 0, 0, U59 / U52 )</f>
        <v>0</v>
      </c>
      <c r="V71" s="1">
        <f xml:space="preserve"> IF( V52 = 0, 0, V59 / V52 )</f>
        <v>0</v>
      </c>
      <c r="W71" s="4">
        <f t="shared" si="4"/>
        <v>0</v>
      </c>
    </row>
    <row r="72" spans="4:23" ht="15" customHeight="1">
      <c r="D72" s="1" t="s">
        <v>23</v>
      </c>
      <c r="K72" s="87" t="str">
        <f xml:space="preserve"> Model.Units</f>
        <v>DKKt</v>
      </c>
      <c r="O72" s="202"/>
      <c r="P72" s="202"/>
      <c r="Q72" s="202"/>
      <c r="R72" s="1">
        <f xml:space="preserve"> R40</f>
        <v>0</v>
      </c>
      <c r="S72" s="1">
        <f xml:space="preserve"> S40</f>
        <v>0</v>
      </c>
      <c r="T72" s="1">
        <f xml:space="preserve"> T40</f>
        <v>0</v>
      </c>
      <c r="U72" s="1">
        <f xml:space="preserve"> U40</f>
        <v>0</v>
      </c>
      <c r="V72" s="1">
        <f xml:space="preserve"> V40</f>
        <v>0</v>
      </c>
      <c r="W72" s="4">
        <f xml:space="preserve"> SUM( R72:V72 )</f>
        <v>0</v>
      </c>
    </row>
    <row r="73" spans="4:23" ht="15" customHeight="1">
      <c r="D73" s="1" t="s">
        <v>516</v>
      </c>
      <c r="K73" s="87" t="str">
        <f xml:space="preserve"> Model.Units</f>
        <v>DKKt</v>
      </c>
      <c r="O73" s="202"/>
      <c r="P73" s="202"/>
      <c r="Q73" s="202"/>
      <c r="R73" s="1">
        <f xml:space="preserve"> R42</f>
        <v>0</v>
      </c>
      <c r="S73" s="1">
        <f xml:space="preserve"> S42</f>
        <v>0</v>
      </c>
      <c r="T73" s="1">
        <f xml:space="preserve"> T42</f>
        <v>0</v>
      </c>
      <c r="U73" s="1">
        <f xml:space="preserve"> U42</f>
        <v>0</v>
      </c>
      <c r="V73" s="1">
        <f xml:space="preserve"> V42</f>
        <v>0</v>
      </c>
      <c r="W73" s="4">
        <f t="shared" si="4"/>
        <v>0</v>
      </c>
    </row>
    <row r="74" spans="4:23" ht="15" customHeight="1">
      <c r="D74" s="27" t="s">
        <v>21</v>
      </c>
      <c r="E74" s="27"/>
      <c r="F74" s="27"/>
      <c r="G74" s="27"/>
      <c r="H74" s="27"/>
      <c r="I74" s="27"/>
      <c r="J74" s="27"/>
      <c r="K74" s="98" t="str">
        <f xml:space="preserve"> Model.Units</f>
        <v>DKKt</v>
      </c>
      <c r="L74" s="27"/>
      <c r="M74" s="27"/>
      <c r="N74" s="27"/>
      <c r="O74" s="269"/>
      <c r="P74" s="269"/>
      <c r="Q74" s="269"/>
      <c r="R74" s="27">
        <f xml:space="preserve"> R45</f>
        <v>0</v>
      </c>
      <c r="S74" s="27">
        <f xml:space="preserve"> S45</f>
        <v>0</v>
      </c>
      <c r="T74" s="27">
        <f xml:space="preserve"> T45</f>
        <v>0</v>
      </c>
      <c r="U74" s="27">
        <f xml:space="preserve"> U45</f>
        <v>0</v>
      </c>
      <c r="V74" s="27">
        <f xml:space="preserve"> V45</f>
        <v>0</v>
      </c>
      <c r="W74" s="35">
        <f t="shared" si="4"/>
        <v>0</v>
      </c>
    </row>
    <row r="75" spans="4:23" ht="15" customHeight="1">
      <c r="D75" s="1"/>
      <c r="K75" s="87"/>
      <c r="R75" s="121"/>
      <c r="S75" s="121"/>
      <c r="T75" s="121"/>
      <c r="U75" s="121"/>
      <c r="V75" s="121"/>
      <c r="W75" s="111"/>
    </row>
    <row r="76" spans="4:23" ht="15" customHeight="1">
      <c r="D76" s="4" t="s">
        <v>490</v>
      </c>
      <c r="W76" s="89" t="s">
        <v>16</v>
      </c>
    </row>
    <row r="77" spans="4:23" ht="15" customHeight="1">
      <c r="D77" s="15" t="s">
        <v>53</v>
      </c>
      <c r="E77" s="15"/>
      <c r="F77" s="15"/>
      <c r="G77" s="15"/>
      <c r="H77" s="15"/>
      <c r="I77" s="15"/>
      <c r="J77" s="15"/>
      <c r="K77" s="19" t="s">
        <v>4</v>
      </c>
      <c r="L77" s="123">
        <f xml:space="preserve"> IF( ( COUNTIF( R77:W77, "&lt;&gt;0" ) = 0 ), 0,  -- ( OR( ROUND( W77, 5 ) &lt;&gt; 100%, ( COUNTIF( R77:V77, "&lt;0" ) &gt; 0 ) ) ) )</f>
        <v>0</v>
      </c>
      <c r="M77" s="15"/>
      <c r="N77" s="15"/>
      <c r="O77" s="274"/>
      <c r="P77" s="274"/>
      <c r="Q77" s="274"/>
      <c r="R77" s="180">
        <f xml:space="preserve"> IF($W64 = 0, 0, R64 / $W64 )</f>
        <v>0</v>
      </c>
      <c r="S77" s="180">
        <f xml:space="preserve"> IF($W64 = 0, 0, S64 / $W64 )</f>
        <v>0</v>
      </c>
      <c r="T77" s="180">
        <f t="shared" ref="S77:V78" si="5" xml:space="preserve"> IF($W64 = 0, 0, T64 / $W64 )</f>
        <v>0</v>
      </c>
      <c r="U77" s="180">
        <f t="shared" si="5"/>
        <v>0</v>
      </c>
      <c r="V77" s="180">
        <f t="shared" si="5"/>
        <v>0</v>
      </c>
      <c r="W77" s="354">
        <f t="shared" ref="W77:W84" si="6" xml:space="preserve"> SUM( R77:V77 )</f>
        <v>0</v>
      </c>
    </row>
    <row r="78" spans="4:23" ht="15" customHeight="1">
      <c r="D78" s="1" t="s">
        <v>52</v>
      </c>
      <c r="K78" s="5" t="s">
        <v>4</v>
      </c>
      <c r="L78" s="85">
        <f t="shared" ref="L78:L84" si="7" xml:space="preserve"> IF( ( COUNTIF( R78:W78, "&lt;&gt;0" ) = 0 ), 0,  -- ( OR( ROUND( W78, 5 ) &lt;&gt; 100%, ( COUNTIF( R78:V78, "&lt;0" ) &gt; 0 ) ) ) )</f>
        <v>0</v>
      </c>
      <c r="O78" s="202"/>
      <c r="P78" s="202"/>
      <c r="Q78" s="202"/>
      <c r="R78" s="181">
        <f xml:space="preserve"> IF($W65 = 0, 0, R65 / $W65 )</f>
        <v>0</v>
      </c>
      <c r="S78" s="181">
        <f t="shared" si="5"/>
        <v>0</v>
      </c>
      <c r="T78" s="181">
        <f t="shared" si="5"/>
        <v>0</v>
      </c>
      <c r="U78" s="181">
        <f t="shared" si="5"/>
        <v>0</v>
      </c>
      <c r="V78" s="181">
        <f t="shared" si="5"/>
        <v>0</v>
      </c>
      <c r="W78" s="198">
        <f t="shared" si="6"/>
        <v>0</v>
      </c>
    </row>
    <row r="79" spans="4:23" ht="15" customHeight="1">
      <c r="D79" s="1" t="s">
        <v>64</v>
      </c>
      <c r="K79" s="5" t="s">
        <v>4</v>
      </c>
      <c r="L79" s="85">
        <f t="shared" si="7"/>
        <v>0</v>
      </c>
      <c r="O79" s="202"/>
      <c r="P79" s="202"/>
      <c r="Q79" s="202"/>
      <c r="R79" s="181">
        <f xml:space="preserve"> IF($W67 = 0, 0, R67 / $W67 )</f>
        <v>0</v>
      </c>
      <c r="S79" s="181">
        <f xml:space="preserve"> IF($W67 = 0, 0, S67 / $W67 )</f>
        <v>0</v>
      </c>
      <c r="T79" s="181">
        <f xml:space="preserve"> IF($W67 = 0, 0, T67 / $W67 )</f>
        <v>0</v>
      </c>
      <c r="U79" s="181">
        <f xml:space="preserve"> IF($W67 = 0, 0, U67 / $W67 )</f>
        <v>0</v>
      </c>
      <c r="V79" s="181">
        <f xml:space="preserve"> IF($W67 = 0, 0, V67 / $W67 )</f>
        <v>0</v>
      </c>
      <c r="W79" s="198">
        <f t="shared" si="6"/>
        <v>0</v>
      </c>
    </row>
    <row r="80" spans="4:23" ht="15" customHeight="1">
      <c r="D80" s="1" t="s">
        <v>54</v>
      </c>
      <c r="K80" s="5" t="s">
        <v>4</v>
      </c>
      <c r="L80" s="85">
        <f t="shared" si="7"/>
        <v>0</v>
      </c>
      <c r="O80" s="202"/>
      <c r="P80" s="202"/>
      <c r="Q80" s="202"/>
      <c r="R80" s="181">
        <f xml:space="preserve"> IF($W69 = 0, 0, R69 / $W69 )</f>
        <v>0</v>
      </c>
      <c r="S80" s="181">
        <f xml:space="preserve"> IF($W69 = 0, 0, S69 / $W69 )</f>
        <v>0</v>
      </c>
      <c r="T80" s="181">
        <f xml:space="preserve"> IF($W69 = 0, 0, T69 / $W69 )</f>
        <v>0</v>
      </c>
      <c r="U80" s="181">
        <f xml:space="preserve"> IF($W69 = 0, 0, U69 / $W69 )</f>
        <v>0</v>
      </c>
      <c r="V80" s="181">
        <f xml:space="preserve"> IF($W69 = 0, 0, V69 / $W69 )</f>
        <v>0</v>
      </c>
      <c r="W80" s="198">
        <f t="shared" si="6"/>
        <v>0</v>
      </c>
    </row>
    <row r="81" spans="2:23" ht="15" customHeight="1">
      <c r="D81" s="1" t="s">
        <v>55</v>
      </c>
      <c r="K81" s="5" t="s">
        <v>4</v>
      </c>
      <c r="L81" s="85">
        <f t="shared" si="7"/>
        <v>0</v>
      </c>
      <c r="O81" s="202"/>
      <c r="P81" s="202"/>
      <c r="Q81" s="202"/>
      <c r="R81" s="181">
        <f xml:space="preserve"> IF($W71 = 0, 0, R71 / $W71 )</f>
        <v>0</v>
      </c>
      <c r="S81" s="181">
        <f t="shared" ref="R81:V84" si="8" xml:space="preserve"> IF($W71 = 0, 0, S71 / $W71 )</f>
        <v>0</v>
      </c>
      <c r="T81" s="181">
        <f t="shared" si="8"/>
        <v>0</v>
      </c>
      <c r="U81" s="181">
        <f t="shared" si="8"/>
        <v>0</v>
      </c>
      <c r="V81" s="181">
        <f t="shared" si="8"/>
        <v>0</v>
      </c>
      <c r="W81" s="198">
        <f t="shared" si="6"/>
        <v>0</v>
      </c>
    </row>
    <row r="82" spans="2:23" ht="15" customHeight="1">
      <c r="D82" s="1" t="s">
        <v>23</v>
      </c>
      <c r="K82" s="5" t="s">
        <v>4</v>
      </c>
      <c r="L82" s="85">
        <f t="shared" si="7"/>
        <v>0</v>
      </c>
      <c r="O82" s="202"/>
      <c r="P82" s="202"/>
      <c r="Q82" s="202"/>
      <c r="R82" s="181">
        <f t="shared" si="8"/>
        <v>0</v>
      </c>
      <c r="S82" s="181">
        <f t="shared" si="8"/>
        <v>0</v>
      </c>
      <c r="T82" s="181">
        <f t="shared" si="8"/>
        <v>0</v>
      </c>
      <c r="U82" s="181">
        <f t="shared" si="8"/>
        <v>0</v>
      </c>
      <c r="V82" s="181">
        <f t="shared" si="8"/>
        <v>0</v>
      </c>
      <c r="W82" s="198">
        <f xml:space="preserve"> SUM( R82:V82 )</f>
        <v>0</v>
      </c>
    </row>
    <row r="83" spans="2:23" ht="15" customHeight="1">
      <c r="D83" s="1" t="s">
        <v>516</v>
      </c>
      <c r="K83" s="5" t="s">
        <v>4</v>
      </c>
      <c r="L83" s="85">
        <f t="shared" si="7"/>
        <v>0</v>
      </c>
      <c r="O83" s="202"/>
      <c r="P83" s="202"/>
      <c r="Q83" s="202"/>
      <c r="R83" s="181">
        <f t="shared" si="8"/>
        <v>0</v>
      </c>
      <c r="S83" s="181">
        <f t="shared" si="8"/>
        <v>0</v>
      </c>
      <c r="T83" s="181">
        <f t="shared" si="8"/>
        <v>0</v>
      </c>
      <c r="U83" s="181">
        <f t="shared" si="8"/>
        <v>0</v>
      </c>
      <c r="V83" s="181">
        <f t="shared" si="8"/>
        <v>0</v>
      </c>
      <c r="W83" s="198">
        <f xml:space="preserve"> SUM( R83:V83 )</f>
        <v>0</v>
      </c>
    </row>
    <row r="84" spans="2:23" ht="15" customHeight="1">
      <c r="D84" s="27" t="s">
        <v>21</v>
      </c>
      <c r="E84" s="27"/>
      <c r="F84" s="27"/>
      <c r="G84" s="27"/>
      <c r="H84" s="27"/>
      <c r="I84" s="27"/>
      <c r="J84" s="27"/>
      <c r="K84" s="32" t="s">
        <v>4</v>
      </c>
      <c r="L84" s="99">
        <f t="shared" si="7"/>
        <v>0</v>
      </c>
      <c r="M84" s="27"/>
      <c r="N84" s="27"/>
      <c r="O84" s="269"/>
      <c r="P84" s="269"/>
      <c r="Q84" s="269"/>
      <c r="R84" s="182">
        <f t="shared" si="8"/>
        <v>0</v>
      </c>
      <c r="S84" s="182">
        <f t="shared" si="8"/>
        <v>0</v>
      </c>
      <c r="T84" s="182">
        <f t="shared" si="8"/>
        <v>0</v>
      </c>
      <c r="U84" s="182">
        <f t="shared" si="8"/>
        <v>0</v>
      </c>
      <c r="V84" s="182">
        <f t="shared" si="8"/>
        <v>0</v>
      </c>
      <c r="W84" s="199">
        <f t="shared" si="6"/>
        <v>0</v>
      </c>
    </row>
    <row r="85" spans="2:23" ht="15" customHeight="1">
      <c r="D85" s="1"/>
    </row>
    <row r="86" spans="2:23" ht="15" customHeight="1">
      <c r="D86" s="1"/>
    </row>
    <row r="87" spans="2:23" ht="15" customHeight="1">
      <c r="D87" s="1"/>
    </row>
    <row r="88" spans="2:23" s="475" customFormat="1" ht="15" customHeight="1">
      <c r="B88" s="479" t="str">
        <f xml:space="preserve"> COUNTA(B$10:B78) &amp; ") Fordelingsnøgler, korrigeret for antal installationer"</f>
        <v>3) Fordelingsnøgler, korrigeret for antal installationer</v>
      </c>
      <c r="C88" s="477"/>
      <c r="D88" s="478"/>
      <c r="K88" s="472"/>
    </row>
    <row r="89" spans="2:23" ht="15" customHeight="1">
      <c r="D89" s="1"/>
    </row>
    <row r="90" spans="2:23" ht="15" customHeight="1">
      <c r="D90" s="97" t="s">
        <v>65</v>
      </c>
      <c r="E90" s="27"/>
      <c r="F90" s="27"/>
      <c r="G90" s="27"/>
      <c r="H90" s="27"/>
      <c r="I90" s="27"/>
      <c r="J90" s="27"/>
      <c r="K90" s="32"/>
      <c r="L90" s="27"/>
      <c r="M90" s="27"/>
      <c r="N90" s="185"/>
      <c r="O90" s="185"/>
      <c r="P90" s="185"/>
      <c r="Q90" s="185"/>
      <c r="R90" s="27"/>
      <c r="S90" s="27"/>
      <c r="T90" s="27"/>
      <c r="U90" s="27"/>
      <c r="V90" s="27"/>
      <c r="W90" s="185" t="s">
        <v>16</v>
      </c>
    </row>
    <row r="91" spans="2:23" ht="15" customHeight="1">
      <c r="D91" s="85" t="str">
        <f xml:space="preserve"> '2.1 Model setup'!K70</f>
        <v>1.1 Drift og vedligeholdelse af transformerstationer</v>
      </c>
      <c r="F91" s="121"/>
      <c r="G91" s="121"/>
      <c r="H91" s="121"/>
      <c r="I91" s="121"/>
      <c r="J91" s="121"/>
      <c r="K91" s="5" t="s">
        <v>3</v>
      </c>
      <c r="N91" s="15"/>
      <c r="O91" s="202"/>
      <c r="P91" s="202"/>
      <c r="Q91" s="202"/>
      <c r="R91" s="418">
        <f xml:space="preserve"> ( '2.2 Generelle input'!$N99 * ( '2.3 Selskabsspecifikke input'!Q$322 +  '2.3 Selskabsspecifikke input'!R$322 ) +  '2.2 Generelle input'!$N119 * ( '2.3 Selskabsspecifikke input'!Q$323 +  '2.3 Selskabsspecifikke input'!R$323 ) + '2.2 Generelle input'!$N139 * ( '2.3 Selskabsspecifikke input'!Q$324 +  '2.3 Selskabsspecifikke input'!R$324 ) + '2.2 Generelle input'!$N159 * ( '2.3 Selskabsspecifikke input'!Q$326 +  '2.3 Selskabsspecifikke input'!R$326 ) )</f>
        <v>0</v>
      </c>
      <c r="S91" s="1">
        <f xml:space="preserve"> ( '2.2 Generelle input'!$N99 * '2.3 Selskabsspecifikke input'!S$322 +  '2.2 Generelle input'!$N119 * '2.3 Selskabsspecifikke input'!S$323 + '2.2 Generelle input'!$N139 * '2.3 Selskabsspecifikke input'!S$324 + '2.2 Generelle input'!$N159 * '2.3 Selskabsspecifikke input'!S$326 )</f>
        <v>0</v>
      </c>
      <c r="T91" s="1">
        <f xml:space="preserve"> ( '2.2 Generelle input'!$N99 * '2.3 Selskabsspecifikke input'!T$322 +  '2.2 Generelle input'!$N119 * '2.3 Selskabsspecifikke input'!T$323 + '2.2 Generelle input'!$N139 * '2.3 Selskabsspecifikke input'!T$324 + '2.2 Generelle input'!$N159 * '2.3 Selskabsspecifikke input'!T$326 )</f>
        <v>0</v>
      </c>
      <c r="U91" s="1">
        <f xml:space="preserve"> ( '2.2 Generelle input'!$N99 * '2.3 Selskabsspecifikke input'!U$322 +  '2.2 Generelle input'!$N119 * '2.3 Selskabsspecifikke input'!U$323 + '2.2 Generelle input'!$N139 * '2.3 Selskabsspecifikke input'!U$324 + '2.2 Generelle input'!$N159 * '2.3 Selskabsspecifikke input'!U$326 )</f>
        <v>0</v>
      </c>
      <c r="V91" s="1">
        <f xml:space="preserve"> ( '2.2 Generelle input'!$N99 * '2.3 Selskabsspecifikke input'!V$322 +  '2.2 Generelle input'!$N119 * '2.3 Selskabsspecifikke input'!V$323 + '2.2 Generelle input'!$N139 * '2.3 Selskabsspecifikke input'!V$324 + '2.2 Generelle input'!$N159 * '2.3 Selskabsspecifikke input'!V$326 )</f>
        <v>0</v>
      </c>
      <c r="W91" s="4">
        <f xml:space="preserve"> SUM( R91:V91 )</f>
        <v>0</v>
      </c>
    </row>
    <row r="92" spans="2:23" ht="15" customHeight="1">
      <c r="D92" s="85" t="str">
        <f xml:space="preserve"> '2.1 Model setup'!K71</f>
        <v>1.2 Drift og vedligeholdelse af ledningsnet</v>
      </c>
      <c r="F92" s="121"/>
      <c r="G92" s="121"/>
      <c r="H92" s="121"/>
      <c r="I92" s="121"/>
      <c r="J92" s="121"/>
      <c r="K92" s="5" t="s">
        <v>3</v>
      </c>
      <c r="O92" s="202"/>
      <c r="P92" s="202"/>
      <c r="Q92" s="202"/>
      <c r="R92" s="419">
        <f xml:space="preserve"> ( '2.2 Generelle input'!$N100 * ( '2.3 Selskabsspecifikke input'!Q$322 +  '2.3 Selskabsspecifikke input'!R$322 ) +  '2.2 Generelle input'!$N120 * ( '2.3 Selskabsspecifikke input'!Q$323 +  '2.3 Selskabsspecifikke input'!R$323 ) + '2.2 Generelle input'!$N140 * ( '2.3 Selskabsspecifikke input'!Q$324 +  '2.3 Selskabsspecifikke input'!R$324 ) + '2.2 Generelle input'!$N160 * ( '2.3 Selskabsspecifikke input'!Q$326 +  '2.3 Selskabsspecifikke input'!R$326 ) )</f>
        <v>0</v>
      </c>
      <c r="S92" s="1">
        <f xml:space="preserve"> ( '2.2 Generelle input'!$N100 * '2.3 Selskabsspecifikke input'!S$322 +  '2.2 Generelle input'!$N120 * '2.3 Selskabsspecifikke input'!S$323 + '2.2 Generelle input'!$N140 * '2.3 Selskabsspecifikke input'!S$324 + '2.2 Generelle input'!$N160 * '2.3 Selskabsspecifikke input'!S$326 )</f>
        <v>0</v>
      </c>
      <c r="T92" s="1">
        <f xml:space="preserve"> ( '2.2 Generelle input'!$N100 * '2.3 Selskabsspecifikke input'!T$322 +  '2.2 Generelle input'!$N120 * '2.3 Selskabsspecifikke input'!T$323 + '2.2 Generelle input'!$N140 * '2.3 Selskabsspecifikke input'!T$324 + '2.2 Generelle input'!$N160 * '2.3 Selskabsspecifikke input'!T$326 )</f>
        <v>0</v>
      </c>
      <c r="U92" s="1">
        <f xml:space="preserve"> ( '2.2 Generelle input'!$N100 * '2.3 Selskabsspecifikke input'!U$322 +  '2.2 Generelle input'!$N120 * '2.3 Selskabsspecifikke input'!U$323 + '2.2 Generelle input'!$N140 * '2.3 Selskabsspecifikke input'!U$324 + '2.2 Generelle input'!$N160 * '2.3 Selskabsspecifikke input'!U$326 )</f>
        <v>0</v>
      </c>
      <c r="V92" s="1">
        <f xml:space="preserve"> ( '2.2 Generelle input'!$N100 * '2.3 Selskabsspecifikke input'!V$322 +  '2.2 Generelle input'!$N120 * '2.3 Selskabsspecifikke input'!V$323 + '2.2 Generelle input'!$N140 * '2.3 Selskabsspecifikke input'!V$324 + '2.2 Generelle input'!$N160 * '2.3 Selskabsspecifikke input'!V$326 )</f>
        <v>0</v>
      </c>
      <c r="W92" s="4">
        <f t="shared" ref="W92:W108" si="9" xml:space="preserve"> SUM( R92:V92 )</f>
        <v>0</v>
      </c>
    </row>
    <row r="93" spans="2:23" ht="15" customHeight="1">
      <c r="D93" s="85" t="str">
        <f xml:space="preserve"> '2.1 Model setup'!K72</f>
        <v>1.3 Øvrige omkostninger til drift, styring og kontrol af elnettet</v>
      </c>
      <c r="F93" s="121"/>
      <c r="G93" s="121"/>
      <c r="H93" s="121"/>
      <c r="I93" s="121"/>
      <c r="J93" s="121"/>
      <c r="K93" s="5" t="s">
        <v>3</v>
      </c>
      <c r="O93" s="202"/>
      <c r="P93" s="202"/>
      <c r="Q93" s="202"/>
      <c r="R93" s="419">
        <f xml:space="preserve"> ( '2.2 Generelle input'!$N101 * ( '2.3 Selskabsspecifikke input'!Q$322 +  '2.3 Selskabsspecifikke input'!R$322 ) +  '2.2 Generelle input'!$N121 * ( '2.3 Selskabsspecifikke input'!Q$323 +  '2.3 Selskabsspecifikke input'!R$323 ) + '2.2 Generelle input'!$N141 * ( '2.3 Selskabsspecifikke input'!Q$324 +  '2.3 Selskabsspecifikke input'!R$324 ) + '2.2 Generelle input'!$N161 * ( '2.3 Selskabsspecifikke input'!Q$326 +  '2.3 Selskabsspecifikke input'!R$326 ) )</f>
        <v>0</v>
      </c>
      <c r="S93" s="1">
        <f xml:space="preserve"> ( '2.2 Generelle input'!$N101 * '2.3 Selskabsspecifikke input'!S$322 +  '2.2 Generelle input'!$N121 * '2.3 Selskabsspecifikke input'!S$323 + '2.2 Generelle input'!$N141 * '2.3 Selskabsspecifikke input'!S$324 + '2.2 Generelle input'!$N161 * '2.3 Selskabsspecifikke input'!S$326 )</f>
        <v>0</v>
      </c>
      <c r="T93" s="1">
        <f xml:space="preserve"> ( '2.2 Generelle input'!$N101 * '2.3 Selskabsspecifikke input'!T$322 +  '2.2 Generelle input'!$N121 * '2.3 Selskabsspecifikke input'!T$323 + '2.2 Generelle input'!$N141 * '2.3 Selskabsspecifikke input'!T$324 + '2.2 Generelle input'!$N161 * '2.3 Selskabsspecifikke input'!T$326 )</f>
        <v>0</v>
      </c>
      <c r="U93" s="1">
        <f xml:space="preserve"> ( '2.2 Generelle input'!$N101 * '2.3 Selskabsspecifikke input'!U$322 +  '2.2 Generelle input'!$N121 * '2.3 Selskabsspecifikke input'!U$323 + '2.2 Generelle input'!$N141 * '2.3 Selskabsspecifikke input'!U$324 + '2.2 Generelle input'!$N161 * '2.3 Selskabsspecifikke input'!U$326 )</f>
        <v>0</v>
      </c>
      <c r="V93" s="1">
        <f xml:space="preserve"> ( '2.2 Generelle input'!$N101 * '2.3 Selskabsspecifikke input'!V$322 +  '2.2 Generelle input'!$N121 * '2.3 Selskabsspecifikke input'!V$323 + '2.2 Generelle input'!$N141 * '2.3 Selskabsspecifikke input'!V$324 + '2.2 Generelle input'!$N161 * '2.3 Selskabsspecifikke input'!V$326 )</f>
        <v>0</v>
      </c>
      <c r="W93" s="4">
        <f t="shared" si="9"/>
        <v>0</v>
      </c>
    </row>
    <row r="94" spans="2:23" ht="15" customHeight="1">
      <c r="D94" s="85" t="str">
        <f xml:space="preserve"> '2.1 Model setup'!K73</f>
        <v>1.4 Omkostninger vedrørende 132-150/30-60 kV-stationer</v>
      </c>
      <c r="F94" s="121"/>
      <c r="G94" s="121"/>
      <c r="H94" s="121"/>
      <c r="I94" s="121"/>
      <c r="J94" s="121"/>
      <c r="K94" s="5" t="s">
        <v>3</v>
      </c>
      <c r="O94" s="202"/>
      <c r="P94" s="202"/>
      <c r="Q94" s="202"/>
      <c r="R94" s="419">
        <f xml:space="preserve"> ( '2.2 Generelle input'!$N102 * ( '2.3 Selskabsspecifikke input'!Q$322 +  '2.3 Selskabsspecifikke input'!R$322 ) +  '2.2 Generelle input'!$N122 * ( '2.3 Selskabsspecifikke input'!Q$323 +  '2.3 Selskabsspecifikke input'!R$323 ) + '2.2 Generelle input'!$N142 * ( '2.3 Selskabsspecifikke input'!Q$324 +  '2.3 Selskabsspecifikke input'!R$324 ) + '2.2 Generelle input'!$N162 * ( '2.3 Selskabsspecifikke input'!Q$326 +  '2.3 Selskabsspecifikke input'!R$326 ) )</f>
        <v>0</v>
      </c>
      <c r="S94" s="1">
        <f xml:space="preserve"> ( '2.2 Generelle input'!$N102 * '2.3 Selskabsspecifikke input'!S$322 +  '2.2 Generelle input'!$N122 * '2.3 Selskabsspecifikke input'!S$323 + '2.2 Generelle input'!$N142 * '2.3 Selskabsspecifikke input'!S$324 + '2.2 Generelle input'!$N162 * '2.3 Selskabsspecifikke input'!S$326 )</f>
        <v>0</v>
      </c>
      <c r="T94" s="1">
        <f xml:space="preserve"> ( '2.2 Generelle input'!$N102 * '2.3 Selskabsspecifikke input'!T$322 +  '2.2 Generelle input'!$N122 * '2.3 Selskabsspecifikke input'!T$323 + '2.2 Generelle input'!$N142 * '2.3 Selskabsspecifikke input'!T$324 + '2.2 Generelle input'!$N162 * '2.3 Selskabsspecifikke input'!T$326 )</f>
        <v>0</v>
      </c>
      <c r="U94" s="1">
        <f xml:space="preserve"> ( '2.2 Generelle input'!$N102 * '2.3 Selskabsspecifikke input'!U$322 +  '2.2 Generelle input'!$N122 * '2.3 Selskabsspecifikke input'!U$323 + '2.2 Generelle input'!$N142 * '2.3 Selskabsspecifikke input'!U$324 + '2.2 Generelle input'!$N162 * '2.3 Selskabsspecifikke input'!U$326 )</f>
        <v>0</v>
      </c>
      <c r="V94" s="1">
        <f xml:space="preserve"> ( '2.2 Generelle input'!$N102 * '2.3 Selskabsspecifikke input'!V$322 +  '2.2 Generelle input'!$N122 * '2.3 Selskabsspecifikke input'!V$323 + '2.2 Generelle input'!$N142 * '2.3 Selskabsspecifikke input'!V$324 + '2.2 Generelle input'!$N162 * '2.3 Selskabsspecifikke input'!V$326 )</f>
        <v>0</v>
      </c>
      <c r="W94" s="4">
        <f xml:space="preserve"> SUM( R94:V94 )</f>
        <v>0</v>
      </c>
    </row>
    <row r="95" spans="2:23" ht="15" customHeight="1">
      <c r="D95" s="85" t="str">
        <f xml:space="preserve"> '2.1 Model setup'!K74</f>
        <v>2.1 Drift og vedligeholdelse af målere</v>
      </c>
      <c r="F95" s="121"/>
      <c r="G95" s="121"/>
      <c r="H95" s="121"/>
      <c r="I95" s="121"/>
      <c r="J95" s="121"/>
      <c r="K95" s="5" t="s">
        <v>3</v>
      </c>
      <c r="O95" s="202"/>
      <c r="P95" s="202"/>
      <c r="Q95" s="202"/>
      <c r="R95" s="419">
        <f xml:space="preserve"> ( '2.2 Generelle input'!$N103 * ( '2.3 Selskabsspecifikke input'!Q$322 +  '2.3 Selskabsspecifikke input'!R$322 ) +  '2.2 Generelle input'!$N123 * ( '2.3 Selskabsspecifikke input'!Q$323 +  '2.3 Selskabsspecifikke input'!R$323 ) + '2.2 Generelle input'!$N143 * ( '2.3 Selskabsspecifikke input'!Q$324 +  '2.3 Selskabsspecifikke input'!R$324 ) + '2.2 Generelle input'!$N163 * ( '2.3 Selskabsspecifikke input'!Q$326 +  '2.3 Selskabsspecifikke input'!R$326 ) )</f>
        <v>0</v>
      </c>
      <c r="S95" s="1">
        <f xml:space="preserve"> ( '2.2 Generelle input'!$N103 * '2.3 Selskabsspecifikke input'!S$322 +  '2.2 Generelle input'!$N123 * '2.3 Selskabsspecifikke input'!S$323 + '2.2 Generelle input'!$N143 * '2.3 Selskabsspecifikke input'!S$324 + '2.2 Generelle input'!$N163 * '2.3 Selskabsspecifikke input'!S$326 )</f>
        <v>0</v>
      </c>
      <c r="T95" s="1">
        <f xml:space="preserve"> ( '2.2 Generelle input'!$N103 * '2.3 Selskabsspecifikke input'!T$322 +  '2.2 Generelle input'!$N123 * '2.3 Selskabsspecifikke input'!T$323 + '2.2 Generelle input'!$N143 * '2.3 Selskabsspecifikke input'!T$324 + '2.2 Generelle input'!$N163 * '2.3 Selskabsspecifikke input'!T$326 )</f>
        <v>0</v>
      </c>
      <c r="U95" s="1">
        <f xml:space="preserve"> ( '2.2 Generelle input'!$N103 * '2.3 Selskabsspecifikke input'!U$322 +  '2.2 Generelle input'!$N123 * '2.3 Selskabsspecifikke input'!U$323 + '2.2 Generelle input'!$N143 * '2.3 Selskabsspecifikke input'!U$324 + '2.2 Generelle input'!$N163 * '2.3 Selskabsspecifikke input'!U$326 )</f>
        <v>0</v>
      </c>
      <c r="V95" s="1">
        <f xml:space="preserve"> ( '2.2 Generelle input'!$N103 * '2.3 Selskabsspecifikke input'!V$322 +  '2.2 Generelle input'!$N123 * '2.3 Selskabsspecifikke input'!V$323 + '2.2 Generelle input'!$N143 * '2.3 Selskabsspecifikke input'!V$324 + '2.2 Generelle input'!$N163 * '2.3 Selskabsspecifikke input'!V$326 )</f>
        <v>0</v>
      </c>
      <c r="W95" s="4">
        <f t="shared" si="9"/>
        <v>0</v>
      </c>
    </row>
    <row r="96" spans="2:23" ht="15" customHeight="1">
      <c r="D96" s="85" t="str">
        <f xml:space="preserve"> '2.1 Model setup'!K75</f>
        <v>2.2 Indhentning og validering af målerdata</v>
      </c>
      <c r="F96" s="121"/>
      <c r="G96" s="121"/>
      <c r="H96" s="121"/>
      <c r="I96" s="121"/>
      <c r="J96" s="121"/>
      <c r="K96" s="5" t="s">
        <v>3</v>
      </c>
      <c r="O96" s="202"/>
      <c r="P96" s="202"/>
      <c r="Q96" s="202"/>
      <c r="R96" s="419">
        <f xml:space="preserve"> ( '2.2 Generelle input'!$N104 * ( '2.3 Selskabsspecifikke input'!Q$322 +  '2.3 Selskabsspecifikke input'!R$322 ) +  '2.2 Generelle input'!$N124 * ( '2.3 Selskabsspecifikke input'!Q$323 +  '2.3 Selskabsspecifikke input'!R$323 ) + '2.2 Generelle input'!$N144 * ( '2.3 Selskabsspecifikke input'!Q$324 +  '2.3 Selskabsspecifikke input'!R$324 ) + '2.2 Generelle input'!$N164 * ( '2.3 Selskabsspecifikke input'!Q$326 +  '2.3 Selskabsspecifikke input'!R$326 ) )</f>
        <v>0</v>
      </c>
      <c r="S96" s="1">
        <f xml:space="preserve"> ( '2.2 Generelle input'!$N104 * '2.3 Selskabsspecifikke input'!S$322 +  '2.2 Generelle input'!$N124 * '2.3 Selskabsspecifikke input'!S$323 + '2.2 Generelle input'!$N144 * '2.3 Selskabsspecifikke input'!S$324 + '2.2 Generelle input'!$N164 * '2.3 Selskabsspecifikke input'!S$326 )</f>
        <v>0</v>
      </c>
      <c r="T96" s="1">
        <f xml:space="preserve"> ( '2.2 Generelle input'!$N104 * '2.3 Selskabsspecifikke input'!T$322 +  '2.2 Generelle input'!$N124 * '2.3 Selskabsspecifikke input'!T$323 + '2.2 Generelle input'!$N144 * '2.3 Selskabsspecifikke input'!T$324 + '2.2 Generelle input'!$N164 * '2.3 Selskabsspecifikke input'!T$326 )</f>
        <v>0</v>
      </c>
      <c r="U96" s="1">
        <f xml:space="preserve"> ( '2.2 Generelle input'!$N104 * '2.3 Selskabsspecifikke input'!U$322 +  '2.2 Generelle input'!$N124 * '2.3 Selskabsspecifikke input'!U$323 + '2.2 Generelle input'!$N144 * '2.3 Selskabsspecifikke input'!U$324 + '2.2 Generelle input'!$N164 * '2.3 Selskabsspecifikke input'!U$326 )</f>
        <v>0</v>
      </c>
      <c r="V96" s="1">
        <f xml:space="preserve"> ( '2.2 Generelle input'!$N104 * '2.3 Selskabsspecifikke input'!V$322 +  '2.2 Generelle input'!$N124 * '2.3 Selskabsspecifikke input'!V$323 + '2.2 Generelle input'!$N144 * '2.3 Selskabsspecifikke input'!V$324 + '2.2 Generelle input'!$N164 * '2.3 Selskabsspecifikke input'!V$326 )</f>
        <v>0</v>
      </c>
      <c r="W96" s="4">
        <f t="shared" si="9"/>
        <v>0</v>
      </c>
    </row>
    <row r="97" spans="4:23" ht="15" customHeight="1">
      <c r="D97" s="85" t="str">
        <f xml:space="preserve"> '2.1 Model setup'!K76</f>
        <v>2.3 Måleradministration og kundehåndtering</v>
      </c>
      <c r="F97" s="121"/>
      <c r="G97" s="121"/>
      <c r="H97" s="121"/>
      <c r="I97" s="121"/>
      <c r="J97" s="121"/>
      <c r="K97" s="5" t="s">
        <v>3</v>
      </c>
      <c r="O97" s="202"/>
      <c r="P97" s="202"/>
      <c r="Q97" s="202"/>
      <c r="R97" s="419">
        <f xml:space="preserve"> ( '2.2 Generelle input'!$N105 * ( '2.3 Selskabsspecifikke input'!Q$322 +  '2.3 Selskabsspecifikke input'!R$322 ) +  '2.2 Generelle input'!$N125 * ( '2.3 Selskabsspecifikke input'!Q$323 +  '2.3 Selskabsspecifikke input'!R$323 ) + '2.2 Generelle input'!$N145 * ( '2.3 Selskabsspecifikke input'!Q$324 +  '2.3 Selskabsspecifikke input'!R$324 ) + '2.2 Generelle input'!$N165 * ( '2.3 Selskabsspecifikke input'!Q$326 +  '2.3 Selskabsspecifikke input'!R$326 ) )</f>
        <v>0</v>
      </c>
      <c r="S97" s="1">
        <f xml:space="preserve"> ( '2.2 Generelle input'!$N105 * '2.3 Selskabsspecifikke input'!S$322 +  '2.2 Generelle input'!$N125 * '2.3 Selskabsspecifikke input'!S$323 + '2.2 Generelle input'!$N145 * '2.3 Selskabsspecifikke input'!S$324 + '2.2 Generelle input'!$N165 * '2.3 Selskabsspecifikke input'!S$326 )</f>
        <v>0</v>
      </c>
      <c r="T97" s="1">
        <f xml:space="preserve"> ( '2.2 Generelle input'!$N105 * '2.3 Selskabsspecifikke input'!T$322 +  '2.2 Generelle input'!$N125 * '2.3 Selskabsspecifikke input'!T$323 + '2.2 Generelle input'!$N145 * '2.3 Selskabsspecifikke input'!T$324 + '2.2 Generelle input'!$N165 * '2.3 Selskabsspecifikke input'!T$326 )</f>
        <v>0</v>
      </c>
      <c r="U97" s="1">
        <f xml:space="preserve"> ( '2.2 Generelle input'!$N105 * '2.3 Selskabsspecifikke input'!U$322 +  '2.2 Generelle input'!$N125 * '2.3 Selskabsspecifikke input'!U$323 + '2.2 Generelle input'!$N145 * '2.3 Selskabsspecifikke input'!U$324 + '2.2 Generelle input'!$N165 * '2.3 Selskabsspecifikke input'!U$326 )</f>
        <v>0</v>
      </c>
      <c r="V97" s="1">
        <f xml:space="preserve"> ( '2.2 Generelle input'!$N105 * '2.3 Selskabsspecifikke input'!V$322 +  '2.2 Generelle input'!$N125 * '2.3 Selskabsspecifikke input'!V$323 + '2.2 Generelle input'!$N145 * '2.3 Selskabsspecifikke input'!V$324 + '2.2 Generelle input'!$N165 * '2.3 Selskabsspecifikke input'!V$326 )</f>
        <v>0</v>
      </c>
      <c r="W97" s="4">
        <f t="shared" si="9"/>
        <v>0</v>
      </c>
    </row>
    <row r="98" spans="4:23" ht="15" customHeight="1">
      <c r="D98" s="85" t="str">
        <f xml:space="preserve"> '2.1 Model setup'!K77</f>
        <v>3.1 Generel administration</v>
      </c>
      <c r="F98" s="121"/>
      <c r="G98" s="121"/>
      <c r="H98" s="121"/>
      <c r="I98" s="121"/>
      <c r="J98" s="121"/>
      <c r="K98" s="5" t="s">
        <v>3</v>
      </c>
      <c r="O98" s="202"/>
      <c r="P98" s="202"/>
      <c r="Q98" s="202"/>
      <c r="R98" s="419">
        <f xml:space="preserve"> ( '2.2 Generelle input'!$N106 * ( '2.3 Selskabsspecifikke input'!Q$322 +  '2.3 Selskabsspecifikke input'!R$322 ) +  '2.2 Generelle input'!$N126 * ( '2.3 Selskabsspecifikke input'!Q$323 +  '2.3 Selskabsspecifikke input'!R$323 ) + '2.2 Generelle input'!$N146 * ( '2.3 Selskabsspecifikke input'!Q$324 +  '2.3 Selskabsspecifikke input'!R$324 ) + '2.2 Generelle input'!$N166 * ( '2.3 Selskabsspecifikke input'!Q$326 +  '2.3 Selskabsspecifikke input'!R$326 ) )</f>
        <v>0</v>
      </c>
      <c r="S98" s="1">
        <f xml:space="preserve"> ( '2.2 Generelle input'!$N106 * '2.3 Selskabsspecifikke input'!S$322 +  '2.2 Generelle input'!$N126 * '2.3 Selskabsspecifikke input'!S$323 + '2.2 Generelle input'!$N146 * '2.3 Selskabsspecifikke input'!S$324 + '2.2 Generelle input'!$N166 * '2.3 Selskabsspecifikke input'!S$326 )</f>
        <v>0</v>
      </c>
      <c r="T98" s="1">
        <f xml:space="preserve"> ( '2.2 Generelle input'!$N106 * '2.3 Selskabsspecifikke input'!T$322 +  '2.2 Generelle input'!$N126 * '2.3 Selskabsspecifikke input'!T$323 + '2.2 Generelle input'!$N146 * '2.3 Selskabsspecifikke input'!T$324 + '2.2 Generelle input'!$N166 * '2.3 Selskabsspecifikke input'!T$326 )</f>
        <v>0</v>
      </c>
      <c r="U98" s="1">
        <f xml:space="preserve"> ( '2.2 Generelle input'!$N106 * '2.3 Selskabsspecifikke input'!U$322 +  '2.2 Generelle input'!$N126 * '2.3 Selskabsspecifikke input'!U$323 + '2.2 Generelle input'!$N146 * '2.3 Selskabsspecifikke input'!U$324 + '2.2 Generelle input'!$N166 * '2.3 Selskabsspecifikke input'!U$326 )</f>
        <v>0</v>
      </c>
      <c r="V98" s="1">
        <f xml:space="preserve"> ( '2.2 Generelle input'!$N106 * '2.3 Selskabsspecifikke input'!V$322 +  '2.2 Generelle input'!$N126 * '2.3 Selskabsspecifikke input'!V$323 + '2.2 Generelle input'!$N146 * '2.3 Selskabsspecifikke input'!V$324 + '2.2 Generelle input'!$N166 * '2.3 Selskabsspecifikke input'!V$326 )</f>
        <v>0</v>
      </c>
      <c r="W98" s="4">
        <f t="shared" si="9"/>
        <v>0</v>
      </c>
    </row>
    <row r="99" spans="4:23" ht="15" customHeight="1">
      <c r="D99" s="85" t="str">
        <f xml:space="preserve"> '2.1 Model setup'!K78</f>
        <v>4.1 Omkostninger vedrørende nettab i transformerstationer</v>
      </c>
      <c r="F99" s="121"/>
      <c r="G99" s="121"/>
      <c r="H99" s="121"/>
      <c r="I99" s="121"/>
      <c r="J99" s="121"/>
      <c r="K99" s="5" t="s">
        <v>3</v>
      </c>
      <c r="O99" s="202"/>
      <c r="P99" s="202"/>
      <c r="Q99" s="202"/>
      <c r="R99" s="419">
        <f xml:space="preserve"> ( '2.2 Generelle input'!$N107 * ( '2.3 Selskabsspecifikke input'!Q$322 +  '2.3 Selskabsspecifikke input'!R$322 ) +  '2.2 Generelle input'!$N127 * ( '2.3 Selskabsspecifikke input'!Q$323 +  '2.3 Selskabsspecifikke input'!R$323 ) + '2.2 Generelle input'!$N147 * ( '2.3 Selskabsspecifikke input'!Q$324 +  '2.3 Selskabsspecifikke input'!R$324 ) + '2.2 Generelle input'!$N167 * ( '2.3 Selskabsspecifikke input'!Q$326 +  '2.3 Selskabsspecifikke input'!R$326 ) )</f>
        <v>0</v>
      </c>
      <c r="S99" s="1">
        <f xml:space="preserve"> ( '2.2 Generelle input'!$N107 * '2.3 Selskabsspecifikke input'!S$322 +  '2.2 Generelle input'!$N127 * '2.3 Selskabsspecifikke input'!S$323 + '2.2 Generelle input'!$N147 * '2.3 Selskabsspecifikke input'!S$324 + '2.2 Generelle input'!$N167 * '2.3 Selskabsspecifikke input'!S$326 )</f>
        <v>0</v>
      </c>
      <c r="T99" s="1">
        <f xml:space="preserve"> ( '2.2 Generelle input'!$N107 * '2.3 Selskabsspecifikke input'!T$322 +  '2.2 Generelle input'!$N127 * '2.3 Selskabsspecifikke input'!T$323 + '2.2 Generelle input'!$N147 * '2.3 Selskabsspecifikke input'!T$324 + '2.2 Generelle input'!$N167 * '2.3 Selskabsspecifikke input'!T$326 )</f>
        <v>0</v>
      </c>
      <c r="U99" s="1">
        <f xml:space="preserve"> ( '2.2 Generelle input'!$N107 * '2.3 Selskabsspecifikke input'!U$322 +  '2.2 Generelle input'!$N127 * '2.3 Selskabsspecifikke input'!U$323 + '2.2 Generelle input'!$N147 * '2.3 Selskabsspecifikke input'!U$324 + '2.2 Generelle input'!$N167 * '2.3 Selskabsspecifikke input'!U$326 )</f>
        <v>0</v>
      </c>
      <c r="V99" s="1">
        <f xml:space="preserve"> ( '2.2 Generelle input'!$N107 * '2.3 Selskabsspecifikke input'!V$322 +  '2.2 Generelle input'!$N127 * '2.3 Selskabsspecifikke input'!V$323 + '2.2 Generelle input'!$N147 * '2.3 Selskabsspecifikke input'!V$324 + '2.2 Generelle input'!$N167 * '2.3 Selskabsspecifikke input'!V$326 )</f>
        <v>0</v>
      </c>
      <c r="W99" s="4">
        <f t="shared" si="9"/>
        <v>0</v>
      </c>
    </row>
    <row r="100" spans="4:23" ht="15" customHeight="1">
      <c r="D100" s="85" t="str">
        <f xml:space="preserve"> '2.1 Model setup'!K79</f>
        <v>4.2 Omkostninger vedrørende nettab i ledningsnettet</v>
      </c>
      <c r="F100" s="121"/>
      <c r="G100" s="121"/>
      <c r="H100" s="121"/>
      <c r="I100" s="121"/>
      <c r="J100" s="121"/>
      <c r="K100" s="5" t="s">
        <v>3</v>
      </c>
      <c r="O100" s="202"/>
      <c r="P100" s="202"/>
      <c r="Q100" s="202"/>
      <c r="R100" s="419">
        <f xml:space="preserve"> ( '2.2 Generelle input'!$N108 * ( '2.3 Selskabsspecifikke input'!Q$322 +  '2.3 Selskabsspecifikke input'!R$322 ) +  '2.2 Generelle input'!$N128 * ( '2.3 Selskabsspecifikke input'!Q$323 +  '2.3 Selskabsspecifikke input'!R$323 ) + '2.2 Generelle input'!$N148 * ( '2.3 Selskabsspecifikke input'!Q$324 +  '2.3 Selskabsspecifikke input'!R$324 ) + '2.2 Generelle input'!$N168 * ( '2.3 Selskabsspecifikke input'!Q$326 +  '2.3 Selskabsspecifikke input'!R$326 ) )</f>
        <v>0</v>
      </c>
      <c r="S100" s="1">
        <f xml:space="preserve"> ( '2.2 Generelle input'!$N108 * '2.3 Selskabsspecifikke input'!S$322 +  '2.2 Generelle input'!$N128 * '2.3 Selskabsspecifikke input'!S$323 + '2.2 Generelle input'!$N148 * '2.3 Selskabsspecifikke input'!S$324 + '2.2 Generelle input'!$N168 * '2.3 Selskabsspecifikke input'!S$326 )</f>
        <v>0</v>
      </c>
      <c r="T100" s="1">
        <f xml:space="preserve"> ( '2.2 Generelle input'!$N108 * '2.3 Selskabsspecifikke input'!T$322 +  '2.2 Generelle input'!$N128 * '2.3 Selskabsspecifikke input'!T$323 + '2.2 Generelle input'!$N148 * '2.3 Selskabsspecifikke input'!T$324 + '2.2 Generelle input'!$N168 * '2.3 Selskabsspecifikke input'!T$326 )</f>
        <v>0</v>
      </c>
      <c r="U100" s="1">
        <f xml:space="preserve"> ( '2.2 Generelle input'!$N108 * '2.3 Selskabsspecifikke input'!U$322 +  '2.2 Generelle input'!$N128 * '2.3 Selskabsspecifikke input'!U$323 + '2.2 Generelle input'!$N148 * '2.3 Selskabsspecifikke input'!U$324 + '2.2 Generelle input'!$N168 * '2.3 Selskabsspecifikke input'!U$326 )</f>
        <v>0</v>
      </c>
      <c r="V100" s="1">
        <f xml:space="preserve"> ( '2.2 Generelle input'!$N108 * '2.3 Selskabsspecifikke input'!V$322 +  '2.2 Generelle input'!$N128 * '2.3 Selskabsspecifikke input'!V$323 + '2.2 Generelle input'!$N148 * '2.3 Selskabsspecifikke input'!V$324 + '2.2 Generelle input'!$N168 * '2.3 Selskabsspecifikke input'!V$326 )</f>
        <v>0</v>
      </c>
      <c r="W100" s="4">
        <f t="shared" si="9"/>
        <v>0</v>
      </c>
    </row>
    <row r="101" spans="4:23" ht="15" customHeight="1">
      <c r="D101" s="85" t="str">
        <f xml:space="preserve"> '2.1 Model setup'!K80</f>
        <v>5.1 Omkostninger til overliggende net ifm. forbrug</v>
      </c>
      <c r="F101" s="121"/>
      <c r="G101" s="121"/>
      <c r="H101" s="121"/>
      <c r="I101" s="121"/>
      <c r="J101" s="121"/>
      <c r="K101" s="5" t="s">
        <v>3</v>
      </c>
      <c r="O101" s="202"/>
      <c r="P101" s="202"/>
      <c r="Q101" s="202"/>
      <c r="R101" s="419">
        <f xml:space="preserve"> ( '2.2 Generelle input'!$N109 * ( '2.3 Selskabsspecifikke input'!Q$322 +  '2.3 Selskabsspecifikke input'!R$322 ) +  '2.2 Generelle input'!$N129 * ( '2.3 Selskabsspecifikke input'!Q$323 +  '2.3 Selskabsspecifikke input'!R$323 ) + '2.2 Generelle input'!$N149 * ( '2.3 Selskabsspecifikke input'!Q$324 +  '2.3 Selskabsspecifikke input'!R$324 ) + '2.2 Generelle input'!$N169 * ( '2.3 Selskabsspecifikke input'!Q$326 +  '2.3 Selskabsspecifikke input'!R$326 ) )</f>
        <v>0</v>
      </c>
      <c r="S101" s="1">
        <f xml:space="preserve"> ( '2.2 Generelle input'!$N109 * '2.3 Selskabsspecifikke input'!S$322 +  '2.2 Generelle input'!$N129 * '2.3 Selskabsspecifikke input'!S$323 + '2.2 Generelle input'!$N149 * '2.3 Selskabsspecifikke input'!S$324 + '2.2 Generelle input'!$N169 * '2.3 Selskabsspecifikke input'!S$326 )</f>
        <v>0</v>
      </c>
      <c r="T101" s="1">
        <f xml:space="preserve"> ( '2.2 Generelle input'!$N109 * '2.3 Selskabsspecifikke input'!T$322 +  '2.2 Generelle input'!$N129 * '2.3 Selskabsspecifikke input'!T$323 + '2.2 Generelle input'!$N149 * '2.3 Selskabsspecifikke input'!T$324 + '2.2 Generelle input'!$N169 * '2.3 Selskabsspecifikke input'!T$326 )</f>
        <v>0</v>
      </c>
      <c r="U101" s="1">
        <f xml:space="preserve"> ( '2.2 Generelle input'!$N109 * '2.3 Selskabsspecifikke input'!U$322 +  '2.2 Generelle input'!$N129 * '2.3 Selskabsspecifikke input'!U$323 + '2.2 Generelle input'!$N149 * '2.3 Selskabsspecifikke input'!U$324 + '2.2 Generelle input'!$N169 * '2.3 Selskabsspecifikke input'!U$326 )</f>
        <v>0</v>
      </c>
      <c r="V101" s="1">
        <f xml:space="preserve"> ( '2.2 Generelle input'!$N109 * '2.3 Selskabsspecifikke input'!V$322 +  '2.2 Generelle input'!$N129 * '2.3 Selskabsspecifikke input'!V$323 + '2.2 Generelle input'!$N149 * '2.3 Selskabsspecifikke input'!V$324 + '2.2 Generelle input'!$N169 * '2.3 Selskabsspecifikke input'!V$326 )</f>
        <v>0</v>
      </c>
      <c r="W101" s="4">
        <f xml:space="preserve"> SUM( R101:V101 )</f>
        <v>0</v>
      </c>
    </row>
    <row r="102" spans="4:23" ht="15" customHeight="1">
      <c r="D102" s="85" t="str">
        <f xml:space="preserve"> '2.1 Model setup'!K81</f>
        <v>5.2 Øvrige omkostninger</v>
      </c>
      <c r="F102" s="121"/>
      <c r="G102" s="121"/>
      <c r="H102" s="121"/>
      <c r="I102" s="121"/>
      <c r="J102" s="121"/>
      <c r="K102" s="5" t="s">
        <v>3</v>
      </c>
      <c r="O102" s="202"/>
      <c r="P102" s="202"/>
      <c r="Q102" s="202"/>
      <c r="R102" s="419">
        <f xml:space="preserve"> ( '2.2 Generelle input'!$N110 * ( '2.3 Selskabsspecifikke input'!Q$322 +  '2.3 Selskabsspecifikke input'!R$322 ) +  '2.2 Generelle input'!$N130 * ( '2.3 Selskabsspecifikke input'!Q$323 +  '2.3 Selskabsspecifikke input'!R$323 ) + '2.2 Generelle input'!$N150 * ( '2.3 Selskabsspecifikke input'!Q$324 +  '2.3 Selskabsspecifikke input'!R$324 ) + '2.2 Generelle input'!$N170 * ( '2.3 Selskabsspecifikke input'!Q$326 +  '2.3 Selskabsspecifikke input'!R$326 ) )</f>
        <v>0</v>
      </c>
      <c r="S102" s="1">
        <f xml:space="preserve"> ( '2.2 Generelle input'!$N110 * '2.3 Selskabsspecifikke input'!S$322 +  '2.2 Generelle input'!$N130 * '2.3 Selskabsspecifikke input'!S$323 + '2.2 Generelle input'!$N150 * '2.3 Selskabsspecifikke input'!S$324 + '2.2 Generelle input'!$N170 * '2.3 Selskabsspecifikke input'!S$326 )</f>
        <v>0</v>
      </c>
      <c r="T102" s="1">
        <f xml:space="preserve"> ( '2.2 Generelle input'!$N110 * '2.3 Selskabsspecifikke input'!T$322 +  '2.2 Generelle input'!$N130 * '2.3 Selskabsspecifikke input'!T$323 + '2.2 Generelle input'!$N150 * '2.3 Selskabsspecifikke input'!T$324 + '2.2 Generelle input'!$N170 * '2.3 Selskabsspecifikke input'!T$326 )</f>
        <v>0</v>
      </c>
      <c r="U102" s="1">
        <f xml:space="preserve"> ( '2.2 Generelle input'!$N110 * '2.3 Selskabsspecifikke input'!U$322 +  '2.2 Generelle input'!$N130 * '2.3 Selskabsspecifikke input'!U$323 + '2.2 Generelle input'!$N150 * '2.3 Selskabsspecifikke input'!U$324 + '2.2 Generelle input'!$N170 * '2.3 Selskabsspecifikke input'!U$326 )</f>
        <v>0</v>
      </c>
      <c r="V102" s="1">
        <f xml:space="preserve"> ( '2.2 Generelle input'!$N110 * '2.3 Selskabsspecifikke input'!V$322 +  '2.2 Generelle input'!$N130 * '2.3 Selskabsspecifikke input'!V$323 + '2.2 Generelle input'!$N150 * '2.3 Selskabsspecifikke input'!V$324 + '2.2 Generelle input'!$N170 * '2.3 Selskabsspecifikke input'!V$326 )</f>
        <v>0</v>
      </c>
      <c r="W102" s="4">
        <f t="shared" si="9"/>
        <v>0</v>
      </c>
    </row>
    <row r="103" spans="4:23" ht="15" customHeight="1">
      <c r="D103" s="85" t="str">
        <f xml:space="preserve"> '2.1 Model setup'!K82</f>
        <v>6.1 Afskrivninger på transformerstationer</v>
      </c>
      <c r="F103" s="121"/>
      <c r="G103" s="121"/>
      <c r="H103" s="121"/>
      <c r="I103" s="121"/>
      <c r="J103" s="121"/>
      <c r="K103" s="5" t="s">
        <v>3</v>
      </c>
      <c r="O103" s="202"/>
      <c r="P103" s="202"/>
      <c r="Q103" s="202"/>
      <c r="R103" s="419">
        <f xml:space="preserve"> ( '2.2 Generelle input'!$N111 * ( '2.3 Selskabsspecifikke input'!Q$322 +  '2.3 Selskabsspecifikke input'!R$322 ) +  '2.2 Generelle input'!$N131 * ( '2.3 Selskabsspecifikke input'!Q$323 +  '2.3 Selskabsspecifikke input'!R$323 ) + '2.2 Generelle input'!$N151 * ( '2.3 Selskabsspecifikke input'!Q$324 +  '2.3 Selskabsspecifikke input'!R$324 ) + '2.2 Generelle input'!$N171 * ( '2.3 Selskabsspecifikke input'!Q$326 +  '2.3 Selskabsspecifikke input'!R$326 ) )</f>
        <v>0</v>
      </c>
      <c r="S103" s="1">
        <f xml:space="preserve"> ( '2.2 Generelle input'!$N111 * '2.3 Selskabsspecifikke input'!S$322 +  '2.2 Generelle input'!$N131 * '2.3 Selskabsspecifikke input'!S$323 + '2.2 Generelle input'!$N151 * '2.3 Selskabsspecifikke input'!S$324 + '2.2 Generelle input'!$N171 * '2.3 Selskabsspecifikke input'!S$326 )</f>
        <v>0</v>
      </c>
      <c r="T103" s="1">
        <f xml:space="preserve"> ( '2.2 Generelle input'!$N111 * '2.3 Selskabsspecifikke input'!T$322 +  '2.2 Generelle input'!$N131 * '2.3 Selskabsspecifikke input'!T$323 + '2.2 Generelle input'!$N151 * '2.3 Selskabsspecifikke input'!T$324 + '2.2 Generelle input'!$N171 * '2.3 Selskabsspecifikke input'!T$326 )</f>
        <v>0</v>
      </c>
      <c r="U103" s="1">
        <f xml:space="preserve"> ( '2.2 Generelle input'!$N111 * '2.3 Selskabsspecifikke input'!U$322 +  '2.2 Generelle input'!$N131 * '2.3 Selskabsspecifikke input'!U$323 + '2.2 Generelle input'!$N151 * '2.3 Selskabsspecifikke input'!U$324 + '2.2 Generelle input'!$N171 * '2.3 Selskabsspecifikke input'!U$326 )</f>
        <v>0</v>
      </c>
      <c r="V103" s="1">
        <f xml:space="preserve"> ( '2.2 Generelle input'!$N111 * '2.3 Selskabsspecifikke input'!V$322 +  '2.2 Generelle input'!$N131 * '2.3 Selskabsspecifikke input'!V$323 + '2.2 Generelle input'!$N151 * '2.3 Selskabsspecifikke input'!V$324 + '2.2 Generelle input'!$N171 * '2.3 Selskabsspecifikke input'!V$326 )</f>
        <v>0</v>
      </c>
      <c r="W103" s="4">
        <f t="shared" si="9"/>
        <v>0</v>
      </c>
    </row>
    <row r="104" spans="4:23" ht="15" customHeight="1">
      <c r="D104" s="85" t="str">
        <f xml:space="preserve"> '2.1 Model setup'!K83</f>
        <v>6.2 Afskrivninger på netaktiver ekskl. målere og transformerstationer</v>
      </c>
      <c r="F104" s="121"/>
      <c r="G104" s="121"/>
      <c r="H104" s="121"/>
      <c r="I104" s="121"/>
      <c r="J104" s="121"/>
      <c r="K104" s="5" t="s">
        <v>3</v>
      </c>
      <c r="O104" s="202"/>
      <c r="P104" s="202"/>
      <c r="Q104" s="202"/>
      <c r="R104" s="419">
        <f xml:space="preserve"> ( '2.2 Generelle input'!$N112 * ( '2.3 Selskabsspecifikke input'!Q$322 +  '2.3 Selskabsspecifikke input'!R$322 ) +  '2.2 Generelle input'!$N132 * ( '2.3 Selskabsspecifikke input'!Q$323 +  '2.3 Selskabsspecifikke input'!R$323 ) + '2.2 Generelle input'!$N152 * ( '2.3 Selskabsspecifikke input'!Q$324 +  '2.3 Selskabsspecifikke input'!R$324 ) + '2.2 Generelle input'!$N172 * ( '2.3 Selskabsspecifikke input'!Q$326 +  '2.3 Selskabsspecifikke input'!R$326 ) )</f>
        <v>0</v>
      </c>
      <c r="S104" s="1">
        <f xml:space="preserve"> ( '2.2 Generelle input'!$N112 * '2.3 Selskabsspecifikke input'!S$322 +  '2.2 Generelle input'!$N132 * '2.3 Selskabsspecifikke input'!S$323 + '2.2 Generelle input'!$N152 * '2.3 Selskabsspecifikke input'!S$324 + '2.2 Generelle input'!$N172 * '2.3 Selskabsspecifikke input'!S$326 )</f>
        <v>0</v>
      </c>
      <c r="T104" s="1">
        <f xml:space="preserve"> ( '2.2 Generelle input'!$N112 * '2.3 Selskabsspecifikke input'!T$322 +  '2.2 Generelle input'!$N132 * '2.3 Selskabsspecifikke input'!T$323 + '2.2 Generelle input'!$N152 * '2.3 Selskabsspecifikke input'!T$324 + '2.2 Generelle input'!$N172 * '2.3 Selskabsspecifikke input'!T$326 )</f>
        <v>0</v>
      </c>
      <c r="U104" s="1">
        <f xml:space="preserve"> ( '2.2 Generelle input'!$N112 * '2.3 Selskabsspecifikke input'!U$322 +  '2.2 Generelle input'!$N132 * '2.3 Selskabsspecifikke input'!U$323 + '2.2 Generelle input'!$N152 * '2.3 Selskabsspecifikke input'!U$324 + '2.2 Generelle input'!$N172 * '2.3 Selskabsspecifikke input'!U$326 )</f>
        <v>0</v>
      </c>
      <c r="V104" s="1">
        <f xml:space="preserve"> ( '2.2 Generelle input'!$N112 * '2.3 Selskabsspecifikke input'!V$322 +  '2.2 Generelle input'!$N132 * '2.3 Selskabsspecifikke input'!V$323 + '2.2 Generelle input'!$N152 * '2.3 Selskabsspecifikke input'!V$324 + '2.2 Generelle input'!$N172 * '2.3 Selskabsspecifikke input'!V$326 )</f>
        <v>0</v>
      </c>
      <c r="W104" s="4">
        <f t="shared" si="9"/>
        <v>0</v>
      </c>
    </row>
    <row r="105" spans="4:23" ht="15" customHeight="1">
      <c r="D105" s="85" t="str">
        <f xml:space="preserve"> '2.1 Model setup'!K84</f>
        <v>6.3 Afskrivninger på målere</v>
      </c>
      <c r="F105" s="121"/>
      <c r="G105" s="121"/>
      <c r="H105" s="121"/>
      <c r="I105" s="121"/>
      <c r="J105" s="121"/>
      <c r="K105" s="5" t="s">
        <v>3</v>
      </c>
      <c r="O105" s="202"/>
      <c r="P105" s="202"/>
      <c r="Q105" s="202"/>
      <c r="R105" s="419">
        <f xml:space="preserve"> ( '2.2 Generelle input'!$N113 * ( '2.3 Selskabsspecifikke input'!Q$322 +  '2.3 Selskabsspecifikke input'!R$322 ) +  '2.2 Generelle input'!$N133 * ( '2.3 Selskabsspecifikke input'!Q$323 +  '2.3 Selskabsspecifikke input'!R$323 ) + '2.2 Generelle input'!$N153 * ( '2.3 Selskabsspecifikke input'!Q$324 +  '2.3 Selskabsspecifikke input'!R$324 ) + '2.2 Generelle input'!$N173 * ( '2.3 Selskabsspecifikke input'!Q$326 +  '2.3 Selskabsspecifikke input'!R$326 ) )</f>
        <v>0</v>
      </c>
      <c r="S105" s="1">
        <f xml:space="preserve"> ( '2.2 Generelle input'!$N113 * '2.3 Selskabsspecifikke input'!S$322 +  '2.2 Generelle input'!$N133 * '2.3 Selskabsspecifikke input'!S$323 + '2.2 Generelle input'!$N153 * '2.3 Selskabsspecifikke input'!S$324 + '2.2 Generelle input'!$N173 * '2.3 Selskabsspecifikke input'!S$326 )</f>
        <v>0</v>
      </c>
      <c r="T105" s="1">
        <f xml:space="preserve"> ( '2.2 Generelle input'!$N113 * '2.3 Selskabsspecifikke input'!T$322 +  '2.2 Generelle input'!$N133 * '2.3 Selskabsspecifikke input'!T$323 + '2.2 Generelle input'!$N153 * '2.3 Selskabsspecifikke input'!T$324 + '2.2 Generelle input'!$N173 * '2.3 Selskabsspecifikke input'!T$326 )</f>
        <v>0</v>
      </c>
      <c r="U105" s="1">
        <f xml:space="preserve"> ( '2.2 Generelle input'!$N113 * '2.3 Selskabsspecifikke input'!U$322 +  '2.2 Generelle input'!$N133 * '2.3 Selskabsspecifikke input'!U$323 + '2.2 Generelle input'!$N153 * '2.3 Selskabsspecifikke input'!U$324 + '2.2 Generelle input'!$N173 * '2.3 Selskabsspecifikke input'!U$326 )</f>
        <v>0</v>
      </c>
      <c r="V105" s="1">
        <f xml:space="preserve"> ( '2.2 Generelle input'!$N113 * '2.3 Selskabsspecifikke input'!V$322 +  '2.2 Generelle input'!$N133 * '2.3 Selskabsspecifikke input'!V$323 + '2.2 Generelle input'!$N153 * '2.3 Selskabsspecifikke input'!V$324 + '2.2 Generelle input'!$N173 * '2.3 Selskabsspecifikke input'!V$326 )</f>
        <v>0</v>
      </c>
      <c r="W105" s="4">
        <f t="shared" si="9"/>
        <v>0</v>
      </c>
    </row>
    <row r="106" spans="4:23" ht="15" customHeight="1">
      <c r="D106" s="85" t="str">
        <f xml:space="preserve"> '2.1 Model setup'!K85</f>
        <v>7.1 Transformerstationer (forrentning)</v>
      </c>
      <c r="K106" s="5" t="s">
        <v>3</v>
      </c>
      <c r="O106" s="202"/>
      <c r="P106" s="202"/>
      <c r="Q106" s="202"/>
      <c r="R106" s="419">
        <f xml:space="preserve"> ( '2.2 Generelle input'!$N114 * ( '2.3 Selskabsspecifikke input'!Q$322 +  '2.3 Selskabsspecifikke input'!R$322 ) +  '2.2 Generelle input'!$N134 * ( '2.3 Selskabsspecifikke input'!Q$323 +  '2.3 Selskabsspecifikke input'!R$323 ) + '2.2 Generelle input'!$N154 * ( '2.3 Selskabsspecifikke input'!Q$324 +  '2.3 Selskabsspecifikke input'!R$324 ) + '2.2 Generelle input'!$N174 * ( '2.3 Selskabsspecifikke input'!Q$326 +  '2.3 Selskabsspecifikke input'!R$326 ) )</f>
        <v>0</v>
      </c>
      <c r="S106" s="1">
        <f xml:space="preserve"> ( '2.2 Generelle input'!$N114 * '2.3 Selskabsspecifikke input'!S$322 +  '2.2 Generelle input'!$N134 * '2.3 Selskabsspecifikke input'!S$323 + '2.2 Generelle input'!$N154 * '2.3 Selskabsspecifikke input'!S$324 + '2.2 Generelle input'!$N174 * '2.3 Selskabsspecifikke input'!S$326 )</f>
        <v>0</v>
      </c>
      <c r="T106" s="1">
        <f xml:space="preserve"> ( '2.2 Generelle input'!$N114 * '2.3 Selskabsspecifikke input'!T$322 +  '2.2 Generelle input'!$N134 * '2.3 Selskabsspecifikke input'!T$323 + '2.2 Generelle input'!$N154 * '2.3 Selskabsspecifikke input'!T$324 + '2.2 Generelle input'!$N174 * '2.3 Selskabsspecifikke input'!T$326 )</f>
        <v>0</v>
      </c>
      <c r="U106" s="1">
        <f xml:space="preserve"> ( '2.2 Generelle input'!$N114 * '2.3 Selskabsspecifikke input'!U$322 +  '2.2 Generelle input'!$N134 * '2.3 Selskabsspecifikke input'!U$323 + '2.2 Generelle input'!$N154 * '2.3 Selskabsspecifikke input'!U$324 + '2.2 Generelle input'!$N174 * '2.3 Selskabsspecifikke input'!U$326 )</f>
        <v>0</v>
      </c>
      <c r="V106" s="1">
        <f xml:space="preserve"> ( '2.2 Generelle input'!$N114 * '2.3 Selskabsspecifikke input'!V$322 +  '2.2 Generelle input'!$N134 * '2.3 Selskabsspecifikke input'!V$323 + '2.2 Generelle input'!$N154 * '2.3 Selskabsspecifikke input'!V$324 + '2.2 Generelle input'!$N174 * '2.3 Selskabsspecifikke input'!V$326 )</f>
        <v>0</v>
      </c>
      <c r="W106" s="4">
        <f xml:space="preserve"> SUM( R106:V106 )</f>
        <v>0</v>
      </c>
    </row>
    <row r="107" spans="4:23" ht="15" customHeight="1">
      <c r="D107" s="85" t="str">
        <f xml:space="preserve"> '2.1 Model setup'!K86</f>
        <v>7.2 Netaktiver ekskl. målere og transformerstationer (forrentning)</v>
      </c>
      <c r="K107" s="5" t="s">
        <v>3</v>
      </c>
      <c r="O107" s="202"/>
      <c r="P107" s="202"/>
      <c r="Q107" s="202"/>
      <c r="R107" s="419">
        <f xml:space="preserve"> ( '2.2 Generelle input'!$N115 * ( '2.3 Selskabsspecifikke input'!Q$322 +  '2.3 Selskabsspecifikke input'!R$322 ) +  '2.2 Generelle input'!$N135 * ( '2.3 Selskabsspecifikke input'!Q$323 +  '2.3 Selskabsspecifikke input'!R$323 ) + '2.2 Generelle input'!$N155 * ( '2.3 Selskabsspecifikke input'!Q$324 +  '2.3 Selskabsspecifikke input'!R$324 ) + '2.2 Generelle input'!$N175 * ( '2.3 Selskabsspecifikke input'!Q$326 +  '2.3 Selskabsspecifikke input'!R$326 ) )</f>
        <v>0</v>
      </c>
      <c r="S107" s="1">
        <f xml:space="preserve"> ( '2.2 Generelle input'!$N115 * '2.3 Selskabsspecifikke input'!S$322 +  '2.2 Generelle input'!$N135 * '2.3 Selskabsspecifikke input'!S$323 + '2.2 Generelle input'!$N155 * '2.3 Selskabsspecifikke input'!S$324 + '2.2 Generelle input'!$N175 * '2.3 Selskabsspecifikke input'!S$326 )</f>
        <v>0</v>
      </c>
      <c r="T107" s="1">
        <f xml:space="preserve"> ( '2.2 Generelle input'!$N115 * '2.3 Selskabsspecifikke input'!T$322 +  '2.2 Generelle input'!$N135 * '2.3 Selskabsspecifikke input'!T$323 + '2.2 Generelle input'!$N155 * '2.3 Selskabsspecifikke input'!T$324 + '2.2 Generelle input'!$N175 * '2.3 Selskabsspecifikke input'!T$326 )</f>
        <v>0</v>
      </c>
      <c r="U107" s="1">
        <f xml:space="preserve"> ( '2.2 Generelle input'!$N115 * '2.3 Selskabsspecifikke input'!U$322 +  '2.2 Generelle input'!$N135 * '2.3 Selskabsspecifikke input'!U$323 + '2.2 Generelle input'!$N155 * '2.3 Selskabsspecifikke input'!U$324 + '2.2 Generelle input'!$N175 * '2.3 Selskabsspecifikke input'!U$326 )</f>
        <v>0</v>
      </c>
      <c r="V107" s="1">
        <f xml:space="preserve"> ( '2.2 Generelle input'!$N115 * '2.3 Selskabsspecifikke input'!V$322 +  '2.2 Generelle input'!$N135 * '2.3 Selskabsspecifikke input'!V$323 + '2.2 Generelle input'!$N155 * '2.3 Selskabsspecifikke input'!V$324 + '2.2 Generelle input'!$N175 * '2.3 Selskabsspecifikke input'!V$326 )</f>
        <v>0</v>
      </c>
      <c r="W107" s="4">
        <f xml:space="preserve"> SUM( R107:V107 )</f>
        <v>0</v>
      </c>
    </row>
    <row r="108" spans="4:23" ht="15" customHeight="1">
      <c r="D108" s="99" t="str">
        <f xml:space="preserve"> '2.1 Model setup'!K87</f>
        <v>7.3 Målere (forrentning)</v>
      </c>
      <c r="E108" s="27"/>
      <c r="F108" s="27"/>
      <c r="G108" s="27"/>
      <c r="H108" s="27"/>
      <c r="I108" s="27"/>
      <c r="J108" s="27"/>
      <c r="K108" s="32" t="s">
        <v>3</v>
      </c>
      <c r="L108" s="27"/>
      <c r="M108" s="27"/>
      <c r="N108" s="27"/>
      <c r="O108" s="269"/>
      <c r="P108" s="269"/>
      <c r="Q108" s="269"/>
      <c r="R108" s="460">
        <f xml:space="preserve"> ( '2.2 Generelle input'!$N116 * ( '2.3 Selskabsspecifikke input'!Q$322 +  '2.3 Selskabsspecifikke input'!R$322 ) +  '2.2 Generelle input'!$N136 * ( '2.3 Selskabsspecifikke input'!Q$323 +  '2.3 Selskabsspecifikke input'!R$323 ) + '2.2 Generelle input'!$N156 * ( '2.3 Selskabsspecifikke input'!Q$324 +  '2.3 Selskabsspecifikke input'!R$324 ) + '2.2 Generelle input'!$N176 * ( '2.3 Selskabsspecifikke input'!Q$326 +  '2.3 Selskabsspecifikke input'!R$326 ) )</f>
        <v>0</v>
      </c>
      <c r="S108" s="27">
        <f xml:space="preserve"> ( '2.2 Generelle input'!$N116 * '2.3 Selskabsspecifikke input'!S$322 +  '2.2 Generelle input'!$N136 * '2.3 Selskabsspecifikke input'!S$323 + '2.2 Generelle input'!$N156 * '2.3 Selskabsspecifikke input'!S$324 + '2.2 Generelle input'!$N176 * '2.3 Selskabsspecifikke input'!S$326 )</f>
        <v>0</v>
      </c>
      <c r="T108" s="27">
        <f xml:space="preserve"> ( '2.2 Generelle input'!$N116 * '2.3 Selskabsspecifikke input'!T$322 +  '2.2 Generelle input'!$N136 * '2.3 Selskabsspecifikke input'!T$323 + '2.2 Generelle input'!$N156 * '2.3 Selskabsspecifikke input'!T$324 + '2.2 Generelle input'!$N176 * '2.3 Selskabsspecifikke input'!T$326 )</f>
        <v>0</v>
      </c>
      <c r="U108" s="27">
        <f xml:space="preserve"> ( '2.2 Generelle input'!$N116 * '2.3 Selskabsspecifikke input'!U$322 +  '2.2 Generelle input'!$N136 * '2.3 Selskabsspecifikke input'!U$323 + '2.2 Generelle input'!$N156 * '2.3 Selskabsspecifikke input'!U$324 + '2.2 Generelle input'!$N176 * '2.3 Selskabsspecifikke input'!U$326 )</f>
        <v>0</v>
      </c>
      <c r="V108" s="27">
        <f xml:space="preserve"> ( '2.2 Generelle input'!$N116 * '2.3 Selskabsspecifikke input'!V$322 +  '2.2 Generelle input'!$N136 * '2.3 Selskabsspecifikke input'!V$323 + '2.2 Generelle input'!$N156 * '2.3 Selskabsspecifikke input'!V$324 + '2.2 Generelle input'!$N176 * '2.3 Selskabsspecifikke input'!V$326 )</f>
        <v>0</v>
      </c>
      <c r="W108" s="35">
        <f t="shared" si="9"/>
        <v>0</v>
      </c>
    </row>
    <row r="109" spans="4:23" ht="15" customHeight="1">
      <c r="D109" s="1"/>
    </row>
    <row r="110" spans="4:23" ht="15" customHeight="1">
      <c r="D110" s="1"/>
    </row>
    <row r="111" spans="4:23" ht="15" customHeight="1">
      <c r="D111" s="97" t="s">
        <v>66</v>
      </c>
      <c r="E111" s="27"/>
      <c r="F111" s="27"/>
      <c r="G111" s="27"/>
      <c r="H111" s="27"/>
      <c r="I111" s="27"/>
      <c r="J111" s="27"/>
      <c r="K111" s="32"/>
      <c r="L111" s="27"/>
      <c r="M111" s="27"/>
      <c r="N111" s="185"/>
      <c r="O111" s="185"/>
      <c r="P111" s="185"/>
      <c r="Q111" s="185"/>
      <c r="R111" s="27"/>
      <c r="S111" s="27"/>
      <c r="T111" s="27"/>
      <c r="U111" s="27"/>
      <c r="V111" s="27"/>
      <c r="W111" s="185" t="s">
        <v>16</v>
      </c>
    </row>
    <row r="112" spans="4:23" ht="15" customHeight="1">
      <c r="D112" s="85" t="str">
        <f xml:space="preserve"> '2.1 Model setup'!K70</f>
        <v>1.1 Drift og vedligeholdelse af transformerstationer</v>
      </c>
      <c r="F112" s="121"/>
      <c r="G112" s="121"/>
      <c r="H112" s="121"/>
      <c r="I112" s="121"/>
      <c r="J112" s="121"/>
      <c r="K112" s="5" t="str">
        <f t="shared" ref="K112:K126" si="10" xml:space="preserve"> Model.Units</f>
        <v>DKKt</v>
      </c>
      <c r="N112" s="15"/>
      <c r="O112" s="202"/>
      <c r="P112" s="202"/>
      <c r="Q112" s="202"/>
      <c r="R112" s="1">
        <f t="shared" ref="R112:V126" si="11" xml:space="preserve"> R91 * R$55 / tDKKtilDKK</f>
        <v>0</v>
      </c>
      <c r="S112" s="1">
        <f t="shared" si="11"/>
        <v>0</v>
      </c>
      <c r="T112" s="1">
        <f t="shared" si="11"/>
        <v>0</v>
      </c>
      <c r="U112" s="1">
        <f t="shared" si="11"/>
        <v>0</v>
      </c>
      <c r="V112" s="1">
        <f t="shared" si="11"/>
        <v>0</v>
      </c>
      <c r="W112" s="4">
        <f xml:space="preserve"> SUM( R112:V112 )</f>
        <v>0</v>
      </c>
    </row>
    <row r="113" spans="4:23" ht="15" customHeight="1">
      <c r="D113" s="85" t="str">
        <f xml:space="preserve"> '2.1 Model setup'!K71</f>
        <v>1.2 Drift og vedligeholdelse af ledningsnet</v>
      </c>
      <c r="F113" s="121"/>
      <c r="G113" s="121"/>
      <c r="H113" s="121"/>
      <c r="I113" s="121"/>
      <c r="J113" s="121"/>
      <c r="K113" s="5" t="str">
        <f t="shared" si="10"/>
        <v>DKKt</v>
      </c>
      <c r="O113" s="202"/>
      <c r="P113" s="202"/>
      <c r="Q113" s="202"/>
      <c r="R113" s="1">
        <f t="shared" si="11"/>
        <v>0</v>
      </c>
      <c r="S113" s="1">
        <f t="shared" si="11"/>
        <v>0</v>
      </c>
      <c r="T113" s="1">
        <f t="shared" si="11"/>
        <v>0</v>
      </c>
      <c r="U113" s="1">
        <f t="shared" si="11"/>
        <v>0</v>
      </c>
      <c r="V113" s="1">
        <f t="shared" si="11"/>
        <v>0</v>
      </c>
      <c r="W113" s="4">
        <f t="shared" ref="W113:W126" si="12" xml:space="preserve"> SUM( R113:V113 )</f>
        <v>0</v>
      </c>
    </row>
    <row r="114" spans="4:23" ht="15" customHeight="1">
      <c r="D114" s="85" t="str">
        <f xml:space="preserve"> '2.1 Model setup'!K72</f>
        <v>1.3 Øvrige omkostninger til drift, styring og kontrol af elnettet</v>
      </c>
      <c r="F114" s="121"/>
      <c r="G114" s="121"/>
      <c r="H114" s="121"/>
      <c r="I114" s="121"/>
      <c r="J114" s="121"/>
      <c r="K114" s="5" t="str">
        <f t="shared" si="10"/>
        <v>DKKt</v>
      </c>
      <c r="O114" s="202"/>
      <c r="P114" s="202"/>
      <c r="Q114" s="202"/>
      <c r="R114" s="1">
        <f t="shared" si="11"/>
        <v>0</v>
      </c>
      <c r="S114" s="1">
        <f t="shared" si="11"/>
        <v>0</v>
      </c>
      <c r="T114" s="1">
        <f t="shared" si="11"/>
        <v>0</v>
      </c>
      <c r="U114" s="1">
        <f t="shared" si="11"/>
        <v>0</v>
      </c>
      <c r="V114" s="1">
        <f t="shared" si="11"/>
        <v>0</v>
      </c>
      <c r="W114" s="4">
        <f t="shared" si="12"/>
        <v>0</v>
      </c>
    </row>
    <row r="115" spans="4:23" ht="15" customHeight="1">
      <c r="D115" s="85" t="str">
        <f xml:space="preserve"> '2.1 Model setup'!K73</f>
        <v>1.4 Omkostninger vedrørende 132-150/30-60 kV-stationer</v>
      </c>
      <c r="F115" s="121"/>
      <c r="G115" s="121"/>
      <c r="H115" s="121"/>
      <c r="I115" s="121"/>
      <c r="J115" s="121"/>
      <c r="K115" s="5" t="str">
        <f t="shared" si="10"/>
        <v>DKKt</v>
      </c>
      <c r="O115" s="202"/>
      <c r="P115" s="202"/>
      <c r="Q115" s="202"/>
      <c r="R115" s="1">
        <f t="shared" si="11"/>
        <v>0</v>
      </c>
      <c r="S115" s="1">
        <f t="shared" si="11"/>
        <v>0</v>
      </c>
      <c r="T115" s="1">
        <f t="shared" si="11"/>
        <v>0</v>
      </c>
      <c r="U115" s="1">
        <f t="shared" si="11"/>
        <v>0</v>
      </c>
      <c r="V115" s="1">
        <f t="shared" si="11"/>
        <v>0</v>
      </c>
      <c r="W115" s="4">
        <f xml:space="preserve"> SUM( R115:V115 )</f>
        <v>0</v>
      </c>
    </row>
    <row r="116" spans="4:23" ht="15" customHeight="1">
      <c r="D116" s="85" t="str">
        <f xml:space="preserve"> '2.1 Model setup'!K74</f>
        <v>2.1 Drift og vedligeholdelse af målere</v>
      </c>
      <c r="F116" s="121"/>
      <c r="G116" s="121"/>
      <c r="H116" s="121"/>
      <c r="I116" s="121"/>
      <c r="J116" s="121"/>
      <c r="K116" s="5" t="str">
        <f t="shared" si="10"/>
        <v>DKKt</v>
      </c>
      <c r="O116" s="202"/>
      <c r="P116" s="202"/>
      <c r="Q116" s="202"/>
      <c r="R116" s="1">
        <f t="shared" si="11"/>
        <v>0</v>
      </c>
      <c r="S116" s="1">
        <f t="shared" si="11"/>
        <v>0</v>
      </c>
      <c r="T116" s="1">
        <f t="shared" si="11"/>
        <v>0</v>
      </c>
      <c r="U116" s="1">
        <f t="shared" si="11"/>
        <v>0</v>
      </c>
      <c r="V116" s="1">
        <f t="shared" si="11"/>
        <v>0</v>
      </c>
      <c r="W116" s="4">
        <f t="shared" si="12"/>
        <v>0</v>
      </c>
    </row>
    <row r="117" spans="4:23" ht="15" customHeight="1">
      <c r="D117" s="85" t="str">
        <f xml:space="preserve"> '2.1 Model setup'!K75</f>
        <v>2.2 Indhentning og validering af målerdata</v>
      </c>
      <c r="F117" s="121"/>
      <c r="G117" s="121"/>
      <c r="H117" s="121"/>
      <c r="I117" s="121"/>
      <c r="J117" s="121"/>
      <c r="K117" s="5" t="str">
        <f t="shared" si="10"/>
        <v>DKKt</v>
      </c>
      <c r="O117" s="202"/>
      <c r="P117" s="202"/>
      <c r="Q117" s="202"/>
      <c r="R117" s="1">
        <f t="shared" si="11"/>
        <v>0</v>
      </c>
      <c r="S117" s="1">
        <f t="shared" si="11"/>
        <v>0</v>
      </c>
      <c r="T117" s="1">
        <f t="shared" si="11"/>
        <v>0</v>
      </c>
      <c r="U117" s="1">
        <f t="shared" si="11"/>
        <v>0</v>
      </c>
      <c r="V117" s="1">
        <f t="shared" si="11"/>
        <v>0</v>
      </c>
      <c r="W117" s="4">
        <f t="shared" si="12"/>
        <v>0</v>
      </c>
    </row>
    <row r="118" spans="4:23" ht="15" customHeight="1">
      <c r="D118" s="85" t="str">
        <f xml:space="preserve"> '2.1 Model setup'!K76</f>
        <v>2.3 Måleradministration og kundehåndtering</v>
      </c>
      <c r="F118" s="121"/>
      <c r="G118" s="121"/>
      <c r="H118" s="121"/>
      <c r="I118" s="121"/>
      <c r="J118" s="121"/>
      <c r="K118" s="5" t="str">
        <f t="shared" si="10"/>
        <v>DKKt</v>
      </c>
      <c r="O118" s="202"/>
      <c r="P118" s="202"/>
      <c r="Q118" s="202"/>
      <c r="R118" s="1">
        <f t="shared" si="11"/>
        <v>0</v>
      </c>
      <c r="S118" s="1">
        <f t="shared" si="11"/>
        <v>0</v>
      </c>
      <c r="T118" s="1">
        <f t="shared" si="11"/>
        <v>0</v>
      </c>
      <c r="U118" s="1">
        <f t="shared" si="11"/>
        <v>0</v>
      </c>
      <c r="V118" s="1">
        <f t="shared" si="11"/>
        <v>0</v>
      </c>
      <c r="W118" s="4">
        <f t="shared" si="12"/>
        <v>0</v>
      </c>
    </row>
    <row r="119" spans="4:23" ht="15" customHeight="1">
      <c r="D119" s="85" t="str">
        <f xml:space="preserve"> '2.1 Model setup'!K77</f>
        <v>3.1 Generel administration</v>
      </c>
      <c r="F119" s="121"/>
      <c r="G119" s="121"/>
      <c r="H119" s="121"/>
      <c r="I119" s="121"/>
      <c r="J119" s="121"/>
      <c r="K119" s="5" t="str">
        <f t="shared" si="10"/>
        <v>DKKt</v>
      </c>
      <c r="O119" s="202"/>
      <c r="P119" s="202"/>
      <c r="Q119" s="202"/>
      <c r="R119" s="1">
        <f t="shared" si="11"/>
        <v>0</v>
      </c>
      <c r="S119" s="1">
        <f t="shared" si="11"/>
        <v>0</v>
      </c>
      <c r="T119" s="1">
        <f t="shared" si="11"/>
        <v>0</v>
      </c>
      <c r="U119" s="1">
        <f t="shared" si="11"/>
        <v>0</v>
      </c>
      <c r="V119" s="1">
        <f t="shared" si="11"/>
        <v>0</v>
      </c>
      <c r="W119" s="4">
        <f t="shared" si="12"/>
        <v>0</v>
      </c>
    </row>
    <row r="120" spans="4:23" ht="15" customHeight="1">
      <c r="D120" s="85" t="str">
        <f xml:space="preserve"> '2.1 Model setup'!K78</f>
        <v>4.1 Omkostninger vedrørende nettab i transformerstationer</v>
      </c>
      <c r="F120" s="121"/>
      <c r="G120" s="121"/>
      <c r="H120" s="121"/>
      <c r="I120" s="121"/>
      <c r="J120" s="121"/>
      <c r="K120" s="5" t="str">
        <f t="shared" si="10"/>
        <v>DKKt</v>
      </c>
      <c r="O120" s="202"/>
      <c r="P120" s="202"/>
      <c r="Q120" s="202"/>
      <c r="R120" s="1">
        <f t="shared" si="11"/>
        <v>0</v>
      </c>
      <c r="S120" s="1">
        <f t="shared" si="11"/>
        <v>0</v>
      </c>
      <c r="T120" s="1">
        <f t="shared" si="11"/>
        <v>0</v>
      </c>
      <c r="U120" s="1">
        <f t="shared" si="11"/>
        <v>0</v>
      </c>
      <c r="V120" s="1">
        <f t="shared" si="11"/>
        <v>0</v>
      </c>
      <c r="W120" s="4">
        <f t="shared" si="12"/>
        <v>0</v>
      </c>
    </row>
    <row r="121" spans="4:23" ht="15" customHeight="1">
      <c r="D121" s="85" t="str">
        <f xml:space="preserve"> '2.1 Model setup'!K79</f>
        <v>4.2 Omkostninger vedrørende nettab i ledningsnettet</v>
      </c>
      <c r="F121" s="121"/>
      <c r="G121" s="121"/>
      <c r="H121" s="121"/>
      <c r="I121" s="121"/>
      <c r="J121" s="121"/>
      <c r="K121" s="5" t="str">
        <f t="shared" si="10"/>
        <v>DKKt</v>
      </c>
      <c r="O121" s="202"/>
      <c r="P121" s="202"/>
      <c r="Q121" s="202"/>
      <c r="R121" s="1">
        <f t="shared" si="11"/>
        <v>0</v>
      </c>
      <c r="S121" s="1">
        <f t="shared" si="11"/>
        <v>0</v>
      </c>
      <c r="T121" s="1">
        <f t="shared" si="11"/>
        <v>0</v>
      </c>
      <c r="U121" s="1">
        <f t="shared" si="11"/>
        <v>0</v>
      </c>
      <c r="V121" s="1">
        <f t="shared" si="11"/>
        <v>0</v>
      </c>
      <c r="W121" s="4">
        <f t="shared" si="12"/>
        <v>0</v>
      </c>
    </row>
    <row r="122" spans="4:23" ht="15" customHeight="1">
      <c r="D122" s="85" t="str">
        <f xml:space="preserve"> '2.1 Model setup'!K80</f>
        <v>5.1 Omkostninger til overliggende net ifm. forbrug</v>
      </c>
      <c r="F122" s="121"/>
      <c r="G122" s="121"/>
      <c r="H122" s="121"/>
      <c r="I122" s="121"/>
      <c r="J122" s="121"/>
      <c r="K122" s="5" t="str">
        <f t="shared" si="10"/>
        <v>DKKt</v>
      </c>
      <c r="O122" s="202"/>
      <c r="P122" s="202"/>
      <c r="Q122" s="202"/>
      <c r="R122" s="1">
        <f t="shared" si="11"/>
        <v>0</v>
      </c>
      <c r="S122" s="1">
        <f t="shared" si="11"/>
        <v>0</v>
      </c>
      <c r="T122" s="1">
        <f t="shared" si="11"/>
        <v>0</v>
      </c>
      <c r="U122" s="1">
        <f t="shared" si="11"/>
        <v>0</v>
      </c>
      <c r="V122" s="1">
        <f t="shared" si="11"/>
        <v>0</v>
      </c>
      <c r="W122" s="4">
        <f xml:space="preserve"> SUM( R122:V122 )</f>
        <v>0</v>
      </c>
    </row>
    <row r="123" spans="4:23" ht="15" customHeight="1">
      <c r="D123" s="85" t="str">
        <f xml:space="preserve"> '2.1 Model setup'!K81</f>
        <v>5.2 Øvrige omkostninger</v>
      </c>
      <c r="F123" s="121"/>
      <c r="G123" s="121"/>
      <c r="H123" s="121"/>
      <c r="I123" s="121"/>
      <c r="J123" s="121"/>
      <c r="K123" s="5" t="str">
        <f t="shared" si="10"/>
        <v>DKKt</v>
      </c>
      <c r="O123" s="202"/>
      <c r="P123" s="202"/>
      <c r="Q123" s="202"/>
      <c r="R123" s="1">
        <f t="shared" si="11"/>
        <v>0</v>
      </c>
      <c r="S123" s="1">
        <f t="shared" si="11"/>
        <v>0</v>
      </c>
      <c r="T123" s="1">
        <f t="shared" si="11"/>
        <v>0</v>
      </c>
      <c r="U123" s="1">
        <f t="shared" si="11"/>
        <v>0</v>
      </c>
      <c r="V123" s="1">
        <f t="shared" si="11"/>
        <v>0</v>
      </c>
      <c r="W123" s="4">
        <f t="shared" si="12"/>
        <v>0</v>
      </c>
    </row>
    <row r="124" spans="4:23" ht="15" customHeight="1">
      <c r="D124" s="85" t="str">
        <f xml:space="preserve"> '2.1 Model setup'!K82</f>
        <v>6.1 Afskrivninger på transformerstationer</v>
      </c>
      <c r="F124" s="121"/>
      <c r="G124" s="121"/>
      <c r="H124" s="121"/>
      <c r="I124" s="121"/>
      <c r="J124" s="121"/>
      <c r="K124" s="5" t="str">
        <f t="shared" si="10"/>
        <v>DKKt</v>
      </c>
      <c r="O124" s="202"/>
      <c r="P124" s="202"/>
      <c r="Q124" s="202"/>
      <c r="R124" s="1">
        <f t="shared" si="11"/>
        <v>0</v>
      </c>
      <c r="S124" s="1">
        <f t="shared" si="11"/>
        <v>0</v>
      </c>
      <c r="T124" s="1">
        <f t="shared" si="11"/>
        <v>0</v>
      </c>
      <c r="U124" s="1">
        <f t="shared" si="11"/>
        <v>0</v>
      </c>
      <c r="V124" s="1">
        <f t="shared" si="11"/>
        <v>0</v>
      </c>
      <c r="W124" s="4">
        <f t="shared" si="12"/>
        <v>0</v>
      </c>
    </row>
    <row r="125" spans="4:23" ht="15" customHeight="1">
      <c r="D125" s="85" t="str">
        <f xml:space="preserve"> '2.1 Model setup'!K83</f>
        <v>6.2 Afskrivninger på netaktiver ekskl. målere og transformerstationer</v>
      </c>
      <c r="F125" s="121"/>
      <c r="G125" s="121"/>
      <c r="H125" s="121"/>
      <c r="I125" s="121"/>
      <c r="J125" s="121"/>
      <c r="K125" s="5" t="str">
        <f t="shared" si="10"/>
        <v>DKKt</v>
      </c>
      <c r="O125" s="202"/>
      <c r="P125" s="202"/>
      <c r="Q125" s="202"/>
      <c r="R125" s="1">
        <f t="shared" si="11"/>
        <v>0</v>
      </c>
      <c r="S125" s="1">
        <f t="shared" si="11"/>
        <v>0</v>
      </c>
      <c r="T125" s="1">
        <f t="shared" si="11"/>
        <v>0</v>
      </c>
      <c r="U125" s="1">
        <f t="shared" si="11"/>
        <v>0</v>
      </c>
      <c r="V125" s="1">
        <f t="shared" si="11"/>
        <v>0</v>
      </c>
      <c r="W125" s="4">
        <f t="shared" si="12"/>
        <v>0</v>
      </c>
    </row>
    <row r="126" spans="4:23" ht="15" customHeight="1">
      <c r="D126" s="99" t="str">
        <f xml:space="preserve"> '2.1 Model setup'!K84</f>
        <v>6.3 Afskrivninger på målere</v>
      </c>
      <c r="E126" s="27"/>
      <c r="F126" s="131"/>
      <c r="G126" s="131"/>
      <c r="H126" s="131"/>
      <c r="I126" s="131"/>
      <c r="J126" s="131"/>
      <c r="K126" s="32" t="str">
        <f t="shared" si="10"/>
        <v>DKKt</v>
      </c>
      <c r="L126" s="27"/>
      <c r="M126" s="27"/>
      <c r="N126" s="27"/>
      <c r="O126" s="269"/>
      <c r="P126" s="269"/>
      <c r="Q126" s="269"/>
      <c r="R126" s="27">
        <f t="shared" si="11"/>
        <v>0</v>
      </c>
      <c r="S126" s="27">
        <f t="shared" si="11"/>
        <v>0</v>
      </c>
      <c r="T126" s="27">
        <f t="shared" si="11"/>
        <v>0</v>
      </c>
      <c r="U126" s="27">
        <f t="shared" si="11"/>
        <v>0</v>
      </c>
      <c r="V126" s="27">
        <f t="shared" si="11"/>
        <v>0</v>
      </c>
      <c r="W126" s="35">
        <f t="shared" si="12"/>
        <v>0</v>
      </c>
    </row>
    <row r="127" spans="4:23" ht="15" customHeight="1">
      <c r="D127" s="1"/>
    </row>
    <row r="128" spans="4:23" ht="15" customHeight="1">
      <c r="D128" s="97" t="s">
        <v>67</v>
      </c>
      <c r="E128" s="27"/>
      <c r="F128" s="27"/>
      <c r="G128" s="27"/>
      <c r="H128" s="27"/>
      <c r="I128" s="27"/>
      <c r="J128" s="27"/>
      <c r="K128" s="32"/>
      <c r="L128" s="27"/>
      <c r="M128" s="27"/>
      <c r="N128" s="185"/>
      <c r="O128" s="185"/>
      <c r="P128" s="185"/>
      <c r="Q128" s="185"/>
      <c r="R128" s="27"/>
      <c r="S128" s="27"/>
      <c r="T128" s="27"/>
      <c r="U128" s="27"/>
      <c r="V128" s="27"/>
      <c r="W128" s="185" t="s">
        <v>16</v>
      </c>
    </row>
    <row r="129" spans="4:23" ht="15" customHeight="1">
      <c r="D129" s="85" t="str">
        <f xml:space="preserve"> '2.1 Model setup'!K70</f>
        <v>1.1 Drift og vedligeholdelse af transformerstationer</v>
      </c>
      <c r="F129" s="121"/>
      <c r="G129" s="121"/>
      <c r="H129" s="121"/>
      <c r="I129" s="121"/>
      <c r="J129" s="121"/>
      <c r="K129" s="5" t="str">
        <f t="shared" ref="K129:K143" si="13" xml:space="preserve"> Model.Units</f>
        <v>DKKt</v>
      </c>
      <c r="N129" s="15"/>
      <c r="O129" s="202"/>
      <c r="P129" s="202"/>
      <c r="Q129" s="202"/>
      <c r="R129" s="1">
        <f t="shared" ref="R129:V143" si="14" xml:space="preserve"> R91 * R$56 / tDKKtilDKK</f>
        <v>0</v>
      </c>
      <c r="S129" s="1">
        <f t="shared" si="14"/>
        <v>0</v>
      </c>
      <c r="T129" s="1">
        <f t="shared" si="14"/>
        <v>0</v>
      </c>
      <c r="U129" s="1">
        <f t="shared" si="14"/>
        <v>0</v>
      </c>
      <c r="V129" s="1">
        <f t="shared" si="14"/>
        <v>0</v>
      </c>
      <c r="W129" s="4">
        <f xml:space="preserve"> SUM( R129:V129 )</f>
        <v>0</v>
      </c>
    </row>
    <row r="130" spans="4:23" ht="15" customHeight="1">
      <c r="D130" s="85" t="str">
        <f xml:space="preserve"> '2.1 Model setup'!K71</f>
        <v>1.2 Drift og vedligeholdelse af ledningsnet</v>
      </c>
      <c r="F130" s="121"/>
      <c r="G130" s="121"/>
      <c r="H130" s="121"/>
      <c r="I130" s="121"/>
      <c r="J130" s="121"/>
      <c r="K130" s="5" t="str">
        <f t="shared" si="13"/>
        <v>DKKt</v>
      </c>
      <c r="O130" s="202"/>
      <c r="P130" s="202"/>
      <c r="Q130" s="202"/>
      <c r="R130" s="1">
        <f t="shared" si="14"/>
        <v>0</v>
      </c>
      <c r="S130" s="1">
        <f t="shared" si="14"/>
        <v>0</v>
      </c>
      <c r="T130" s="1">
        <f t="shared" si="14"/>
        <v>0</v>
      </c>
      <c r="U130" s="1">
        <f t="shared" si="14"/>
        <v>0</v>
      </c>
      <c r="V130" s="1">
        <f t="shared" si="14"/>
        <v>0</v>
      </c>
      <c r="W130" s="4">
        <f t="shared" ref="W130:W143" si="15" xml:space="preserve"> SUM( R130:V130 )</f>
        <v>0</v>
      </c>
    </row>
    <row r="131" spans="4:23" ht="15" customHeight="1">
      <c r="D131" s="85" t="str">
        <f xml:space="preserve"> '2.1 Model setup'!K72</f>
        <v>1.3 Øvrige omkostninger til drift, styring og kontrol af elnettet</v>
      </c>
      <c r="F131" s="121"/>
      <c r="G131" s="121"/>
      <c r="H131" s="121"/>
      <c r="I131" s="121"/>
      <c r="J131" s="121"/>
      <c r="K131" s="5" t="str">
        <f t="shared" si="13"/>
        <v>DKKt</v>
      </c>
      <c r="O131" s="202"/>
      <c r="P131" s="202"/>
      <c r="Q131" s="202"/>
      <c r="R131" s="1">
        <f t="shared" si="14"/>
        <v>0</v>
      </c>
      <c r="S131" s="1">
        <f t="shared" si="14"/>
        <v>0</v>
      </c>
      <c r="T131" s="1">
        <f t="shared" si="14"/>
        <v>0</v>
      </c>
      <c r="U131" s="1">
        <f t="shared" si="14"/>
        <v>0</v>
      </c>
      <c r="V131" s="1">
        <f t="shared" si="14"/>
        <v>0</v>
      </c>
      <c r="W131" s="4">
        <f t="shared" si="15"/>
        <v>0</v>
      </c>
    </row>
    <row r="132" spans="4:23" ht="15" customHeight="1">
      <c r="D132" s="85" t="str">
        <f xml:space="preserve"> '2.1 Model setup'!K73</f>
        <v>1.4 Omkostninger vedrørende 132-150/30-60 kV-stationer</v>
      </c>
      <c r="F132" s="121"/>
      <c r="G132" s="121"/>
      <c r="H132" s="121"/>
      <c r="I132" s="121"/>
      <c r="J132" s="121"/>
      <c r="K132" s="5" t="str">
        <f t="shared" si="13"/>
        <v>DKKt</v>
      </c>
      <c r="O132" s="202"/>
      <c r="P132" s="202"/>
      <c r="Q132" s="202"/>
      <c r="R132" s="1">
        <f t="shared" si="14"/>
        <v>0</v>
      </c>
      <c r="S132" s="1">
        <f t="shared" si="14"/>
        <v>0</v>
      </c>
      <c r="T132" s="1">
        <f t="shared" si="14"/>
        <v>0</v>
      </c>
      <c r="U132" s="1">
        <f t="shared" si="14"/>
        <v>0</v>
      </c>
      <c r="V132" s="1">
        <f t="shared" si="14"/>
        <v>0</v>
      </c>
      <c r="W132" s="4">
        <f xml:space="preserve"> SUM( R132:V132 )</f>
        <v>0</v>
      </c>
    </row>
    <row r="133" spans="4:23" ht="15" customHeight="1">
      <c r="D133" s="85" t="str">
        <f xml:space="preserve"> '2.1 Model setup'!K74</f>
        <v>2.1 Drift og vedligeholdelse af målere</v>
      </c>
      <c r="F133" s="121"/>
      <c r="G133" s="121"/>
      <c r="H133" s="121"/>
      <c r="I133" s="121"/>
      <c r="J133" s="121"/>
      <c r="K133" s="5" t="str">
        <f t="shared" si="13"/>
        <v>DKKt</v>
      </c>
      <c r="O133" s="202"/>
      <c r="P133" s="202"/>
      <c r="Q133" s="202"/>
      <c r="R133" s="1">
        <f t="shared" si="14"/>
        <v>0</v>
      </c>
      <c r="S133" s="1">
        <f t="shared" si="14"/>
        <v>0</v>
      </c>
      <c r="T133" s="1">
        <f t="shared" si="14"/>
        <v>0</v>
      </c>
      <c r="U133" s="1">
        <f t="shared" si="14"/>
        <v>0</v>
      </c>
      <c r="V133" s="1">
        <f t="shared" si="14"/>
        <v>0</v>
      </c>
      <c r="W133" s="4">
        <f t="shared" si="15"/>
        <v>0</v>
      </c>
    </row>
    <row r="134" spans="4:23" ht="15" customHeight="1">
      <c r="D134" s="85" t="str">
        <f xml:space="preserve"> '2.1 Model setup'!K75</f>
        <v>2.2 Indhentning og validering af målerdata</v>
      </c>
      <c r="F134" s="121"/>
      <c r="G134" s="121"/>
      <c r="H134" s="121"/>
      <c r="I134" s="121"/>
      <c r="J134" s="121"/>
      <c r="K134" s="5" t="str">
        <f t="shared" si="13"/>
        <v>DKKt</v>
      </c>
      <c r="O134" s="202"/>
      <c r="P134" s="202"/>
      <c r="Q134" s="202"/>
      <c r="R134" s="1">
        <f t="shared" si="14"/>
        <v>0</v>
      </c>
      <c r="S134" s="1">
        <f t="shared" si="14"/>
        <v>0</v>
      </c>
      <c r="T134" s="1">
        <f t="shared" si="14"/>
        <v>0</v>
      </c>
      <c r="U134" s="1">
        <f t="shared" si="14"/>
        <v>0</v>
      </c>
      <c r="V134" s="1">
        <f t="shared" si="14"/>
        <v>0</v>
      </c>
      <c r="W134" s="4">
        <f t="shared" si="15"/>
        <v>0</v>
      </c>
    </row>
    <row r="135" spans="4:23" ht="15" customHeight="1">
      <c r="D135" s="85" t="str">
        <f xml:space="preserve"> '2.1 Model setup'!K76</f>
        <v>2.3 Måleradministration og kundehåndtering</v>
      </c>
      <c r="F135" s="121"/>
      <c r="G135" s="121"/>
      <c r="H135" s="121"/>
      <c r="I135" s="121"/>
      <c r="J135" s="121"/>
      <c r="K135" s="5" t="str">
        <f t="shared" si="13"/>
        <v>DKKt</v>
      </c>
      <c r="O135" s="202"/>
      <c r="P135" s="202"/>
      <c r="Q135" s="202"/>
      <c r="R135" s="1">
        <f t="shared" si="14"/>
        <v>0</v>
      </c>
      <c r="S135" s="1">
        <f t="shared" si="14"/>
        <v>0</v>
      </c>
      <c r="T135" s="1">
        <f t="shared" si="14"/>
        <v>0</v>
      </c>
      <c r="U135" s="1">
        <f t="shared" si="14"/>
        <v>0</v>
      </c>
      <c r="V135" s="1">
        <f t="shared" si="14"/>
        <v>0</v>
      </c>
      <c r="W135" s="4">
        <f t="shared" si="15"/>
        <v>0</v>
      </c>
    </row>
    <row r="136" spans="4:23" ht="15" customHeight="1">
      <c r="D136" s="85" t="str">
        <f xml:space="preserve"> '2.1 Model setup'!K77</f>
        <v>3.1 Generel administration</v>
      </c>
      <c r="F136" s="121"/>
      <c r="G136" s="121"/>
      <c r="H136" s="121"/>
      <c r="I136" s="121"/>
      <c r="J136" s="121"/>
      <c r="K136" s="5" t="str">
        <f t="shared" si="13"/>
        <v>DKKt</v>
      </c>
      <c r="O136" s="202"/>
      <c r="P136" s="202"/>
      <c r="Q136" s="202"/>
      <c r="R136" s="1">
        <f t="shared" si="14"/>
        <v>0</v>
      </c>
      <c r="S136" s="1">
        <f t="shared" si="14"/>
        <v>0</v>
      </c>
      <c r="T136" s="1">
        <f t="shared" si="14"/>
        <v>0</v>
      </c>
      <c r="U136" s="1">
        <f t="shared" si="14"/>
        <v>0</v>
      </c>
      <c r="V136" s="1">
        <f t="shared" si="14"/>
        <v>0</v>
      </c>
      <c r="W136" s="4">
        <f t="shared" si="15"/>
        <v>0</v>
      </c>
    </row>
    <row r="137" spans="4:23" ht="15" customHeight="1">
      <c r="D137" s="85" t="str">
        <f xml:space="preserve"> '2.1 Model setup'!K78</f>
        <v>4.1 Omkostninger vedrørende nettab i transformerstationer</v>
      </c>
      <c r="F137" s="121"/>
      <c r="G137" s="121"/>
      <c r="H137" s="121"/>
      <c r="I137" s="121"/>
      <c r="J137" s="121"/>
      <c r="K137" s="5" t="str">
        <f t="shared" si="13"/>
        <v>DKKt</v>
      </c>
      <c r="O137" s="202"/>
      <c r="P137" s="202"/>
      <c r="Q137" s="202"/>
      <c r="R137" s="1">
        <f t="shared" si="14"/>
        <v>0</v>
      </c>
      <c r="S137" s="1">
        <f t="shared" si="14"/>
        <v>0</v>
      </c>
      <c r="T137" s="1">
        <f t="shared" si="14"/>
        <v>0</v>
      </c>
      <c r="U137" s="1">
        <f t="shared" si="14"/>
        <v>0</v>
      </c>
      <c r="V137" s="1">
        <f t="shared" si="14"/>
        <v>0</v>
      </c>
      <c r="W137" s="4">
        <f t="shared" si="15"/>
        <v>0</v>
      </c>
    </row>
    <row r="138" spans="4:23" ht="15" customHeight="1">
      <c r="D138" s="85" t="str">
        <f xml:space="preserve"> '2.1 Model setup'!K79</f>
        <v>4.2 Omkostninger vedrørende nettab i ledningsnettet</v>
      </c>
      <c r="F138" s="121"/>
      <c r="G138" s="121"/>
      <c r="H138" s="121"/>
      <c r="I138" s="121"/>
      <c r="J138" s="121"/>
      <c r="K138" s="5" t="str">
        <f t="shared" si="13"/>
        <v>DKKt</v>
      </c>
      <c r="O138" s="202"/>
      <c r="P138" s="202"/>
      <c r="Q138" s="202"/>
      <c r="R138" s="1">
        <f t="shared" si="14"/>
        <v>0</v>
      </c>
      <c r="S138" s="1">
        <f t="shared" si="14"/>
        <v>0</v>
      </c>
      <c r="T138" s="1">
        <f t="shared" si="14"/>
        <v>0</v>
      </c>
      <c r="U138" s="1">
        <f t="shared" si="14"/>
        <v>0</v>
      </c>
      <c r="V138" s="1">
        <f t="shared" si="14"/>
        <v>0</v>
      </c>
      <c r="W138" s="4">
        <f t="shared" si="15"/>
        <v>0</v>
      </c>
    </row>
    <row r="139" spans="4:23" ht="15" customHeight="1">
      <c r="D139" s="85" t="str">
        <f xml:space="preserve"> '2.1 Model setup'!K80</f>
        <v>5.1 Omkostninger til overliggende net ifm. forbrug</v>
      </c>
      <c r="F139" s="121"/>
      <c r="G139" s="121"/>
      <c r="H139" s="121"/>
      <c r="I139" s="121"/>
      <c r="J139" s="121"/>
      <c r="K139" s="5" t="str">
        <f t="shared" si="13"/>
        <v>DKKt</v>
      </c>
      <c r="O139" s="202"/>
      <c r="P139" s="202"/>
      <c r="Q139" s="202"/>
      <c r="R139" s="1">
        <f t="shared" si="14"/>
        <v>0</v>
      </c>
      <c r="S139" s="1">
        <f t="shared" si="14"/>
        <v>0</v>
      </c>
      <c r="T139" s="1">
        <f t="shared" si="14"/>
        <v>0</v>
      </c>
      <c r="U139" s="1">
        <f t="shared" si="14"/>
        <v>0</v>
      </c>
      <c r="V139" s="1">
        <f t="shared" si="14"/>
        <v>0</v>
      </c>
      <c r="W139" s="4">
        <f xml:space="preserve"> SUM( R139:V139 )</f>
        <v>0</v>
      </c>
    </row>
    <row r="140" spans="4:23" ht="15" customHeight="1">
      <c r="D140" s="85" t="str">
        <f xml:space="preserve"> '2.1 Model setup'!K81</f>
        <v>5.2 Øvrige omkostninger</v>
      </c>
      <c r="F140" s="121"/>
      <c r="G140" s="121"/>
      <c r="H140" s="121"/>
      <c r="I140" s="121"/>
      <c r="J140" s="121"/>
      <c r="K140" s="5" t="str">
        <f t="shared" si="13"/>
        <v>DKKt</v>
      </c>
      <c r="O140" s="202"/>
      <c r="P140" s="202"/>
      <c r="Q140" s="202"/>
      <c r="R140" s="1">
        <f t="shared" si="14"/>
        <v>0</v>
      </c>
      <c r="S140" s="1">
        <f t="shared" si="14"/>
        <v>0</v>
      </c>
      <c r="T140" s="1">
        <f t="shared" si="14"/>
        <v>0</v>
      </c>
      <c r="U140" s="1">
        <f t="shared" si="14"/>
        <v>0</v>
      </c>
      <c r="V140" s="1">
        <f t="shared" si="14"/>
        <v>0</v>
      </c>
      <c r="W140" s="4">
        <f t="shared" si="15"/>
        <v>0</v>
      </c>
    </row>
    <row r="141" spans="4:23" ht="15" customHeight="1">
      <c r="D141" s="85" t="str">
        <f xml:space="preserve"> '2.1 Model setup'!K82</f>
        <v>6.1 Afskrivninger på transformerstationer</v>
      </c>
      <c r="F141" s="121"/>
      <c r="G141" s="121"/>
      <c r="H141" s="121"/>
      <c r="I141" s="121"/>
      <c r="J141" s="121"/>
      <c r="K141" s="5" t="str">
        <f t="shared" si="13"/>
        <v>DKKt</v>
      </c>
      <c r="O141" s="202"/>
      <c r="P141" s="202"/>
      <c r="Q141" s="202"/>
      <c r="R141" s="1">
        <f t="shared" si="14"/>
        <v>0</v>
      </c>
      <c r="S141" s="1">
        <f t="shared" si="14"/>
        <v>0</v>
      </c>
      <c r="T141" s="1">
        <f t="shared" si="14"/>
        <v>0</v>
      </c>
      <c r="U141" s="1">
        <f t="shared" si="14"/>
        <v>0</v>
      </c>
      <c r="V141" s="1">
        <f t="shared" si="14"/>
        <v>0</v>
      </c>
      <c r="W141" s="4">
        <f t="shared" si="15"/>
        <v>0</v>
      </c>
    </row>
    <row r="142" spans="4:23" ht="15" customHeight="1">
      <c r="D142" s="85" t="str">
        <f xml:space="preserve"> '2.1 Model setup'!K83</f>
        <v>6.2 Afskrivninger på netaktiver ekskl. målere og transformerstationer</v>
      </c>
      <c r="F142" s="121"/>
      <c r="G142" s="121"/>
      <c r="H142" s="121"/>
      <c r="I142" s="121"/>
      <c r="J142" s="121"/>
      <c r="K142" s="5" t="str">
        <f t="shared" si="13"/>
        <v>DKKt</v>
      </c>
      <c r="O142" s="202"/>
      <c r="P142" s="202"/>
      <c r="Q142" s="202"/>
      <c r="R142" s="1">
        <f t="shared" si="14"/>
        <v>0</v>
      </c>
      <c r="S142" s="1">
        <f t="shared" si="14"/>
        <v>0</v>
      </c>
      <c r="T142" s="1">
        <f t="shared" si="14"/>
        <v>0</v>
      </c>
      <c r="U142" s="1">
        <f t="shared" si="14"/>
        <v>0</v>
      </c>
      <c r="V142" s="1">
        <f t="shared" si="14"/>
        <v>0</v>
      </c>
      <c r="W142" s="4">
        <f t="shared" si="15"/>
        <v>0</v>
      </c>
    </row>
    <row r="143" spans="4:23" ht="15" customHeight="1">
      <c r="D143" s="99" t="str">
        <f xml:space="preserve"> '2.1 Model setup'!K84</f>
        <v>6.3 Afskrivninger på målere</v>
      </c>
      <c r="E143" s="27"/>
      <c r="F143" s="131"/>
      <c r="G143" s="131"/>
      <c r="H143" s="131"/>
      <c r="I143" s="131"/>
      <c r="J143" s="131"/>
      <c r="K143" s="32" t="str">
        <f t="shared" si="13"/>
        <v>DKKt</v>
      </c>
      <c r="L143" s="27"/>
      <c r="M143" s="27"/>
      <c r="N143" s="27"/>
      <c r="O143" s="269"/>
      <c r="P143" s="269"/>
      <c r="Q143" s="269"/>
      <c r="R143" s="27">
        <f t="shared" si="14"/>
        <v>0</v>
      </c>
      <c r="S143" s="27">
        <f t="shared" si="14"/>
        <v>0</v>
      </c>
      <c r="T143" s="27">
        <f t="shared" si="14"/>
        <v>0</v>
      </c>
      <c r="U143" s="27">
        <f t="shared" si="14"/>
        <v>0</v>
      </c>
      <c r="V143" s="27">
        <f t="shared" si="14"/>
        <v>0</v>
      </c>
      <c r="W143" s="35">
        <f t="shared" si="15"/>
        <v>0</v>
      </c>
    </row>
    <row r="144" spans="4:23" ht="15" customHeight="1">
      <c r="D144" s="1"/>
    </row>
    <row r="145" spans="4:23" ht="15" customHeight="1">
      <c r="D145" s="97" t="s">
        <v>488</v>
      </c>
      <c r="E145" s="27"/>
      <c r="F145" s="27"/>
      <c r="G145" s="27"/>
      <c r="H145" s="27"/>
      <c r="I145" s="27"/>
      <c r="J145" s="27"/>
      <c r="K145" s="32"/>
      <c r="L145" s="27"/>
      <c r="M145" s="27"/>
      <c r="N145" s="185"/>
      <c r="O145" s="185"/>
      <c r="P145" s="185"/>
      <c r="Q145" s="185"/>
      <c r="R145" s="27"/>
      <c r="S145" s="27"/>
      <c r="T145" s="27"/>
      <c r="U145" s="27"/>
      <c r="V145" s="27"/>
      <c r="W145" s="185" t="s">
        <v>16</v>
      </c>
    </row>
    <row r="146" spans="4:23" ht="15" customHeight="1">
      <c r="D146" s="85" t="str">
        <f xml:space="preserve"> '2.1 Model setup'!K70</f>
        <v>1.1 Drift og vedligeholdelse af transformerstationer</v>
      </c>
      <c r="F146" s="121"/>
      <c r="G146" s="121"/>
      <c r="H146" s="121"/>
      <c r="I146" s="121"/>
      <c r="J146" s="121"/>
      <c r="K146" s="5" t="str">
        <f t="shared" ref="K146:K160" si="16" xml:space="preserve"> Model.Units2</f>
        <v>kWh</v>
      </c>
      <c r="N146" s="15"/>
      <c r="O146" s="202"/>
      <c r="P146" s="202"/>
      <c r="Q146" s="202"/>
      <c r="R146" s="1">
        <f xml:space="preserve"> '2.2 Generelle input'!$N183 * R$48 + '2.2 Generelle input'!$N203 * R$47</f>
        <v>0</v>
      </c>
      <c r="S146" s="1">
        <f xml:space="preserve"> '2.2 Generelle input'!$N183 * S$48 + '2.2 Generelle input'!$N203 * S$47</f>
        <v>0</v>
      </c>
      <c r="T146" s="1">
        <f xml:space="preserve"> '2.2 Generelle input'!$N183 * T$48 + '2.2 Generelle input'!$N203 * T$47</f>
        <v>0</v>
      </c>
      <c r="U146" s="1">
        <f xml:space="preserve"> '2.2 Generelle input'!$N183 * U$48 + '2.2 Generelle input'!$N203 * U$47</f>
        <v>0</v>
      </c>
      <c r="V146" s="1">
        <f xml:space="preserve"> '2.2 Generelle input'!$N183 * V$48 + '2.2 Generelle input'!$N203 * V$47</f>
        <v>0</v>
      </c>
      <c r="W146" s="4">
        <f xml:space="preserve"> SUM( R146:V146 )</f>
        <v>0</v>
      </c>
    </row>
    <row r="147" spans="4:23" ht="15" customHeight="1">
      <c r="D147" s="85" t="str">
        <f xml:space="preserve"> '2.1 Model setup'!K71</f>
        <v>1.2 Drift og vedligeholdelse af ledningsnet</v>
      </c>
      <c r="F147" s="121"/>
      <c r="G147" s="121"/>
      <c r="H147" s="121"/>
      <c r="I147" s="121"/>
      <c r="J147" s="121"/>
      <c r="K147" s="5" t="str">
        <f t="shared" si="16"/>
        <v>kWh</v>
      </c>
      <c r="O147" s="202"/>
      <c r="P147" s="202"/>
      <c r="Q147" s="202"/>
      <c r="R147" s="1">
        <f xml:space="preserve"> '2.2 Generelle input'!$N184 * R$48 + '2.2 Generelle input'!$N204 * R$47</f>
        <v>0</v>
      </c>
      <c r="S147" s="1">
        <f xml:space="preserve"> '2.2 Generelle input'!$N184 * S$48 + '2.2 Generelle input'!$N204 * S$47</f>
        <v>0</v>
      </c>
      <c r="T147" s="1">
        <f xml:space="preserve"> '2.2 Generelle input'!$N184 * T$48 + '2.2 Generelle input'!$N204 * T$47</f>
        <v>0</v>
      </c>
      <c r="U147" s="1">
        <f xml:space="preserve"> '2.2 Generelle input'!$N184 * U$48 + '2.2 Generelle input'!$N204 * U$47</f>
        <v>0</v>
      </c>
      <c r="V147" s="1">
        <f xml:space="preserve"> '2.2 Generelle input'!$N184 * V$48 + '2.2 Generelle input'!$N204 * V$47</f>
        <v>0</v>
      </c>
      <c r="W147" s="4">
        <f t="shared" ref="W147:W160" si="17" xml:space="preserve"> SUM( R147:V147 )</f>
        <v>0</v>
      </c>
    </row>
    <row r="148" spans="4:23" ht="15" customHeight="1">
      <c r="D148" s="85" t="str">
        <f xml:space="preserve"> '2.1 Model setup'!K72</f>
        <v>1.3 Øvrige omkostninger til drift, styring og kontrol af elnettet</v>
      </c>
      <c r="F148" s="121"/>
      <c r="G148" s="121"/>
      <c r="H148" s="121"/>
      <c r="I148" s="121"/>
      <c r="J148" s="121"/>
      <c r="K148" s="5" t="str">
        <f t="shared" si="16"/>
        <v>kWh</v>
      </c>
      <c r="O148" s="202"/>
      <c r="P148" s="202"/>
      <c r="Q148" s="202"/>
      <c r="R148" s="1">
        <f xml:space="preserve"> '2.2 Generelle input'!$N185 * R$48 + '2.2 Generelle input'!$N205 * R$47</f>
        <v>0</v>
      </c>
      <c r="S148" s="1">
        <f xml:space="preserve"> '2.2 Generelle input'!$N185 * S$48 + '2.2 Generelle input'!$N205 * S$47</f>
        <v>0</v>
      </c>
      <c r="T148" s="1">
        <f xml:space="preserve"> '2.2 Generelle input'!$N185 * T$48 + '2.2 Generelle input'!$N205 * T$47</f>
        <v>0</v>
      </c>
      <c r="U148" s="1">
        <f xml:space="preserve"> '2.2 Generelle input'!$N185 * U$48 + '2.2 Generelle input'!$N205 * U$47</f>
        <v>0</v>
      </c>
      <c r="V148" s="1">
        <f xml:space="preserve"> '2.2 Generelle input'!$N185 * V$48 + '2.2 Generelle input'!$N205 * V$47</f>
        <v>0</v>
      </c>
      <c r="W148" s="4">
        <f t="shared" si="17"/>
        <v>0</v>
      </c>
    </row>
    <row r="149" spans="4:23" ht="15" customHeight="1">
      <c r="D149" s="85" t="str">
        <f xml:space="preserve"> '2.1 Model setup'!K73</f>
        <v>1.4 Omkostninger vedrørende 132-150/30-60 kV-stationer</v>
      </c>
      <c r="F149" s="121"/>
      <c r="G149" s="121"/>
      <c r="H149" s="121"/>
      <c r="I149" s="121"/>
      <c r="J149" s="121"/>
      <c r="K149" s="5" t="str">
        <f t="shared" si="16"/>
        <v>kWh</v>
      </c>
      <c r="O149" s="202"/>
      <c r="P149" s="202"/>
      <c r="Q149" s="202"/>
      <c r="R149" s="1">
        <f xml:space="preserve"> '2.2 Generelle input'!$N186 * R$48 + '2.2 Generelle input'!$N206 * R$47</f>
        <v>0</v>
      </c>
      <c r="S149" s="1">
        <f xml:space="preserve"> '2.2 Generelle input'!$N186 * S$48 + '2.2 Generelle input'!$N206 * S$47</f>
        <v>0</v>
      </c>
      <c r="T149" s="1">
        <f xml:space="preserve"> '2.2 Generelle input'!$N186 * T$48 + '2.2 Generelle input'!$N206 * T$47</f>
        <v>0</v>
      </c>
      <c r="U149" s="1">
        <f xml:space="preserve"> '2.2 Generelle input'!$N186 * U$48 + '2.2 Generelle input'!$N206 * U$47</f>
        <v>0</v>
      </c>
      <c r="V149" s="1">
        <f xml:space="preserve"> '2.2 Generelle input'!$N186 * V$48 + '2.2 Generelle input'!$N206 * V$47</f>
        <v>0</v>
      </c>
      <c r="W149" s="4">
        <f xml:space="preserve"> SUM( R149:V149 )</f>
        <v>0</v>
      </c>
    </row>
    <row r="150" spans="4:23" ht="15" customHeight="1">
      <c r="D150" s="85" t="str">
        <f xml:space="preserve"> '2.1 Model setup'!K74</f>
        <v>2.1 Drift og vedligeholdelse af målere</v>
      </c>
      <c r="F150" s="121"/>
      <c r="G150" s="121"/>
      <c r="H150" s="121"/>
      <c r="I150" s="121"/>
      <c r="J150" s="121"/>
      <c r="K150" s="5" t="str">
        <f t="shared" si="16"/>
        <v>kWh</v>
      </c>
      <c r="O150" s="202"/>
      <c r="P150" s="202"/>
      <c r="Q150" s="202"/>
      <c r="R150" s="1">
        <f xml:space="preserve"> '2.2 Generelle input'!$N187 * R$48 + '2.2 Generelle input'!$N207 * R$47</f>
        <v>0</v>
      </c>
      <c r="S150" s="1">
        <f xml:space="preserve"> '2.2 Generelle input'!$N187 * S$48 + '2.2 Generelle input'!$N207 * S$47</f>
        <v>0</v>
      </c>
      <c r="T150" s="1">
        <f xml:space="preserve"> '2.2 Generelle input'!$N187 * T$48 + '2.2 Generelle input'!$N207 * T$47</f>
        <v>0</v>
      </c>
      <c r="U150" s="1">
        <f xml:space="preserve"> '2.2 Generelle input'!$N187 * U$48 + '2.2 Generelle input'!$N207 * U$47</f>
        <v>0</v>
      </c>
      <c r="V150" s="1">
        <f xml:space="preserve"> '2.2 Generelle input'!$N187 * V$48 + '2.2 Generelle input'!$N207 * V$47</f>
        <v>0</v>
      </c>
      <c r="W150" s="4">
        <f t="shared" si="17"/>
        <v>0</v>
      </c>
    </row>
    <row r="151" spans="4:23" ht="15" customHeight="1">
      <c r="D151" s="85" t="str">
        <f xml:space="preserve"> '2.1 Model setup'!K75</f>
        <v>2.2 Indhentning og validering af målerdata</v>
      </c>
      <c r="F151" s="121"/>
      <c r="G151" s="121"/>
      <c r="H151" s="121"/>
      <c r="I151" s="121"/>
      <c r="J151" s="121"/>
      <c r="K151" s="5" t="str">
        <f t="shared" si="16"/>
        <v>kWh</v>
      </c>
      <c r="O151" s="202"/>
      <c r="P151" s="202"/>
      <c r="Q151" s="202"/>
      <c r="R151" s="1">
        <f xml:space="preserve"> '2.2 Generelle input'!$N188 * R$48 + '2.2 Generelle input'!$N208 * R$47</f>
        <v>0</v>
      </c>
      <c r="S151" s="1">
        <f xml:space="preserve"> '2.2 Generelle input'!$N188 * S$48 + '2.2 Generelle input'!$N208 * S$47</f>
        <v>0</v>
      </c>
      <c r="T151" s="1">
        <f xml:space="preserve"> '2.2 Generelle input'!$N188 * T$48 + '2.2 Generelle input'!$N208 * T$47</f>
        <v>0</v>
      </c>
      <c r="U151" s="1">
        <f xml:space="preserve"> '2.2 Generelle input'!$N188 * U$48 + '2.2 Generelle input'!$N208 * U$47</f>
        <v>0</v>
      </c>
      <c r="V151" s="1">
        <f xml:space="preserve"> '2.2 Generelle input'!$N188 * V$48 + '2.2 Generelle input'!$N208 * V$47</f>
        <v>0</v>
      </c>
      <c r="W151" s="4">
        <f t="shared" si="17"/>
        <v>0</v>
      </c>
    </row>
    <row r="152" spans="4:23" ht="15" customHeight="1">
      <c r="D152" s="85" t="str">
        <f xml:space="preserve"> '2.1 Model setup'!K76</f>
        <v>2.3 Måleradministration og kundehåndtering</v>
      </c>
      <c r="F152" s="121"/>
      <c r="G152" s="121"/>
      <c r="H152" s="121"/>
      <c r="I152" s="121"/>
      <c r="J152" s="121"/>
      <c r="K152" s="5" t="str">
        <f t="shared" si="16"/>
        <v>kWh</v>
      </c>
      <c r="O152" s="202"/>
      <c r="P152" s="202"/>
      <c r="Q152" s="202"/>
      <c r="R152" s="1">
        <f xml:space="preserve"> '2.2 Generelle input'!$N189 * R$48 + '2.2 Generelle input'!$N209 * R$47</f>
        <v>0</v>
      </c>
      <c r="S152" s="1">
        <f xml:space="preserve"> '2.2 Generelle input'!$N189 * S$48 + '2.2 Generelle input'!$N209 * S$47</f>
        <v>0</v>
      </c>
      <c r="T152" s="1">
        <f xml:space="preserve"> '2.2 Generelle input'!$N189 * T$48 + '2.2 Generelle input'!$N209 * T$47</f>
        <v>0</v>
      </c>
      <c r="U152" s="1">
        <f xml:space="preserve"> '2.2 Generelle input'!$N189 * U$48 + '2.2 Generelle input'!$N209 * U$47</f>
        <v>0</v>
      </c>
      <c r="V152" s="1">
        <f xml:space="preserve"> '2.2 Generelle input'!$N189 * V$48 + '2.2 Generelle input'!$N209 * V$47</f>
        <v>0</v>
      </c>
      <c r="W152" s="4">
        <f t="shared" si="17"/>
        <v>0</v>
      </c>
    </row>
    <row r="153" spans="4:23" ht="15" customHeight="1">
      <c r="D153" s="85" t="str">
        <f xml:space="preserve"> '2.1 Model setup'!K77</f>
        <v>3.1 Generel administration</v>
      </c>
      <c r="F153" s="121"/>
      <c r="G153" s="121"/>
      <c r="H153" s="121"/>
      <c r="I153" s="121"/>
      <c r="J153" s="121"/>
      <c r="K153" s="5" t="str">
        <f t="shared" si="16"/>
        <v>kWh</v>
      </c>
      <c r="O153" s="202"/>
      <c r="P153" s="202"/>
      <c r="Q153" s="202"/>
      <c r="R153" s="1">
        <f xml:space="preserve"> '2.2 Generelle input'!$N190 * R$48 + '2.2 Generelle input'!$N210 * R$47</f>
        <v>0</v>
      </c>
      <c r="S153" s="1">
        <f xml:space="preserve"> '2.2 Generelle input'!$N190 * S$48 + '2.2 Generelle input'!$N210 * S$47</f>
        <v>0</v>
      </c>
      <c r="T153" s="1">
        <f xml:space="preserve"> '2.2 Generelle input'!$N190 * T$48 + '2.2 Generelle input'!$N210 * T$47</f>
        <v>0</v>
      </c>
      <c r="U153" s="1">
        <f xml:space="preserve"> '2.2 Generelle input'!$N190 * U$48 + '2.2 Generelle input'!$N210 * U$47</f>
        <v>0</v>
      </c>
      <c r="V153" s="1">
        <f xml:space="preserve"> '2.2 Generelle input'!$N190 * V$48 + '2.2 Generelle input'!$N210 * V$47</f>
        <v>0</v>
      </c>
      <c r="W153" s="4">
        <f t="shared" si="17"/>
        <v>0</v>
      </c>
    </row>
    <row r="154" spans="4:23" ht="15" customHeight="1">
      <c r="D154" s="85" t="str">
        <f xml:space="preserve"> '2.1 Model setup'!K78</f>
        <v>4.1 Omkostninger vedrørende nettab i transformerstationer</v>
      </c>
      <c r="F154" s="121"/>
      <c r="G154" s="121"/>
      <c r="H154" s="121"/>
      <c r="I154" s="121"/>
      <c r="J154" s="121"/>
      <c r="K154" s="5" t="str">
        <f t="shared" si="16"/>
        <v>kWh</v>
      </c>
      <c r="O154" s="202"/>
      <c r="P154" s="202"/>
      <c r="Q154" s="202"/>
      <c r="R154" s="1">
        <f xml:space="preserve"> '2.2 Generelle input'!$N191 * R$48 + '2.2 Generelle input'!$N211 * R$47</f>
        <v>0</v>
      </c>
      <c r="S154" s="1">
        <f xml:space="preserve"> '2.2 Generelle input'!$N191 * S$48 + '2.2 Generelle input'!$N211 * S$47</f>
        <v>0</v>
      </c>
      <c r="T154" s="1">
        <f xml:space="preserve"> '2.2 Generelle input'!$N191 * T$48 + '2.2 Generelle input'!$N211 * T$47</f>
        <v>0</v>
      </c>
      <c r="U154" s="1">
        <f xml:space="preserve"> '2.2 Generelle input'!$N191 * U$48 + '2.2 Generelle input'!$N211 * U$47</f>
        <v>0</v>
      </c>
      <c r="V154" s="1">
        <f xml:space="preserve"> '2.2 Generelle input'!$N191 * V$48 + '2.2 Generelle input'!$N211 * V$47</f>
        <v>0</v>
      </c>
      <c r="W154" s="4">
        <f t="shared" si="17"/>
        <v>0</v>
      </c>
    </row>
    <row r="155" spans="4:23" ht="15" customHeight="1">
      <c r="D155" s="85" t="str">
        <f xml:space="preserve"> '2.1 Model setup'!K79</f>
        <v>4.2 Omkostninger vedrørende nettab i ledningsnettet</v>
      </c>
      <c r="F155" s="121"/>
      <c r="G155" s="121"/>
      <c r="H155" s="121"/>
      <c r="I155" s="121"/>
      <c r="J155" s="121"/>
      <c r="K155" s="5" t="str">
        <f t="shared" si="16"/>
        <v>kWh</v>
      </c>
      <c r="O155" s="202"/>
      <c r="P155" s="202"/>
      <c r="Q155" s="202"/>
      <c r="R155" s="1">
        <f xml:space="preserve"> '2.2 Generelle input'!$N192 * R$48 + '2.2 Generelle input'!$N212 * R$47</f>
        <v>0</v>
      </c>
      <c r="S155" s="1">
        <f xml:space="preserve"> '2.2 Generelle input'!$N192 * S$48 + '2.2 Generelle input'!$N212 * S$47</f>
        <v>0</v>
      </c>
      <c r="T155" s="1">
        <f xml:space="preserve"> '2.2 Generelle input'!$N192 * T$48 + '2.2 Generelle input'!$N212 * T$47</f>
        <v>0</v>
      </c>
      <c r="U155" s="1">
        <f xml:space="preserve"> '2.2 Generelle input'!$N192 * U$48 + '2.2 Generelle input'!$N212 * U$47</f>
        <v>0</v>
      </c>
      <c r="V155" s="1">
        <f xml:space="preserve"> '2.2 Generelle input'!$N192 * V$48 + '2.2 Generelle input'!$N212 * V$47</f>
        <v>0</v>
      </c>
      <c r="W155" s="4">
        <f t="shared" si="17"/>
        <v>0</v>
      </c>
    </row>
    <row r="156" spans="4:23" ht="15" customHeight="1">
      <c r="D156" s="85" t="str">
        <f xml:space="preserve"> '2.1 Model setup'!K80</f>
        <v>5.1 Omkostninger til overliggende net ifm. forbrug</v>
      </c>
      <c r="F156" s="121"/>
      <c r="G156" s="121"/>
      <c r="H156" s="121"/>
      <c r="I156" s="121"/>
      <c r="J156" s="121"/>
      <c r="K156" s="5" t="str">
        <f t="shared" si="16"/>
        <v>kWh</v>
      </c>
      <c r="O156" s="202"/>
      <c r="P156" s="202"/>
      <c r="Q156" s="202"/>
      <c r="R156" s="1">
        <f xml:space="preserve"> '2.2 Generelle input'!$N193 * R$48 + '2.2 Generelle input'!$N213 * R$47</f>
        <v>0</v>
      </c>
      <c r="S156" s="1">
        <f xml:space="preserve"> '2.2 Generelle input'!$N193 * S$48 + '2.2 Generelle input'!$N213 * S$47</f>
        <v>0</v>
      </c>
      <c r="T156" s="1">
        <f xml:space="preserve"> '2.2 Generelle input'!$N193 * T$48 + '2.2 Generelle input'!$N213 * T$47</f>
        <v>0</v>
      </c>
      <c r="U156" s="1">
        <f xml:space="preserve"> '2.2 Generelle input'!$N193 * U$48 + '2.2 Generelle input'!$N213 * U$47</f>
        <v>0</v>
      </c>
      <c r="V156" s="1">
        <f xml:space="preserve"> '2.2 Generelle input'!$N193 * V$48 + '2.2 Generelle input'!$N213 * V$47</f>
        <v>0</v>
      </c>
      <c r="W156" s="4">
        <f xml:space="preserve"> SUM( R156:V156 )</f>
        <v>0</v>
      </c>
    </row>
    <row r="157" spans="4:23" ht="15" customHeight="1">
      <c r="D157" s="85" t="str">
        <f xml:space="preserve"> '2.1 Model setup'!K81</f>
        <v>5.2 Øvrige omkostninger</v>
      </c>
      <c r="F157" s="121"/>
      <c r="G157" s="121"/>
      <c r="H157" s="121"/>
      <c r="I157" s="121"/>
      <c r="J157" s="121"/>
      <c r="K157" s="5" t="str">
        <f t="shared" si="16"/>
        <v>kWh</v>
      </c>
      <c r="O157" s="202"/>
      <c r="P157" s="202"/>
      <c r="Q157" s="202"/>
      <c r="R157" s="1">
        <f xml:space="preserve"> '2.2 Generelle input'!$N194 * R$48 + '2.2 Generelle input'!$N214 * R$47</f>
        <v>0</v>
      </c>
      <c r="S157" s="1">
        <f xml:space="preserve"> '2.2 Generelle input'!$N194 * S$48 + '2.2 Generelle input'!$N214 * S$47</f>
        <v>0</v>
      </c>
      <c r="T157" s="1">
        <f xml:space="preserve"> '2.2 Generelle input'!$N194 * T$48 + '2.2 Generelle input'!$N214 * T$47</f>
        <v>0</v>
      </c>
      <c r="U157" s="1">
        <f xml:space="preserve"> '2.2 Generelle input'!$N194 * U$48 + '2.2 Generelle input'!$N214 * U$47</f>
        <v>0</v>
      </c>
      <c r="V157" s="1">
        <f xml:space="preserve"> '2.2 Generelle input'!$N194 * V$48 + '2.2 Generelle input'!$N214 * V$47</f>
        <v>0</v>
      </c>
      <c r="W157" s="4">
        <f t="shared" si="17"/>
        <v>0</v>
      </c>
    </row>
    <row r="158" spans="4:23" ht="15" customHeight="1">
      <c r="D158" s="85" t="str">
        <f xml:space="preserve"> '2.1 Model setup'!K82</f>
        <v>6.1 Afskrivninger på transformerstationer</v>
      </c>
      <c r="F158" s="121"/>
      <c r="G158" s="121"/>
      <c r="H158" s="121"/>
      <c r="I158" s="121"/>
      <c r="J158" s="121"/>
      <c r="K158" s="5" t="str">
        <f t="shared" si="16"/>
        <v>kWh</v>
      </c>
      <c r="O158" s="202"/>
      <c r="P158" s="202"/>
      <c r="Q158" s="202"/>
      <c r="R158" s="1">
        <f xml:space="preserve"> '2.2 Generelle input'!$N195 * R$48 + '2.2 Generelle input'!$N215 * R$47</f>
        <v>0</v>
      </c>
      <c r="S158" s="1">
        <f xml:space="preserve"> '2.2 Generelle input'!$N195 * S$48 + '2.2 Generelle input'!$N215 * S$47</f>
        <v>0</v>
      </c>
      <c r="T158" s="1">
        <f xml:space="preserve"> '2.2 Generelle input'!$N195 * T$48 + '2.2 Generelle input'!$N215 * T$47</f>
        <v>0</v>
      </c>
      <c r="U158" s="1">
        <f xml:space="preserve"> '2.2 Generelle input'!$N195 * U$48 + '2.2 Generelle input'!$N215 * U$47</f>
        <v>0</v>
      </c>
      <c r="V158" s="1">
        <f xml:space="preserve"> '2.2 Generelle input'!$N195 * V$48 + '2.2 Generelle input'!$N215 * V$47</f>
        <v>0</v>
      </c>
      <c r="W158" s="4">
        <f t="shared" si="17"/>
        <v>0</v>
      </c>
    </row>
    <row r="159" spans="4:23" ht="15" customHeight="1">
      <c r="D159" s="85" t="str">
        <f xml:space="preserve"> '2.1 Model setup'!K83</f>
        <v>6.2 Afskrivninger på netaktiver ekskl. målere og transformerstationer</v>
      </c>
      <c r="F159" s="121"/>
      <c r="G159" s="121"/>
      <c r="H159" s="121"/>
      <c r="I159" s="121"/>
      <c r="J159" s="121"/>
      <c r="K159" s="5" t="str">
        <f t="shared" si="16"/>
        <v>kWh</v>
      </c>
      <c r="O159" s="202"/>
      <c r="P159" s="202"/>
      <c r="Q159" s="202"/>
      <c r="R159" s="1">
        <f xml:space="preserve"> '2.2 Generelle input'!$N196 * R$48 + '2.2 Generelle input'!$N216 * R$47</f>
        <v>0</v>
      </c>
      <c r="S159" s="1">
        <f xml:space="preserve"> '2.2 Generelle input'!$N196 * S$48 + '2.2 Generelle input'!$N216 * S$47</f>
        <v>0</v>
      </c>
      <c r="T159" s="1">
        <f xml:space="preserve"> '2.2 Generelle input'!$N196 * T$48 + '2.2 Generelle input'!$N216 * T$47</f>
        <v>0</v>
      </c>
      <c r="U159" s="1">
        <f xml:space="preserve"> '2.2 Generelle input'!$N196 * U$48 + '2.2 Generelle input'!$N216 * U$47</f>
        <v>0</v>
      </c>
      <c r="V159" s="1">
        <f xml:space="preserve"> '2.2 Generelle input'!$N196 * V$48 + '2.2 Generelle input'!$N216 * V$47</f>
        <v>0</v>
      </c>
      <c r="W159" s="4">
        <f t="shared" si="17"/>
        <v>0</v>
      </c>
    </row>
    <row r="160" spans="4:23" ht="15" customHeight="1">
      <c r="D160" s="99" t="str">
        <f xml:space="preserve"> '2.1 Model setup'!K84</f>
        <v>6.3 Afskrivninger på målere</v>
      </c>
      <c r="E160" s="27"/>
      <c r="F160" s="131"/>
      <c r="G160" s="131"/>
      <c r="H160" s="131"/>
      <c r="I160" s="131"/>
      <c r="J160" s="131"/>
      <c r="K160" s="32" t="str">
        <f t="shared" si="16"/>
        <v>kWh</v>
      </c>
      <c r="L160" s="27"/>
      <c r="M160" s="27"/>
      <c r="N160" s="27"/>
      <c r="O160" s="269"/>
      <c r="P160" s="269"/>
      <c r="Q160" s="269"/>
      <c r="R160" s="27">
        <f xml:space="preserve"> '2.2 Generelle input'!$N197 * R$48 + '2.2 Generelle input'!$N217 * R$47</f>
        <v>0</v>
      </c>
      <c r="S160" s="27">
        <f xml:space="preserve"> '2.2 Generelle input'!$N197 * S$48 + '2.2 Generelle input'!$N217 * S$47</f>
        <v>0</v>
      </c>
      <c r="T160" s="27">
        <f xml:space="preserve"> '2.2 Generelle input'!$N197 * T$48 + '2.2 Generelle input'!$N217 * T$47</f>
        <v>0</v>
      </c>
      <c r="U160" s="27">
        <f xml:space="preserve"> '2.2 Generelle input'!$N197 * U$48 + '2.2 Generelle input'!$N217 * U$47</f>
        <v>0</v>
      </c>
      <c r="V160" s="27">
        <f xml:space="preserve"> '2.2 Generelle input'!$N197 * V$48 + '2.2 Generelle input'!$N217 * V$47</f>
        <v>0</v>
      </c>
      <c r="W160" s="35">
        <f t="shared" si="17"/>
        <v>0</v>
      </c>
    </row>
    <row r="161" spans="4:23" ht="15" customHeight="1">
      <c r="D161" s="1"/>
    </row>
    <row r="162" spans="4:23" ht="15" customHeight="1">
      <c r="D162" s="97" t="s">
        <v>481</v>
      </c>
      <c r="E162" s="27"/>
      <c r="F162" s="27"/>
      <c r="G162" s="27"/>
      <c r="H162" s="27"/>
      <c r="I162" s="27"/>
      <c r="J162" s="27"/>
      <c r="K162" s="32"/>
      <c r="L162" s="27"/>
      <c r="M162" s="27"/>
      <c r="N162" s="185"/>
      <c r="O162" s="185"/>
      <c r="P162" s="185"/>
      <c r="Q162" s="185"/>
      <c r="R162" s="27"/>
      <c r="S162" s="27"/>
      <c r="T162" s="27"/>
      <c r="U162" s="27"/>
      <c r="V162" s="27"/>
      <c r="W162" s="185" t="s">
        <v>16</v>
      </c>
    </row>
    <row r="163" spans="4:23" ht="15" customHeight="1">
      <c r="D163" s="85" t="str">
        <f xml:space="preserve"> '2.1 Model setup'!K70</f>
        <v>1.1 Drift og vedligeholdelse af transformerstationer</v>
      </c>
      <c r="F163" s="121"/>
      <c r="G163" s="121"/>
      <c r="H163" s="121"/>
      <c r="I163" s="121"/>
      <c r="J163" s="121"/>
      <c r="K163" s="5" t="str">
        <f t="shared" ref="K163:K178" si="18" xml:space="preserve"> Model.Units</f>
        <v>DKKt</v>
      </c>
      <c r="N163" s="15"/>
      <c r="O163" s="202"/>
      <c r="P163" s="202"/>
      <c r="Q163" s="202"/>
      <c r="R163" s="1">
        <f t="shared" ref="R163:V177" si="19" xml:space="preserve"> R91 * R$54 / tDKKtilDKK</f>
        <v>0</v>
      </c>
      <c r="S163" s="1">
        <f t="shared" si="19"/>
        <v>0</v>
      </c>
      <c r="T163" s="1">
        <f t="shared" si="19"/>
        <v>0</v>
      </c>
      <c r="U163" s="1">
        <f t="shared" si="19"/>
        <v>0</v>
      </c>
      <c r="V163" s="1">
        <f t="shared" si="19"/>
        <v>0</v>
      </c>
      <c r="W163" s="4">
        <f xml:space="preserve"> SUM( R163:V163 )</f>
        <v>0</v>
      </c>
    </row>
    <row r="164" spans="4:23" ht="15" customHeight="1">
      <c r="D164" s="85" t="str">
        <f xml:space="preserve"> '2.1 Model setup'!K71</f>
        <v>1.2 Drift og vedligeholdelse af ledningsnet</v>
      </c>
      <c r="F164" s="121"/>
      <c r="G164" s="121"/>
      <c r="H164" s="121"/>
      <c r="I164" s="121"/>
      <c r="J164" s="121"/>
      <c r="K164" s="5" t="str">
        <f t="shared" si="18"/>
        <v>DKKt</v>
      </c>
      <c r="O164" s="202"/>
      <c r="P164" s="202"/>
      <c r="Q164" s="202"/>
      <c r="R164" s="1">
        <f t="shared" si="19"/>
        <v>0</v>
      </c>
      <c r="S164" s="1">
        <f t="shared" si="19"/>
        <v>0</v>
      </c>
      <c r="T164" s="1">
        <f t="shared" si="19"/>
        <v>0</v>
      </c>
      <c r="U164" s="1">
        <f t="shared" si="19"/>
        <v>0</v>
      </c>
      <c r="V164" s="1">
        <f t="shared" si="19"/>
        <v>0</v>
      </c>
      <c r="W164" s="4">
        <f t="shared" ref="W164:W178" si="20" xml:space="preserve"> SUM( R164:V164 )</f>
        <v>0</v>
      </c>
    </row>
    <row r="165" spans="4:23" ht="15" customHeight="1">
      <c r="D165" s="85" t="str">
        <f xml:space="preserve"> '2.1 Model setup'!K72</f>
        <v>1.3 Øvrige omkostninger til drift, styring og kontrol af elnettet</v>
      </c>
      <c r="F165" s="121"/>
      <c r="G165" s="121"/>
      <c r="H165" s="121"/>
      <c r="I165" s="121"/>
      <c r="J165" s="121"/>
      <c r="K165" s="5" t="str">
        <f t="shared" si="18"/>
        <v>DKKt</v>
      </c>
      <c r="O165" s="202"/>
      <c r="P165" s="202"/>
      <c r="Q165" s="202"/>
      <c r="R165" s="1">
        <f t="shared" si="19"/>
        <v>0</v>
      </c>
      <c r="S165" s="1">
        <f t="shared" si="19"/>
        <v>0</v>
      </c>
      <c r="T165" s="1">
        <f t="shared" si="19"/>
        <v>0</v>
      </c>
      <c r="U165" s="1">
        <f t="shared" si="19"/>
        <v>0</v>
      </c>
      <c r="V165" s="1">
        <f t="shared" si="19"/>
        <v>0</v>
      </c>
      <c r="W165" s="4">
        <f t="shared" si="20"/>
        <v>0</v>
      </c>
    </row>
    <row r="166" spans="4:23" ht="15" customHeight="1">
      <c r="D166" s="85" t="str">
        <f xml:space="preserve"> '2.1 Model setup'!K73</f>
        <v>1.4 Omkostninger vedrørende 132-150/30-60 kV-stationer</v>
      </c>
      <c r="F166" s="121"/>
      <c r="G166" s="121"/>
      <c r="H166" s="121"/>
      <c r="I166" s="121"/>
      <c r="J166" s="121"/>
      <c r="K166" s="5" t="str">
        <f t="shared" si="18"/>
        <v>DKKt</v>
      </c>
      <c r="O166" s="202"/>
      <c r="P166" s="202"/>
      <c r="Q166" s="202"/>
      <c r="R166" s="1">
        <f t="shared" si="19"/>
        <v>0</v>
      </c>
      <c r="S166" s="1">
        <f t="shared" si="19"/>
        <v>0</v>
      </c>
      <c r="T166" s="1">
        <f t="shared" si="19"/>
        <v>0</v>
      </c>
      <c r="U166" s="1">
        <f t="shared" si="19"/>
        <v>0</v>
      </c>
      <c r="V166" s="1">
        <f t="shared" si="19"/>
        <v>0</v>
      </c>
      <c r="W166" s="4">
        <f xml:space="preserve"> SUM( R166:V166 )</f>
        <v>0</v>
      </c>
    </row>
    <row r="167" spans="4:23" ht="15" customHeight="1">
      <c r="D167" s="85" t="str">
        <f xml:space="preserve"> '2.1 Model setup'!K74</f>
        <v>2.1 Drift og vedligeholdelse af målere</v>
      </c>
      <c r="F167" s="121"/>
      <c r="G167" s="121"/>
      <c r="H167" s="121"/>
      <c r="I167" s="121"/>
      <c r="J167" s="121"/>
      <c r="K167" s="5" t="str">
        <f t="shared" si="18"/>
        <v>DKKt</v>
      </c>
      <c r="O167" s="202"/>
      <c r="P167" s="202"/>
      <c r="Q167" s="202"/>
      <c r="R167" s="1">
        <f t="shared" si="19"/>
        <v>0</v>
      </c>
      <c r="S167" s="1">
        <f t="shared" si="19"/>
        <v>0</v>
      </c>
      <c r="T167" s="1">
        <f t="shared" si="19"/>
        <v>0</v>
      </c>
      <c r="U167" s="1">
        <f t="shared" si="19"/>
        <v>0</v>
      </c>
      <c r="V167" s="1">
        <f t="shared" si="19"/>
        <v>0</v>
      </c>
      <c r="W167" s="4">
        <f t="shared" si="20"/>
        <v>0</v>
      </c>
    </row>
    <row r="168" spans="4:23" ht="15" customHeight="1">
      <c r="D168" s="85" t="str">
        <f xml:space="preserve"> '2.1 Model setup'!K75</f>
        <v>2.2 Indhentning og validering af målerdata</v>
      </c>
      <c r="F168" s="121"/>
      <c r="G168" s="121"/>
      <c r="H168" s="121"/>
      <c r="I168" s="121"/>
      <c r="J168" s="121"/>
      <c r="K168" s="5" t="str">
        <f t="shared" si="18"/>
        <v>DKKt</v>
      </c>
      <c r="O168" s="202"/>
      <c r="P168" s="202"/>
      <c r="Q168" s="202"/>
      <c r="R168" s="1">
        <f t="shared" si="19"/>
        <v>0</v>
      </c>
      <c r="S168" s="1">
        <f t="shared" si="19"/>
        <v>0</v>
      </c>
      <c r="T168" s="1">
        <f t="shared" si="19"/>
        <v>0</v>
      </c>
      <c r="U168" s="1">
        <f t="shared" si="19"/>
        <v>0</v>
      </c>
      <c r="V168" s="1">
        <f t="shared" si="19"/>
        <v>0</v>
      </c>
      <c r="W168" s="4">
        <f t="shared" si="20"/>
        <v>0</v>
      </c>
    </row>
    <row r="169" spans="4:23" ht="15" customHeight="1">
      <c r="D169" s="85" t="str">
        <f xml:space="preserve"> '2.1 Model setup'!K76</f>
        <v>2.3 Måleradministration og kundehåndtering</v>
      </c>
      <c r="F169" s="121"/>
      <c r="G169" s="121"/>
      <c r="H169" s="121"/>
      <c r="I169" s="121"/>
      <c r="J169" s="121"/>
      <c r="K169" s="5" t="str">
        <f t="shared" si="18"/>
        <v>DKKt</v>
      </c>
      <c r="O169" s="202"/>
      <c r="P169" s="202"/>
      <c r="Q169" s="202"/>
      <c r="R169" s="1">
        <f t="shared" si="19"/>
        <v>0</v>
      </c>
      <c r="S169" s="1">
        <f t="shared" si="19"/>
        <v>0</v>
      </c>
      <c r="T169" s="1">
        <f t="shared" si="19"/>
        <v>0</v>
      </c>
      <c r="U169" s="1">
        <f t="shared" si="19"/>
        <v>0</v>
      </c>
      <c r="V169" s="1">
        <f t="shared" si="19"/>
        <v>0</v>
      </c>
      <c r="W169" s="4">
        <f t="shared" si="20"/>
        <v>0</v>
      </c>
    </row>
    <row r="170" spans="4:23" ht="15" customHeight="1">
      <c r="D170" s="85" t="str">
        <f xml:space="preserve"> '2.1 Model setup'!K77</f>
        <v>3.1 Generel administration</v>
      </c>
      <c r="F170" s="121"/>
      <c r="G170" s="121"/>
      <c r="H170" s="121"/>
      <c r="I170" s="121"/>
      <c r="J170" s="121"/>
      <c r="K170" s="5" t="str">
        <f t="shared" si="18"/>
        <v>DKKt</v>
      </c>
      <c r="O170" s="202"/>
      <c r="P170" s="202"/>
      <c r="Q170" s="202"/>
      <c r="R170" s="1">
        <f t="shared" si="19"/>
        <v>0</v>
      </c>
      <c r="S170" s="1">
        <f t="shared" si="19"/>
        <v>0</v>
      </c>
      <c r="T170" s="1">
        <f t="shared" si="19"/>
        <v>0</v>
      </c>
      <c r="U170" s="1">
        <f t="shared" si="19"/>
        <v>0</v>
      </c>
      <c r="V170" s="1">
        <f t="shared" si="19"/>
        <v>0</v>
      </c>
      <c r="W170" s="4">
        <f t="shared" si="20"/>
        <v>0</v>
      </c>
    </row>
    <row r="171" spans="4:23" ht="15" customHeight="1">
      <c r="D171" s="85" t="str">
        <f xml:space="preserve"> '2.1 Model setup'!K78</f>
        <v>4.1 Omkostninger vedrørende nettab i transformerstationer</v>
      </c>
      <c r="F171" s="121"/>
      <c r="G171" s="121"/>
      <c r="H171" s="121"/>
      <c r="I171" s="121"/>
      <c r="J171" s="121"/>
      <c r="K171" s="5" t="str">
        <f t="shared" si="18"/>
        <v>DKKt</v>
      </c>
      <c r="O171" s="202"/>
      <c r="P171" s="202"/>
      <c r="Q171" s="202"/>
      <c r="R171" s="1">
        <f t="shared" si="19"/>
        <v>0</v>
      </c>
      <c r="S171" s="1">
        <f t="shared" si="19"/>
        <v>0</v>
      </c>
      <c r="T171" s="1">
        <f t="shared" si="19"/>
        <v>0</v>
      </c>
      <c r="U171" s="1">
        <f t="shared" si="19"/>
        <v>0</v>
      </c>
      <c r="V171" s="1">
        <f t="shared" si="19"/>
        <v>0</v>
      </c>
      <c r="W171" s="4">
        <f t="shared" si="20"/>
        <v>0</v>
      </c>
    </row>
    <row r="172" spans="4:23" ht="15" customHeight="1">
      <c r="D172" s="85" t="str">
        <f xml:space="preserve"> '2.1 Model setup'!K79</f>
        <v>4.2 Omkostninger vedrørende nettab i ledningsnettet</v>
      </c>
      <c r="F172" s="121"/>
      <c r="G172" s="121"/>
      <c r="H172" s="121"/>
      <c r="I172" s="121"/>
      <c r="J172" s="121"/>
      <c r="K172" s="5" t="str">
        <f t="shared" si="18"/>
        <v>DKKt</v>
      </c>
      <c r="O172" s="202"/>
      <c r="P172" s="202"/>
      <c r="Q172" s="202"/>
      <c r="R172" s="1">
        <f t="shared" si="19"/>
        <v>0</v>
      </c>
      <c r="S172" s="1">
        <f t="shared" si="19"/>
        <v>0</v>
      </c>
      <c r="T172" s="1">
        <f t="shared" si="19"/>
        <v>0</v>
      </c>
      <c r="U172" s="1">
        <f t="shared" si="19"/>
        <v>0</v>
      </c>
      <c r="V172" s="1">
        <f t="shared" si="19"/>
        <v>0</v>
      </c>
      <c r="W172" s="4">
        <f t="shared" si="20"/>
        <v>0</v>
      </c>
    </row>
    <row r="173" spans="4:23" ht="15" customHeight="1">
      <c r="D173" s="85" t="str">
        <f xml:space="preserve"> '2.1 Model setup'!K80</f>
        <v>5.1 Omkostninger til overliggende net ifm. forbrug</v>
      </c>
      <c r="F173" s="121"/>
      <c r="G173" s="121"/>
      <c r="H173" s="121"/>
      <c r="I173" s="121"/>
      <c r="J173" s="121"/>
      <c r="K173" s="5" t="str">
        <f t="shared" si="18"/>
        <v>DKKt</v>
      </c>
      <c r="O173" s="202"/>
      <c r="P173" s="202"/>
      <c r="Q173" s="202"/>
      <c r="R173" s="1">
        <f t="shared" si="19"/>
        <v>0</v>
      </c>
      <c r="S173" s="1">
        <f t="shared" si="19"/>
        <v>0</v>
      </c>
      <c r="T173" s="1">
        <f t="shared" si="19"/>
        <v>0</v>
      </c>
      <c r="U173" s="1">
        <f t="shared" si="19"/>
        <v>0</v>
      </c>
      <c r="V173" s="1">
        <f t="shared" si="19"/>
        <v>0</v>
      </c>
      <c r="W173" s="4">
        <f xml:space="preserve"> SUM( R173:V173 )</f>
        <v>0</v>
      </c>
    </row>
    <row r="174" spans="4:23" ht="15" customHeight="1">
      <c r="D174" s="85" t="str">
        <f xml:space="preserve"> '2.1 Model setup'!K81</f>
        <v>5.2 Øvrige omkostninger</v>
      </c>
      <c r="F174" s="121"/>
      <c r="G174" s="121"/>
      <c r="H174" s="121"/>
      <c r="I174" s="121"/>
      <c r="J174" s="121"/>
      <c r="K174" s="5" t="str">
        <f t="shared" si="18"/>
        <v>DKKt</v>
      </c>
      <c r="O174" s="202"/>
      <c r="P174" s="202"/>
      <c r="Q174" s="202"/>
      <c r="R174" s="1">
        <f t="shared" si="19"/>
        <v>0</v>
      </c>
      <c r="S174" s="1">
        <f t="shared" si="19"/>
        <v>0</v>
      </c>
      <c r="T174" s="1">
        <f t="shared" si="19"/>
        <v>0</v>
      </c>
      <c r="U174" s="1">
        <f t="shared" si="19"/>
        <v>0</v>
      </c>
      <c r="V174" s="1">
        <f t="shared" si="19"/>
        <v>0</v>
      </c>
      <c r="W174" s="4">
        <f t="shared" si="20"/>
        <v>0</v>
      </c>
    </row>
    <row r="175" spans="4:23" ht="15" customHeight="1">
      <c r="D175" s="85" t="str">
        <f xml:space="preserve"> '2.1 Model setup'!K82</f>
        <v>6.1 Afskrivninger på transformerstationer</v>
      </c>
      <c r="F175" s="121"/>
      <c r="G175" s="121"/>
      <c r="H175" s="121"/>
      <c r="I175" s="121"/>
      <c r="J175" s="121"/>
      <c r="K175" s="5" t="str">
        <f t="shared" si="18"/>
        <v>DKKt</v>
      </c>
      <c r="O175" s="202"/>
      <c r="P175" s="202"/>
      <c r="Q175" s="202"/>
      <c r="R175" s="1">
        <f t="shared" si="19"/>
        <v>0</v>
      </c>
      <c r="S175" s="1">
        <f t="shared" si="19"/>
        <v>0</v>
      </c>
      <c r="T175" s="1">
        <f t="shared" si="19"/>
        <v>0</v>
      </c>
      <c r="U175" s="1">
        <f t="shared" si="19"/>
        <v>0</v>
      </c>
      <c r="V175" s="1">
        <f t="shared" si="19"/>
        <v>0</v>
      </c>
      <c r="W175" s="4">
        <f t="shared" si="20"/>
        <v>0</v>
      </c>
    </row>
    <row r="176" spans="4:23" ht="15" customHeight="1">
      <c r="D176" s="85" t="str">
        <f xml:space="preserve"> '2.1 Model setup'!K83</f>
        <v>6.2 Afskrivninger på netaktiver ekskl. målere og transformerstationer</v>
      </c>
      <c r="F176" s="121"/>
      <c r="G176" s="121"/>
      <c r="H176" s="121"/>
      <c r="I176" s="121"/>
      <c r="J176" s="121"/>
      <c r="K176" s="5" t="str">
        <f t="shared" si="18"/>
        <v>DKKt</v>
      </c>
      <c r="O176" s="202"/>
      <c r="P176" s="202"/>
      <c r="Q176" s="202"/>
      <c r="R176" s="1">
        <f t="shared" si="19"/>
        <v>0</v>
      </c>
      <c r="S176" s="1">
        <f t="shared" si="19"/>
        <v>0</v>
      </c>
      <c r="T176" s="1">
        <f t="shared" si="19"/>
        <v>0</v>
      </c>
      <c r="U176" s="1">
        <f t="shared" si="19"/>
        <v>0</v>
      </c>
      <c r="V176" s="1">
        <f t="shared" si="19"/>
        <v>0</v>
      </c>
      <c r="W176" s="4">
        <f t="shared" si="20"/>
        <v>0</v>
      </c>
    </row>
    <row r="177" spans="4:23" ht="15" customHeight="1">
      <c r="D177" s="85" t="str">
        <f xml:space="preserve"> '2.1 Model setup'!K84</f>
        <v>6.3 Afskrivninger på målere</v>
      </c>
      <c r="F177" s="121"/>
      <c r="G177" s="121"/>
      <c r="H177" s="121"/>
      <c r="I177" s="121"/>
      <c r="J177" s="121"/>
      <c r="K177" s="5" t="str">
        <f t="shared" si="18"/>
        <v>DKKt</v>
      </c>
      <c r="O177" s="202"/>
      <c r="P177" s="202"/>
      <c r="Q177" s="202"/>
      <c r="R177" s="1">
        <f t="shared" si="19"/>
        <v>0</v>
      </c>
      <c r="S177" s="1">
        <f t="shared" si="19"/>
        <v>0</v>
      </c>
      <c r="T177" s="1">
        <f t="shared" si="19"/>
        <v>0</v>
      </c>
      <c r="U177" s="1">
        <f t="shared" si="19"/>
        <v>0</v>
      </c>
      <c r="V177" s="1">
        <f t="shared" si="19"/>
        <v>0</v>
      </c>
      <c r="W177" s="4">
        <f t="shared" si="20"/>
        <v>0</v>
      </c>
    </row>
    <row r="178" spans="4:23" ht="15" customHeight="1">
      <c r="D178" s="285" t="str">
        <f xml:space="preserve"> '2.1 Model setup'!K87</f>
        <v>7.3 Målere (forrentning)</v>
      </c>
      <c r="E178" s="283"/>
      <c r="F178" s="283"/>
      <c r="G178" s="283"/>
      <c r="H178" s="283"/>
      <c r="I178" s="283"/>
      <c r="J178" s="283"/>
      <c r="K178" s="284" t="str">
        <f t="shared" si="18"/>
        <v>DKKt</v>
      </c>
      <c r="L178" s="283"/>
      <c r="M178" s="283"/>
      <c r="N178" s="283"/>
      <c r="O178" s="393"/>
      <c r="P178" s="393"/>
      <c r="Q178" s="393"/>
      <c r="R178" s="283">
        <f xml:space="preserve"> R108 * R$54 / tDKKtilDKK</f>
        <v>0</v>
      </c>
      <c r="S178" s="283">
        <f xml:space="preserve"> S108 * S$54 / tDKKtilDKK</f>
        <v>0</v>
      </c>
      <c r="T178" s="283">
        <f xml:space="preserve"> T108 * T$54 / tDKKtilDKK</f>
        <v>0</v>
      </c>
      <c r="U178" s="283">
        <f xml:space="preserve"> U108 * U$54 / tDKKtilDKK</f>
        <v>0</v>
      </c>
      <c r="V178" s="283">
        <f xml:space="preserve"> V108 * V$54 / tDKKtilDKK</f>
        <v>0</v>
      </c>
      <c r="W178" s="305">
        <f t="shared" si="20"/>
        <v>0</v>
      </c>
    </row>
    <row r="179" spans="4:23" ht="15" customHeight="1">
      <c r="D179" s="1"/>
    </row>
    <row r="180" spans="4:23" ht="15" customHeight="1">
      <c r="D180" s="97" t="s">
        <v>470</v>
      </c>
      <c r="E180" s="27"/>
      <c r="F180" s="27"/>
      <c r="G180" s="27"/>
      <c r="H180" s="27"/>
      <c r="I180" s="27"/>
      <c r="J180" s="27"/>
      <c r="K180" s="32"/>
      <c r="L180" s="27"/>
      <c r="M180" s="27"/>
      <c r="N180" s="185"/>
      <c r="O180" s="185"/>
      <c r="P180" s="185"/>
      <c r="Q180" s="185"/>
      <c r="R180" s="27"/>
      <c r="S180" s="27"/>
      <c r="T180" s="27"/>
      <c r="U180" s="27"/>
      <c r="V180" s="27"/>
      <c r="W180" s="185" t="s">
        <v>16</v>
      </c>
    </row>
    <row r="181" spans="4:23" ht="15" customHeight="1">
      <c r="D181" s="85" t="str">
        <f xml:space="preserve"> '2.1 Model setup'!K70</f>
        <v>1.1 Drift og vedligeholdelse af transformerstationer</v>
      </c>
      <c r="F181" s="121"/>
      <c r="G181" s="121"/>
      <c r="H181" s="121"/>
      <c r="I181" s="121"/>
      <c r="J181" s="121"/>
      <c r="K181" s="5" t="str">
        <f t="shared" ref="K181:K196" si="21" xml:space="preserve"> Model.Units</f>
        <v>DKKt</v>
      </c>
      <c r="N181" s="15"/>
      <c r="O181" s="202"/>
      <c r="P181" s="202"/>
      <c r="Q181" s="202"/>
      <c r="R181" s="1">
        <f t="shared" ref="R181:V190" si="22" xml:space="preserve"> IF( R$52 = 0, 0, R163 / R$52 )</f>
        <v>0</v>
      </c>
      <c r="S181" s="1">
        <f t="shared" si="22"/>
        <v>0</v>
      </c>
      <c r="T181" s="1">
        <f t="shared" si="22"/>
        <v>0</v>
      </c>
      <c r="U181" s="1">
        <f t="shared" si="22"/>
        <v>0</v>
      </c>
      <c r="V181" s="1">
        <f t="shared" si="22"/>
        <v>0</v>
      </c>
      <c r="W181" s="4">
        <f xml:space="preserve"> SUM( R181:V181 )</f>
        <v>0</v>
      </c>
    </row>
    <row r="182" spans="4:23" ht="15" customHeight="1">
      <c r="D182" s="85" t="str">
        <f xml:space="preserve"> '2.1 Model setup'!K71</f>
        <v>1.2 Drift og vedligeholdelse af ledningsnet</v>
      </c>
      <c r="F182" s="121"/>
      <c r="G182" s="121"/>
      <c r="H182" s="121"/>
      <c r="I182" s="121"/>
      <c r="J182" s="121"/>
      <c r="K182" s="5" t="str">
        <f t="shared" si="21"/>
        <v>DKKt</v>
      </c>
      <c r="O182" s="202"/>
      <c r="P182" s="202"/>
      <c r="Q182" s="202"/>
      <c r="R182" s="1">
        <f t="shared" si="22"/>
        <v>0</v>
      </c>
      <c r="S182" s="1">
        <f t="shared" si="22"/>
        <v>0</v>
      </c>
      <c r="T182" s="1">
        <f t="shared" si="22"/>
        <v>0</v>
      </c>
      <c r="U182" s="1">
        <f t="shared" si="22"/>
        <v>0</v>
      </c>
      <c r="V182" s="1">
        <f t="shared" si="22"/>
        <v>0</v>
      </c>
      <c r="W182" s="4">
        <f t="shared" ref="W182:W195" si="23" xml:space="preserve"> SUM( R182:V182 )</f>
        <v>0</v>
      </c>
    </row>
    <row r="183" spans="4:23" ht="15" customHeight="1">
      <c r="D183" s="85" t="str">
        <f xml:space="preserve"> '2.1 Model setup'!K72</f>
        <v>1.3 Øvrige omkostninger til drift, styring og kontrol af elnettet</v>
      </c>
      <c r="F183" s="121"/>
      <c r="G183" s="121"/>
      <c r="H183" s="121"/>
      <c r="I183" s="121"/>
      <c r="J183" s="121"/>
      <c r="K183" s="5" t="str">
        <f t="shared" si="21"/>
        <v>DKKt</v>
      </c>
      <c r="O183" s="202"/>
      <c r="P183" s="202"/>
      <c r="Q183" s="202"/>
      <c r="R183" s="1">
        <f t="shared" si="22"/>
        <v>0</v>
      </c>
      <c r="S183" s="1">
        <f t="shared" si="22"/>
        <v>0</v>
      </c>
      <c r="T183" s="1">
        <f t="shared" si="22"/>
        <v>0</v>
      </c>
      <c r="U183" s="1">
        <f t="shared" si="22"/>
        <v>0</v>
      </c>
      <c r="V183" s="1">
        <f t="shared" si="22"/>
        <v>0</v>
      </c>
      <c r="W183" s="4">
        <f t="shared" si="23"/>
        <v>0</v>
      </c>
    </row>
    <row r="184" spans="4:23" ht="15" customHeight="1">
      <c r="D184" s="85" t="str">
        <f xml:space="preserve"> '2.1 Model setup'!K73</f>
        <v>1.4 Omkostninger vedrørende 132-150/30-60 kV-stationer</v>
      </c>
      <c r="F184" s="121"/>
      <c r="G184" s="121"/>
      <c r="H184" s="121"/>
      <c r="I184" s="121"/>
      <c r="J184" s="121"/>
      <c r="K184" s="5" t="str">
        <f t="shared" si="21"/>
        <v>DKKt</v>
      </c>
      <c r="O184" s="202"/>
      <c r="P184" s="202"/>
      <c r="Q184" s="202"/>
      <c r="R184" s="1">
        <f t="shared" si="22"/>
        <v>0</v>
      </c>
      <c r="S184" s="1">
        <f t="shared" si="22"/>
        <v>0</v>
      </c>
      <c r="T184" s="1">
        <f t="shared" si="22"/>
        <v>0</v>
      </c>
      <c r="U184" s="1">
        <f t="shared" si="22"/>
        <v>0</v>
      </c>
      <c r="V184" s="1">
        <f t="shared" si="22"/>
        <v>0</v>
      </c>
      <c r="W184" s="4">
        <f xml:space="preserve"> SUM( R184:V184 )</f>
        <v>0</v>
      </c>
    </row>
    <row r="185" spans="4:23" ht="15" customHeight="1">
      <c r="D185" s="85" t="str">
        <f xml:space="preserve"> '2.1 Model setup'!K74</f>
        <v>2.1 Drift og vedligeholdelse af målere</v>
      </c>
      <c r="F185" s="121"/>
      <c r="G185" s="121"/>
      <c r="H185" s="121"/>
      <c r="I185" s="121"/>
      <c r="J185" s="121"/>
      <c r="K185" s="5" t="str">
        <f t="shared" si="21"/>
        <v>DKKt</v>
      </c>
      <c r="O185" s="202"/>
      <c r="P185" s="202"/>
      <c r="Q185" s="202"/>
      <c r="R185" s="1">
        <f t="shared" si="22"/>
        <v>0</v>
      </c>
      <c r="S185" s="1">
        <f t="shared" si="22"/>
        <v>0</v>
      </c>
      <c r="T185" s="1">
        <f t="shared" si="22"/>
        <v>0</v>
      </c>
      <c r="U185" s="1">
        <f t="shared" si="22"/>
        <v>0</v>
      </c>
      <c r="V185" s="1">
        <f t="shared" si="22"/>
        <v>0</v>
      </c>
      <c r="W185" s="4">
        <f t="shared" si="23"/>
        <v>0</v>
      </c>
    </row>
    <row r="186" spans="4:23" ht="15" customHeight="1">
      <c r="D186" s="85" t="str">
        <f xml:space="preserve"> '2.1 Model setup'!K75</f>
        <v>2.2 Indhentning og validering af målerdata</v>
      </c>
      <c r="F186" s="121"/>
      <c r="G186" s="121"/>
      <c r="H186" s="121"/>
      <c r="I186" s="121"/>
      <c r="J186" s="121"/>
      <c r="K186" s="5" t="str">
        <f t="shared" si="21"/>
        <v>DKKt</v>
      </c>
      <c r="O186" s="202"/>
      <c r="P186" s="202"/>
      <c r="Q186" s="202"/>
      <c r="R186" s="1">
        <f t="shared" si="22"/>
        <v>0</v>
      </c>
      <c r="S186" s="1">
        <f t="shared" si="22"/>
        <v>0</v>
      </c>
      <c r="T186" s="1">
        <f t="shared" si="22"/>
        <v>0</v>
      </c>
      <c r="U186" s="1">
        <f t="shared" si="22"/>
        <v>0</v>
      </c>
      <c r="V186" s="1">
        <f t="shared" si="22"/>
        <v>0</v>
      </c>
      <c r="W186" s="4">
        <f t="shared" si="23"/>
        <v>0</v>
      </c>
    </row>
    <row r="187" spans="4:23" ht="15" customHeight="1">
      <c r="D187" s="85" t="str">
        <f xml:space="preserve"> '2.1 Model setup'!K76</f>
        <v>2.3 Måleradministration og kundehåndtering</v>
      </c>
      <c r="F187" s="121"/>
      <c r="G187" s="121"/>
      <c r="H187" s="121"/>
      <c r="I187" s="121"/>
      <c r="J187" s="121"/>
      <c r="K187" s="5" t="str">
        <f t="shared" si="21"/>
        <v>DKKt</v>
      </c>
      <c r="O187" s="202"/>
      <c r="P187" s="202"/>
      <c r="Q187" s="202"/>
      <c r="R187" s="1">
        <f t="shared" si="22"/>
        <v>0</v>
      </c>
      <c r="S187" s="1">
        <f t="shared" si="22"/>
        <v>0</v>
      </c>
      <c r="T187" s="1">
        <f t="shared" si="22"/>
        <v>0</v>
      </c>
      <c r="U187" s="1">
        <f t="shared" si="22"/>
        <v>0</v>
      </c>
      <c r="V187" s="1">
        <f t="shared" si="22"/>
        <v>0</v>
      </c>
      <c r="W187" s="4">
        <f t="shared" si="23"/>
        <v>0</v>
      </c>
    </row>
    <row r="188" spans="4:23" ht="15" customHeight="1">
      <c r="D188" s="85" t="str">
        <f xml:space="preserve"> '2.1 Model setup'!K77</f>
        <v>3.1 Generel administration</v>
      </c>
      <c r="F188" s="121"/>
      <c r="G188" s="121"/>
      <c r="H188" s="121"/>
      <c r="I188" s="121"/>
      <c r="J188" s="121"/>
      <c r="K188" s="5" t="str">
        <f t="shared" si="21"/>
        <v>DKKt</v>
      </c>
      <c r="O188" s="202"/>
      <c r="P188" s="202"/>
      <c r="Q188" s="202"/>
      <c r="R188" s="1">
        <f t="shared" si="22"/>
        <v>0</v>
      </c>
      <c r="S188" s="1">
        <f t="shared" si="22"/>
        <v>0</v>
      </c>
      <c r="T188" s="1">
        <f t="shared" si="22"/>
        <v>0</v>
      </c>
      <c r="U188" s="1">
        <f t="shared" si="22"/>
        <v>0</v>
      </c>
      <c r="V188" s="1">
        <f t="shared" si="22"/>
        <v>0</v>
      </c>
      <c r="W188" s="4">
        <f t="shared" si="23"/>
        <v>0</v>
      </c>
    </row>
    <row r="189" spans="4:23" ht="15" customHeight="1">
      <c r="D189" s="85" t="str">
        <f xml:space="preserve"> '2.1 Model setup'!K78</f>
        <v>4.1 Omkostninger vedrørende nettab i transformerstationer</v>
      </c>
      <c r="F189" s="121"/>
      <c r="G189" s="121"/>
      <c r="H189" s="121"/>
      <c r="I189" s="121"/>
      <c r="J189" s="121"/>
      <c r="K189" s="5" t="str">
        <f t="shared" si="21"/>
        <v>DKKt</v>
      </c>
      <c r="O189" s="202"/>
      <c r="P189" s="202"/>
      <c r="Q189" s="202"/>
      <c r="R189" s="1">
        <f t="shared" si="22"/>
        <v>0</v>
      </c>
      <c r="S189" s="1">
        <f t="shared" si="22"/>
        <v>0</v>
      </c>
      <c r="T189" s="1">
        <f t="shared" si="22"/>
        <v>0</v>
      </c>
      <c r="U189" s="1">
        <f t="shared" si="22"/>
        <v>0</v>
      </c>
      <c r="V189" s="1">
        <f t="shared" si="22"/>
        <v>0</v>
      </c>
      <c r="W189" s="4">
        <f t="shared" si="23"/>
        <v>0</v>
      </c>
    </row>
    <row r="190" spans="4:23" ht="15" customHeight="1">
      <c r="D190" s="85" t="str">
        <f xml:space="preserve"> '2.1 Model setup'!K79</f>
        <v>4.2 Omkostninger vedrørende nettab i ledningsnettet</v>
      </c>
      <c r="F190" s="121"/>
      <c r="G190" s="121"/>
      <c r="H190" s="121"/>
      <c r="I190" s="121"/>
      <c r="J190" s="121"/>
      <c r="K190" s="5" t="str">
        <f t="shared" si="21"/>
        <v>DKKt</v>
      </c>
      <c r="O190" s="202"/>
      <c r="P190" s="202"/>
      <c r="Q190" s="202"/>
      <c r="R190" s="1">
        <f t="shared" si="22"/>
        <v>0</v>
      </c>
      <c r="S190" s="1">
        <f t="shared" si="22"/>
        <v>0</v>
      </c>
      <c r="T190" s="1">
        <f t="shared" si="22"/>
        <v>0</v>
      </c>
      <c r="U190" s="1">
        <f t="shared" si="22"/>
        <v>0</v>
      </c>
      <c r="V190" s="1">
        <f t="shared" si="22"/>
        <v>0</v>
      </c>
      <c r="W190" s="4">
        <f t="shared" si="23"/>
        <v>0</v>
      </c>
    </row>
    <row r="191" spans="4:23" ht="15" customHeight="1">
      <c r="D191" s="85" t="str">
        <f xml:space="preserve"> '2.1 Model setup'!K80</f>
        <v>5.1 Omkostninger til overliggende net ifm. forbrug</v>
      </c>
      <c r="F191" s="121"/>
      <c r="G191" s="121"/>
      <c r="H191" s="121"/>
      <c r="I191" s="121"/>
      <c r="J191" s="121"/>
      <c r="K191" s="5" t="str">
        <f t="shared" si="21"/>
        <v>DKKt</v>
      </c>
      <c r="O191" s="202"/>
      <c r="P191" s="202"/>
      <c r="Q191" s="202"/>
      <c r="R191" s="1">
        <f t="shared" ref="R191:V196" si="24" xml:space="preserve"> IF( R$52 = 0, 0, R173 / R$52 )</f>
        <v>0</v>
      </c>
      <c r="S191" s="1">
        <f t="shared" si="24"/>
        <v>0</v>
      </c>
      <c r="T191" s="1">
        <f t="shared" si="24"/>
        <v>0</v>
      </c>
      <c r="U191" s="1">
        <f t="shared" si="24"/>
        <v>0</v>
      </c>
      <c r="V191" s="1">
        <f t="shared" si="24"/>
        <v>0</v>
      </c>
      <c r="W191" s="4">
        <f xml:space="preserve"> SUM( R191:V191 )</f>
        <v>0</v>
      </c>
    </row>
    <row r="192" spans="4:23" ht="15" customHeight="1">
      <c r="D192" s="85" t="str">
        <f xml:space="preserve"> '2.1 Model setup'!K81</f>
        <v>5.2 Øvrige omkostninger</v>
      </c>
      <c r="F192" s="121"/>
      <c r="G192" s="121"/>
      <c r="H192" s="121"/>
      <c r="I192" s="121"/>
      <c r="J192" s="121"/>
      <c r="K192" s="5" t="str">
        <f t="shared" si="21"/>
        <v>DKKt</v>
      </c>
      <c r="O192" s="202"/>
      <c r="P192" s="202"/>
      <c r="Q192" s="202"/>
      <c r="R192" s="1">
        <f t="shared" si="24"/>
        <v>0</v>
      </c>
      <c r="S192" s="1">
        <f t="shared" si="24"/>
        <v>0</v>
      </c>
      <c r="T192" s="1">
        <f t="shared" si="24"/>
        <v>0</v>
      </c>
      <c r="U192" s="1">
        <f t="shared" si="24"/>
        <v>0</v>
      </c>
      <c r="V192" s="1">
        <f t="shared" si="24"/>
        <v>0</v>
      </c>
      <c r="W192" s="4">
        <f t="shared" si="23"/>
        <v>0</v>
      </c>
    </row>
    <row r="193" spans="4:23" ht="15" customHeight="1">
      <c r="D193" s="85" t="str">
        <f xml:space="preserve"> '2.1 Model setup'!K82</f>
        <v>6.1 Afskrivninger på transformerstationer</v>
      </c>
      <c r="F193" s="121"/>
      <c r="G193" s="121"/>
      <c r="H193" s="121"/>
      <c r="I193" s="121"/>
      <c r="J193" s="121"/>
      <c r="K193" s="5" t="str">
        <f t="shared" si="21"/>
        <v>DKKt</v>
      </c>
      <c r="O193" s="202"/>
      <c r="P193" s="202"/>
      <c r="Q193" s="202"/>
      <c r="R193" s="1">
        <f t="shared" si="24"/>
        <v>0</v>
      </c>
      <c r="S193" s="1">
        <f t="shared" si="24"/>
        <v>0</v>
      </c>
      <c r="T193" s="1">
        <f t="shared" si="24"/>
        <v>0</v>
      </c>
      <c r="U193" s="1">
        <f t="shared" si="24"/>
        <v>0</v>
      </c>
      <c r="V193" s="1">
        <f t="shared" si="24"/>
        <v>0</v>
      </c>
      <c r="W193" s="4">
        <f t="shared" si="23"/>
        <v>0</v>
      </c>
    </row>
    <row r="194" spans="4:23" ht="15" customHeight="1">
      <c r="D194" s="85" t="str">
        <f xml:space="preserve"> '2.1 Model setup'!K83</f>
        <v>6.2 Afskrivninger på netaktiver ekskl. målere og transformerstationer</v>
      </c>
      <c r="F194" s="121"/>
      <c r="G194" s="121"/>
      <c r="H194" s="121"/>
      <c r="I194" s="121"/>
      <c r="J194" s="121"/>
      <c r="K194" s="5" t="str">
        <f t="shared" si="21"/>
        <v>DKKt</v>
      </c>
      <c r="O194" s="202"/>
      <c r="P194" s="202"/>
      <c r="Q194" s="202"/>
      <c r="R194" s="1">
        <f t="shared" si="24"/>
        <v>0</v>
      </c>
      <c r="S194" s="1">
        <f t="shared" si="24"/>
        <v>0</v>
      </c>
      <c r="T194" s="1">
        <f t="shared" si="24"/>
        <v>0</v>
      </c>
      <c r="U194" s="1">
        <f t="shared" si="24"/>
        <v>0</v>
      </c>
      <c r="V194" s="1">
        <f t="shared" si="24"/>
        <v>0</v>
      </c>
      <c r="W194" s="4">
        <f t="shared" si="23"/>
        <v>0</v>
      </c>
    </row>
    <row r="195" spans="4:23" ht="15" customHeight="1">
      <c r="D195" s="85" t="str">
        <f xml:space="preserve"> '2.1 Model setup'!K84</f>
        <v>6.3 Afskrivninger på målere</v>
      </c>
      <c r="F195" s="121"/>
      <c r="G195" s="121"/>
      <c r="H195" s="121"/>
      <c r="I195" s="121"/>
      <c r="J195" s="121"/>
      <c r="K195" s="5" t="str">
        <f t="shared" si="21"/>
        <v>DKKt</v>
      </c>
      <c r="O195" s="202"/>
      <c r="P195" s="202"/>
      <c r="Q195" s="202"/>
      <c r="R195" s="1">
        <f t="shared" si="24"/>
        <v>0</v>
      </c>
      <c r="S195" s="1">
        <f t="shared" si="24"/>
        <v>0</v>
      </c>
      <c r="T195" s="1">
        <f t="shared" si="24"/>
        <v>0</v>
      </c>
      <c r="U195" s="1">
        <f t="shared" si="24"/>
        <v>0</v>
      </c>
      <c r="V195" s="1">
        <f t="shared" si="24"/>
        <v>0</v>
      </c>
      <c r="W195" s="4">
        <f t="shared" si="23"/>
        <v>0</v>
      </c>
    </row>
    <row r="196" spans="4:23" ht="15" customHeight="1">
      <c r="D196" s="285" t="str">
        <f xml:space="preserve"> '2.1 Model setup'!K87</f>
        <v>7.3 Målere (forrentning)</v>
      </c>
      <c r="E196" s="283"/>
      <c r="F196" s="283"/>
      <c r="G196" s="283"/>
      <c r="H196" s="283"/>
      <c r="I196" s="283"/>
      <c r="J196" s="283"/>
      <c r="K196" s="284" t="str">
        <f t="shared" si="21"/>
        <v>DKKt</v>
      </c>
      <c r="L196" s="283"/>
      <c r="M196" s="283"/>
      <c r="N196" s="283"/>
      <c r="O196" s="393"/>
      <c r="P196" s="393"/>
      <c r="Q196" s="393"/>
      <c r="R196" s="283">
        <f t="shared" si="24"/>
        <v>0</v>
      </c>
      <c r="S196" s="283">
        <f t="shared" si="24"/>
        <v>0</v>
      </c>
      <c r="T196" s="283">
        <f t="shared" si="24"/>
        <v>0</v>
      </c>
      <c r="U196" s="283">
        <f t="shared" si="24"/>
        <v>0</v>
      </c>
      <c r="V196" s="283">
        <f t="shared" si="24"/>
        <v>0</v>
      </c>
      <c r="W196" s="305">
        <f xml:space="preserve"> SUM( R196:V196 )</f>
        <v>0</v>
      </c>
    </row>
    <row r="197" spans="4:23" ht="15" customHeight="1">
      <c r="D197" s="1"/>
    </row>
    <row r="198" spans="4:23" ht="15" customHeight="1">
      <c r="D198" s="97" t="s">
        <v>465</v>
      </c>
      <c r="E198" s="27"/>
      <c r="F198" s="27"/>
      <c r="G198" s="27"/>
      <c r="H198" s="27"/>
      <c r="I198" s="27"/>
      <c r="J198" s="27"/>
      <c r="K198" s="32"/>
      <c r="L198" s="27"/>
      <c r="M198" s="27"/>
      <c r="N198" s="185"/>
      <c r="O198" s="185"/>
      <c r="P198" s="185"/>
      <c r="Q198" s="185"/>
      <c r="R198" s="27"/>
      <c r="S198" s="27"/>
      <c r="T198" s="27"/>
      <c r="U198" s="27"/>
      <c r="V198" s="27"/>
      <c r="W198" s="185" t="s">
        <v>16</v>
      </c>
    </row>
    <row r="199" spans="4:23" ht="15" customHeight="1">
      <c r="D199" s="85" t="str">
        <f xml:space="preserve"> '2.1 Model setup'!K70</f>
        <v>1.1 Drift og vedligeholdelse af transformerstationer</v>
      </c>
      <c r="F199" s="121"/>
      <c r="G199" s="121"/>
      <c r="H199" s="121"/>
      <c r="I199" s="121"/>
      <c r="J199" s="121"/>
      <c r="K199" s="5" t="s">
        <v>4</v>
      </c>
      <c r="L199" s="85">
        <f t="shared" ref="L199:L213" si="25" xml:space="preserve"> -- ( IF( COUNTIF( R199:V199, "&lt;&gt;0" ) = 0, 0, ROUND( SUM( R199:V199 ), 5 ) &lt;&gt; 100% ) )</f>
        <v>0</v>
      </c>
      <c r="N199" s="15"/>
      <c r="O199" s="202"/>
      <c r="P199" s="202"/>
      <c r="Q199" s="202"/>
      <c r="R199" s="181">
        <f t="shared" ref="R199:V200" si="26" xml:space="preserve"> IF( $W129 = 0, 0, R129 / $W129 )</f>
        <v>0</v>
      </c>
      <c r="S199" s="181">
        <f t="shared" si="26"/>
        <v>0</v>
      </c>
      <c r="T199" s="181">
        <f t="shared" si="26"/>
        <v>0</v>
      </c>
      <c r="U199" s="181">
        <f t="shared" si="26"/>
        <v>0</v>
      </c>
      <c r="V199" s="181">
        <f t="shared" si="26"/>
        <v>0</v>
      </c>
      <c r="W199" s="198">
        <f xml:space="preserve"> SUM( R199:V199 )</f>
        <v>0</v>
      </c>
    </row>
    <row r="200" spans="4:23" ht="15" customHeight="1">
      <c r="D200" s="85" t="str">
        <f xml:space="preserve"> '2.1 Model setup'!K71</f>
        <v>1.2 Drift og vedligeholdelse af ledningsnet</v>
      </c>
      <c r="F200" s="121"/>
      <c r="G200" s="121"/>
      <c r="H200" s="121"/>
      <c r="I200" s="121"/>
      <c r="J200" s="121"/>
      <c r="K200" s="5" t="s">
        <v>4</v>
      </c>
      <c r="L200" s="85">
        <f t="shared" si="25"/>
        <v>0</v>
      </c>
      <c r="O200" s="202"/>
      <c r="P200" s="202"/>
      <c r="Q200" s="202"/>
      <c r="R200" s="181">
        <f t="shared" si="26"/>
        <v>0</v>
      </c>
      <c r="S200" s="181">
        <f t="shared" si="26"/>
        <v>0</v>
      </c>
      <c r="T200" s="181">
        <f t="shared" si="26"/>
        <v>0</v>
      </c>
      <c r="U200" s="181">
        <f t="shared" si="26"/>
        <v>0</v>
      </c>
      <c r="V200" s="181">
        <f t="shared" si="26"/>
        <v>0</v>
      </c>
      <c r="W200" s="198">
        <f t="shared" ref="W200:W213" si="27" xml:space="preserve"> SUM( R200:V200 )</f>
        <v>0</v>
      </c>
    </row>
    <row r="201" spans="4:23" ht="15" customHeight="1">
      <c r="D201" s="85" t="str">
        <f xml:space="preserve"> '2.1 Model setup'!K72</f>
        <v>1.3 Øvrige omkostninger til drift, styring og kontrol af elnettet</v>
      </c>
      <c r="F201" s="121"/>
      <c r="G201" s="121"/>
      <c r="H201" s="121"/>
      <c r="I201" s="121"/>
      <c r="J201" s="121"/>
      <c r="K201" s="5" t="s">
        <v>4</v>
      </c>
      <c r="L201" s="85">
        <f t="shared" si="25"/>
        <v>0</v>
      </c>
      <c r="O201" s="202"/>
      <c r="P201" s="202"/>
      <c r="Q201" s="202"/>
      <c r="R201" s="181">
        <f t="shared" ref="R201:V202" si="28" xml:space="preserve"> IF( $W131 = 0, 0, R131 / $W131 )</f>
        <v>0</v>
      </c>
      <c r="S201" s="181">
        <f t="shared" si="28"/>
        <v>0</v>
      </c>
      <c r="T201" s="181">
        <f t="shared" si="28"/>
        <v>0</v>
      </c>
      <c r="U201" s="181">
        <f t="shared" si="28"/>
        <v>0</v>
      </c>
      <c r="V201" s="181">
        <f t="shared" si="28"/>
        <v>0</v>
      </c>
      <c r="W201" s="198">
        <f t="shared" si="27"/>
        <v>0</v>
      </c>
    </row>
    <row r="202" spans="4:23" ht="15" customHeight="1">
      <c r="D202" s="85" t="str">
        <f xml:space="preserve"> '2.1 Model setup'!K73</f>
        <v>1.4 Omkostninger vedrørende 132-150/30-60 kV-stationer</v>
      </c>
      <c r="F202" s="121"/>
      <c r="G202" s="121"/>
      <c r="H202" s="121"/>
      <c r="I202" s="121"/>
      <c r="J202" s="121"/>
      <c r="K202" s="5" t="s">
        <v>4</v>
      </c>
      <c r="L202" s="85">
        <f xml:space="preserve"> -- ( IF( COUNTIF( R202:V202, "&lt;&gt;0" ) = 0, 0, ROUND( SUM( R202:V202 ), 5 ) &lt;&gt; 100% ) )</f>
        <v>0</v>
      </c>
      <c r="O202" s="202"/>
      <c r="P202" s="202"/>
      <c r="Q202" s="202"/>
      <c r="R202" s="181">
        <f t="shared" si="28"/>
        <v>0</v>
      </c>
      <c r="S202" s="181">
        <f t="shared" si="28"/>
        <v>0</v>
      </c>
      <c r="T202" s="181">
        <f t="shared" si="28"/>
        <v>0</v>
      </c>
      <c r="U202" s="181">
        <f t="shared" si="28"/>
        <v>0</v>
      </c>
      <c r="V202" s="181">
        <f t="shared" si="28"/>
        <v>0</v>
      </c>
      <c r="W202" s="198">
        <f xml:space="preserve"> SUM( R202:V202 )</f>
        <v>0</v>
      </c>
    </row>
    <row r="203" spans="4:23" ht="15" customHeight="1">
      <c r="D203" s="85" t="str">
        <f xml:space="preserve"> '2.1 Model setup'!K74</f>
        <v>2.1 Drift og vedligeholdelse af målere</v>
      </c>
      <c r="F203" s="121"/>
      <c r="G203" s="121"/>
      <c r="H203" s="121"/>
      <c r="I203" s="121"/>
      <c r="J203" s="121"/>
      <c r="K203" s="5" t="s">
        <v>4</v>
      </c>
      <c r="L203" s="85">
        <f t="shared" si="25"/>
        <v>0</v>
      </c>
      <c r="O203" s="202"/>
      <c r="P203" s="202"/>
      <c r="Q203" s="202"/>
      <c r="R203" s="181">
        <f t="shared" ref="R203:V213" si="29" xml:space="preserve"> IF( $W133 = 0, 0, R133 / $W133 )</f>
        <v>0</v>
      </c>
      <c r="S203" s="181">
        <f t="shared" si="29"/>
        <v>0</v>
      </c>
      <c r="T203" s="181">
        <f t="shared" si="29"/>
        <v>0</v>
      </c>
      <c r="U203" s="181">
        <f t="shared" si="29"/>
        <v>0</v>
      </c>
      <c r="V203" s="181">
        <f t="shared" si="29"/>
        <v>0</v>
      </c>
      <c r="W203" s="198">
        <f t="shared" si="27"/>
        <v>0</v>
      </c>
    </row>
    <row r="204" spans="4:23" ht="15" customHeight="1">
      <c r="D204" s="85" t="str">
        <f xml:space="preserve"> '2.1 Model setup'!K75</f>
        <v>2.2 Indhentning og validering af målerdata</v>
      </c>
      <c r="F204" s="121"/>
      <c r="G204" s="121"/>
      <c r="H204" s="121"/>
      <c r="I204" s="121"/>
      <c r="J204" s="121"/>
      <c r="K204" s="5" t="s">
        <v>4</v>
      </c>
      <c r="L204" s="85">
        <f t="shared" si="25"/>
        <v>0</v>
      </c>
      <c r="O204" s="202"/>
      <c r="P204" s="202"/>
      <c r="Q204" s="202"/>
      <c r="R204" s="181">
        <f t="shared" si="29"/>
        <v>0</v>
      </c>
      <c r="S204" s="181">
        <f t="shared" si="29"/>
        <v>0</v>
      </c>
      <c r="T204" s="181">
        <f t="shared" si="29"/>
        <v>0</v>
      </c>
      <c r="U204" s="181">
        <f t="shared" si="29"/>
        <v>0</v>
      </c>
      <c r="V204" s="181">
        <f t="shared" si="29"/>
        <v>0</v>
      </c>
      <c r="W204" s="198">
        <f t="shared" si="27"/>
        <v>0</v>
      </c>
    </row>
    <row r="205" spans="4:23" ht="15" customHeight="1">
      <c r="D205" s="85" t="str">
        <f xml:space="preserve"> '2.1 Model setup'!K76</f>
        <v>2.3 Måleradministration og kundehåndtering</v>
      </c>
      <c r="F205" s="121"/>
      <c r="G205" s="121"/>
      <c r="H205" s="121"/>
      <c r="I205" s="121"/>
      <c r="J205" s="121"/>
      <c r="K205" s="5" t="s">
        <v>4</v>
      </c>
      <c r="L205" s="85">
        <f t="shared" si="25"/>
        <v>0</v>
      </c>
      <c r="O205" s="202"/>
      <c r="P205" s="202"/>
      <c r="Q205" s="202"/>
      <c r="R205" s="181">
        <f t="shared" si="29"/>
        <v>0</v>
      </c>
      <c r="S205" s="181">
        <f t="shared" si="29"/>
        <v>0</v>
      </c>
      <c r="T205" s="181">
        <f t="shared" si="29"/>
        <v>0</v>
      </c>
      <c r="U205" s="181">
        <f t="shared" si="29"/>
        <v>0</v>
      </c>
      <c r="V205" s="181">
        <f t="shared" si="29"/>
        <v>0</v>
      </c>
      <c r="W205" s="198">
        <f t="shared" si="27"/>
        <v>0</v>
      </c>
    </row>
    <row r="206" spans="4:23" ht="15" customHeight="1">
      <c r="D206" s="85" t="str">
        <f xml:space="preserve"> '2.1 Model setup'!K77</f>
        <v>3.1 Generel administration</v>
      </c>
      <c r="F206" s="121"/>
      <c r="G206" s="121"/>
      <c r="H206" s="121"/>
      <c r="I206" s="121"/>
      <c r="J206" s="121"/>
      <c r="K206" s="5" t="s">
        <v>4</v>
      </c>
      <c r="L206" s="85">
        <f t="shared" si="25"/>
        <v>0</v>
      </c>
      <c r="O206" s="202"/>
      <c r="P206" s="202"/>
      <c r="Q206" s="202"/>
      <c r="R206" s="181">
        <f t="shared" si="29"/>
        <v>0</v>
      </c>
      <c r="S206" s="181">
        <f t="shared" si="29"/>
        <v>0</v>
      </c>
      <c r="T206" s="181">
        <f t="shared" si="29"/>
        <v>0</v>
      </c>
      <c r="U206" s="181">
        <f t="shared" si="29"/>
        <v>0</v>
      </c>
      <c r="V206" s="181">
        <f t="shared" si="29"/>
        <v>0</v>
      </c>
      <c r="W206" s="198">
        <f t="shared" si="27"/>
        <v>0</v>
      </c>
    </row>
    <row r="207" spans="4:23" ht="15" customHeight="1">
      <c r="D207" s="85" t="str">
        <f xml:space="preserve"> '2.1 Model setup'!K78</f>
        <v>4.1 Omkostninger vedrørende nettab i transformerstationer</v>
      </c>
      <c r="F207" s="121"/>
      <c r="G207" s="121"/>
      <c r="H207" s="121"/>
      <c r="I207" s="121"/>
      <c r="J207" s="121"/>
      <c r="K207" s="5" t="s">
        <v>4</v>
      </c>
      <c r="L207" s="85">
        <f t="shared" si="25"/>
        <v>0</v>
      </c>
      <c r="O207" s="202"/>
      <c r="P207" s="202"/>
      <c r="Q207" s="202"/>
      <c r="R207" s="181">
        <f t="shared" si="29"/>
        <v>0</v>
      </c>
      <c r="S207" s="181">
        <f t="shared" si="29"/>
        <v>0</v>
      </c>
      <c r="T207" s="181">
        <f t="shared" si="29"/>
        <v>0</v>
      </c>
      <c r="U207" s="181">
        <f t="shared" si="29"/>
        <v>0</v>
      </c>
      <c r="V207" s="181">
        <f t="shared" si="29"/>
        <v>0</v>
      </c>
      <c r="W207" s="198">
        <f t="shared" si="27"/>
        <v>0</v>
      </c>
    </row>
    <row r="208" spans="4:23" ht="15" customHeight="1">
      <c r="D208" s="85" t="str">
        <f xml:space="preserve"> '2.1 Model setup'!K79</f>
        <v>4.2 Omkostninger vedrørende nettab i ledningsnettet</v>
      </c>
      <c r="F208" s="121"/>
      <c r="G208" s="121"/>
      <c r="H208" s="121"/>
      <c r="I208" s="121"/>
      <c r="J208" s="121"/>
      <c r="K208" s="5" t="s">
        <v>4</v>
      </c>
      <c r="L208" s="85">
        <f t="shared" si="25"/>
        <v>0</v>
      </c>
      <c r="O208" s="202"/>
      <c r="P208" s="202"/>
      <c r="Q208" s="202"/>
      <c r="R208" s="181">
        <f t="shared" si="29"/>
        <v>0</v>
      </c>
      <c r="S208" s="181">
        <f t="shared" si="29"/>
        <v>0</v>
      </c>
      <c r="T208" s="181">
        <f t="shared" si="29"/>
        <v>0</v>
      </c>
      <c r="U208" s="181">
        <f t="shared" si="29"/>
        <v>0</v>
      </c>
      <c r="V208" s="181">
        <f t="shared" si="29"/>
        <v>0</v>
      </c>
      <c r="W208" s="198">
        <f t="shared" si="27"/>
        <v>0</v>
      </c>
    </row>
    <row r="209" spans="4:23" ht="15" customHeight="1">
      <c r="D209" s="85" t="str">
        <f xml:space="preserve"> '2.1 Model setup'!K80</f>
        <v>5.1 Omkostninger til overliggende net ifm. forbrug</v>
      </c>
      <c r="F209" s="121"/>
      <c r="G209" s="121"/>
      <c r="H209" s="121"/>
      <c r="I209" s="121"/>
      <c r="J209" s="121"/>
      <c r="K209" s="5" t="s">
        <v>4</v>
      </c>
      <c r="L209" s="85">
        <f xml:space="preserve"> -- ( IF( COUNTIF( R209:V209, "&lt;&gt;0" ) = 0, 0, ROUND( SUM( R209:V209 ), 5 ) &lt;&gt; 100% ) )</f>
        <v>0</v>
      </c>
      <c r="O209" s="202"/>
      <c r="P209" s="202"/>
      <c r="Q209" s="202"/>
      <c r="R209" s="181">
        <f t="shared" si="29"/>
        <v>0</v>
      </c>
      <c r="S209" s="181">
        <f t="shared" si="29"/>
        <v>0</v>
      </c>
      <c r="T209" s="181">
        <f t="shared" si="29"/>
        <v>0</v>
      </c>
      <c r="U209" s="181">
        <f t="shared" si="29"/>
        <v>0</v>
      </c>
      <c r="V209" s="181">
        <f t="shared" si="29"/>
        <v>0</v>
      </c>
      <c r="W209" s="198">
        <f xml:space="preserve"> SUM( R209:V209 )</f>
        <v>0</v>
      </c>
    </row>
    <row r="210" spans="4:23" ht="15" customHeight="1">
      <c r="D210" s="85" t="str">
        <f xml:space="preserve"> '2.1 Model setup'!K81</f>
        <v>5.2 Øvrige omkostninger</v>
      </c>
      <c r="F210" s="121"/>
      <c r="G210" s="121"/>
      <c r="H210" s="121"/>
      <c r="I210" s="121"/>
      <c r="J210" s="121"/>
      <c r="K210" s="5" t="s">
        <v>4</v>
      </c>
      <c r="L210" s="85">
        <f t="shared" si="25"/>
        <v>0</v>
      </c>
      <c r="O210" s="202"/>
      <c r="P210" s="202"/>
      <c r="Q210" s="202"/>
      <c r="R210" s="181">
        <f t="shared" si="29"/>
        <v>0</v>
      </c>
      <c r="S210" s="181">
        <f t="shared" si="29"/>
        <v>0</v>
      </c>
      <c r="T210" s="181">
        <f t="shared" si="29"/>
        <v>0</v>
      </c>
      <c r="U210" s="181">
        <f t="shared" si="29"/>
        <v>0</v>
      </c>
      <c r="V210" s="181">
        <f t="shared" si="29"/>
        <v>0</v>
      </c>
      <c r="W210" s="198">
        <f t="shared" si="27"/>
        <v>0</v>
      </c>
    </row>
    <row r="211" spans="4:23" ht="15" customHeight="1">
      <c r="D211" s="85" t="str">
        <f xml:space="preserve"> '2.1 Model setup'!K82</f>
        <v>6.1 Afskrivninger på transformerstationer</v>
      </c>
      <c r="F211" s="121"/>
      <c r="G211" s="121"/>
      <c r="H211" s="121"/>
      <c r="I211" s="121"/>
      <c r="J211" s="121"/>
      <c r="K211" s="5" t="s">
        <v>4</v>
      </c>
      <c r="L211" s="85">
        <f t="shared" si="25"/>
        <v>0</v>
      </c>
      <c r="O211" s="202"/>
      <c r="P211" s="202"/>
      <c r="Q211" s="202"/>
      <c r="R211" s="181">
        <f t="shared" si="29"/>
        <v>0</v>
      </c>
      <c r="S211" s="181">
        <f t="shared" si="29"/>
        <v>0</v>
      </c>
      <c r="T211" s="181">
        <f t="shared" si="29"/>
        <v>0</v>
      </c>
      <c r="U211" s="181">
        <f t="shared" si="29"/>
        <v>0</v>
      </c>
      <c r="V211" s="181">
        <f t="shared" si="29"/>
        <v>0</v>
      </c>
      <c r="W211" s="198">
        <f t="shared" si="27"/>
        <v>0</v>
      </c>
    </row>
    <row r="212" spans="4:23" ht="15" customHeight="1">
      <c r="D212" s="85" t="str">
        <f xml:space="preserve"> '2.1 Model setup'!K83</f>
        <v>6.2 Afskrivninger på netaktiver ekskl. målere og transformerstationer</v>
      </c>
      <c r="F212" s="121"/>
      <c r="G212" s="121"/>
      <c r="H212" s="121"/>
      <c r="I212" s="121"/>
      <c r="J212" s="121"/>
      <c r="K212" s="5" t="s">
        <v>4</v>
      </c>
      <c r="L212" s="85">
        <f t="shared" si="25"/>
        <v>0</v>
      </c>
      <c r="O212" s="202"/>
      <c r="P212" s="202"/>
      <c r="Q212" s="202"/>
      <c r="R212" s="181">
        <f t="shared" si="29"/>
        <v>0</v>
      </c>
      <c r="S212" s="181">
        <f t="shared" si="29"/>
        <v>0</v>
      </c>
      <c r="T212" s="181">
        <f t="shared" si="29"/>
        <v>0</v>
      </c>
      <c r="U212" s="181">
        <f t="shared" si="29"/>
        <v>0</v>
      </c>
      <c r="V212" s="181">
        <f t="shared" si="29"/>
        <v>0</v>
      </c>
      <c r="W212" s="198">
        <f t="shared" si="27"/>
        <v>0</v>
      </c>
    </row>
    <row r="213" spans="4:23" ht="15" customHeight="1">
      <c r="D213" s="99" t="str">
        <f xml:space="preserve"> '2.1 Model setup'!K84</f>
        <v>6.3 Afskrivninger på målere</v>
      </c>
      <c r="E213" s="27"/>
      <c r="F213" s="131"/>
      <c r="G213" s="131"/>
      <c r="H213" s="131"/>
      <c r="I213" s="131"/>
      <c r="J213" s="131"/>
      <c r="K213" s="32" t="s">
        <v>4</v>
      </c>
      <c r="L213" s="99">
        <f t="shared" si="25"/>
        <v>0</v>
      </c>
      <c r="M213" s="27"/>
      <c r="N213" s="27"/>
      <c r="O213" s="269"/>
      <c r="P213" s="269"/>
      <c r="Q213" s="269"/>
      <c r="R213" s="182">
        <f t="shared" si="29"/>
        <v>0</v>
      </c>
      <c r="S213" s="182">
        <f t="shared" si="29"/>
        <v>0</v>
      </c>
      <c r="T213" s="182">
        <f t="shared" si="29"/>
        <v>0</v>
      </c>
      <c r="U213" s="182">
        <f t="shared" si="29"/>
        <v>0</v>
      </c>
      <c r="V213" s="182">
        <f t="shared" si="29"/>
        <v>0</v>
      </c>
      <c r="W213" s="199">
        <f t="shared" si="27"/>
        <v>0</v>
      </c>
    </row>
    <row r="214" spans="4:23" ht="15" customHeight="1">
      <c r="D214" s="1"/>
    </row>
    <row r="215" spans="4:23" ht="15" customHeight="1">
      <c r="D215" s="97" t="s">
        <v>466</v>
      </c>
      <c r="E215" s="27"/>
      <c r="F215" s="27"/>
      <c r="G215" s="27"/>
      <c r="H215" s="27"/>
      <c r="I215" s="27"/>
      <c r="J215" s="27"/>
      <c r="K215" s="32"/>
      <c r="L215" s="27"/>
      <c r="M215" s="27"/>
      <c r="N215" s="185"/>
      <c r="O215" s="185"/>
      <c r="P215" s="185"/>
      <c r="Q215" s="185"/>
      <c r="R215" s="27"/>
      <c r="S215" s="27"/>
      <c r="T215" s="27"/>
      <c r="U215" s="27"/>
      <c r="V215" s="27"/>
      <c r="W215" s="185" t="s">
        <v>16</v>
      </c>
    </row>
    <row r="216" spans="4:23" ht="15" customHeight="1">
      <c r="D216" s="85" t="str">
        <f xml:space="preserve"> '2.1 Model setup'!K70</f>
        <v>1.1 Drift og vedligeholdelse af transformerstationer</v>
      </c>
      <c r="F216" s="121"/>
      <c r="G216" s="121"/>
      <c r="H216" s="121"/>
      <c r="I216" s="121"/>
      <c r="J216" s="121"/>
      <c r="K216" s="5" t="s">
        <v>4</v>
      </c>
      <c r="L216" s="85">
        <f t="shared" ref="L216:L230" si="30" xml:space="preserve"> -- ( IF( COUNTIF( R216:V216, "&lt;&gt;0" ) = 0, 0, ROUND( SUM( R216:V216 ), 5 ) &lt;&gt; 100% ) )</f>
        <v>0</v>
      </c>
      <c r="N216" s="15"/>
      <c r="O216" s="202"/>
      <c r="P216" s="202"/>
      <c r="Q216" s="202"/>
      <c r="R216" s="181">
        <f t="shared" ref="R216:V217" si="31" xml:space="preserve"> IF( $W112 = 0, 0, R112 / $W112 )</f>
        <v>0</v>
      </c>
      <c r="S216" s="181">
        <f t="shared" si="31"/>
        <v>0</v>
      </c>
      <c r="T216" s="181">
        <f t="shared" si="31"/>
        <v>0</v>
      </c>
      <c r="U216" s="181">
        <f t="shared" si="31"/>
        <v>0</v>
      </c>
      <c r="V216" s="181">
        <f t="shared" si="31"/>
        <v>0</v>
      </c>
      <c r="W216" s="198">
        <f xml:space="preserve"> SUM( R216:V216 )</f>
        <v>0</v>
      </c>
    </row>
    <row r="217" spans="4:23" ht="15" customHeight="1">
      <c r="D217" s="85" t="str">
        <f xml:space="preserve"> '2.1 Model setup'!K71</f>
        <v>1.2 Drift og vedligeholdelse af ledningsnet</v>
      </c>
      <c r="F217" s="121"/>
      <c r="G217" s="121"/>
      <c r="H217" s="121"/>
      <c r="I217" s="121"/>
      <c r="J217" s="121"/>
      <c r="K217" s="5" t="s">
        <v>4</v>
      </c>
      <c r="L217" s="85">
        <f t="shared" si="30"/>
        <v>0</v>
      </c>
      <c r="O217" s="202"/>
      <c r="P217" s="202"/>
      <c r="Q217" s="202"/>
      <c r="R217" s="181">
        <f t="shared" si="31"/>
        <v>0</v>
      </c>
      <c r="S217" s="181">
        <f t="shared" si="31"/>
        <v>0</v>
      </c>
      <c r="T217" s="181">
        <f t="shared" si="31"/>
        <v>0</v>
      </c>
      <c r="U217" s="181">
        <f t="shared" si="31"/>
        <v>0</v>
      </c>
      <c r="V217" s="181">
        <f t="shared" si="31"/>
        <v>0</v>
      </c>
      <c r="W217" s="198">
        <f t="shared" ref="W217:W230" si="32" xml:space="preserve"> SUM( R217:V217 )</f>
        <v>0</v>
      </c>
    </row>
    <row r="218" spans="4:23" ht="15" customHeight="1">
      <c r="D218" s="85" t="str">
        <f xml:space="preserve"> '2.1 Model setup'!K72</f>
        <v>1.3 Øvrige omkostninger til drift, styring og kontrol af elnettet</v>
      </c>
      <c r="F218" s="121"/>
      <c r="G218" s="121"/>
      <c r="H218" s="121"/>
      <c r="I218" s="121"/>
      <c r="J218" s="121"/>
      <c r="K218" s="5" t="s">
        <v>4</v>
      </c>
      <c r="L218" s="85">
        <f t="shared" si="30"/>
        <v>0</v>
      </c>
      <c r="O218" s="202"/>
      <c r="P218" s="202"/>
      <c r="Q218" s="202"/>
      <c r="R218" s="181">
        <f t="shared" ref="R218:V219" si="33" xml:space="preserve"> IF( $W114 = 0, 0, R114 / $W114 )</f>
        <v>0</v>
      </c>
      <c r="S218" s="181">
        <f t="shared" si="33"/>
        <v>0</v>
      </c>
      <c r="T218" s="181">
        <f t="shared" si="33"/>
        <v>0</v>
      </c>
      <c r="U218" s="181">
        <f t="shared" si="33"/>
        <v>0</v>
      </c>
      <c r="V218" s="181">
        <f t="shared" si="33"/>
        <v>0</v>
      </c>
      <c r="W218" s="198">
        <f t="shared" si="32"/>
        <v>0</v>
      </c>
    </row>
    <row r="219" spans="4:23" ht="15" customHeight="1">
      <c r="D219" s="85" t="str">
        <f xml:space="preserve"> '2.1 Model setup'!K73</f>
        <v>1.4 Omkostninger vedrørende 132-150/30-60 kV-stationer</v>
      </c>
      <c r="F219" s="121"/>
      <c r="G219" s="121"/>
      <c r="H219" s="121"/>
      <c r="I219" s="121"/>
      <c r="J219" s="121"/>
      <c r="K219" s="5" t="s">
        <v>4</v>
      </c>
      <c r="L219" s="85">
        <f xml:space="preserve"> -- ( IF( COUNTIF( R219:V219, "&lt;&gt;0" ) = 0, 0, ROUND( SUM( R219:V219 ), 5 ) &lt;&gt; 100% ) )</f>
        <v>0</v>
      </c>
      <c r="O219" s="202"/>
      <c r="P219" s="202"/>
      <c r="Q219" s="202"/>
      <c r="R219" s="181">
        <f t="shared" si="33"/>
        <v>0</v>
      </c>
      <c r="S219" s="181">
        <f t="shared" si="33"/>
        <v>0</v>
      </c>
      <c r="T219" s="181">
        <f t="shared" si="33"/>
        <v>0</v>
      </c>
      <c r="U219" s="181">
        <f t="shared" si="33"/>
        <v>0</v>
      </c>
      <c r="V219" s="181">
        <f t="shared" si="33"/>
        <v>0</v>
      </c>
      <c r="W219" s="198">
        <f xml:space="preserve"> SUM( R219:V219 )</f>
        <v>0</v>
      </c>
    </row>
    <row r="220" spans="4:23" ht="15" customHeight="1">
      <c r="D220" s="85" t="str">
        <f xml:space="preserve"> '2.1 Model setup'!K74</f>
        <v>2.1 Drift og vedligeholdelse af målere</v>
      </c>
      <c r="F220" s="121"/>
      <c r="G220" s="121"/>
      <c r="H220" s="121"/>
      <c r="I220" s="121"/>
      <c r="J220" s="121"/>
      <c r="K220" s="5" t="s">
        <v>4</v>
      </c>
      <c r="L220" s="85">
        <f t="shared" si="30"/>
        <v>0</v>
      </c>
      <c r="O220" s="202"/>
      <c r="P220" s="202"/>
      <c r="Q220" s="202"/>
      <c r="R220" s="181">
        <f t="shared" ref="R220:V230" si="34" xml:space="preserve"> IF( $W116 = 0, 0, R116 / $W116 )</f>
        <v>0</v>
      </c>
      <c r="S220" s="181">
        <f t="shared" si="34"/>
        <v>0</v>
      </c>
      <c r="T220" s="181">
        <f t="shared" si="34"/>
        <v>0</v>
      </c>
      <c r="U220" s="181">
        <f t="shared" si="34"/>
        <v>0</v>
      </c>
      <c r="V220" s="181">
        <f t="shared" si="34"/>
        <v>0</v>
      </c>
      <c r="W220" s="198">
        <f t="shared" si="32"/>
        <v>0</v>
      </c>
    </row>
    <row r="221" spans="4:23" ht="15" customHeight="1">
      <c r="D221" s="85" t="str">
        <f xml:space="preserve"> '2.1 Model setup'!K75</f>
        <v>2.2 Indhentning og validering af målerdata</v>
      </c>
      <c r="F221" s="121"/>
      <c r="G221" s="121"/>
      <c r="H221" s="121"/>
      <c r="I221" s="121"/>
      <c r="J221" s="121"/>
      <c r="K221" s="5" t="s">
        <v>4</v>
      </c>
      <c r="L221" s="85">
        <f t="shared" si="30"/>
        <v>0</v>
      </c>
      <c r="O221" s="202"/>
      <c r="P221" s="202"/>
      <c r="Q221" s="202"/>
      <c r="R221" s="181">
        <f t="shared" si="34"/>
        <v>0</v>
      </c>
      <c r="S221" s="181">
        <f t="shared" si="34"/>
        <v>0</v>
      </c>
      <c r="T221" s="181">
        <f t="shared" si="34"/>
        <v>0</v>
      </c>
      <c r="U221" s="181">
        <f t="shared" si="34"/>
        <v>0</v>
      </c>
      <c r="V221" s="181">
        <f t="shared" si="34"/>
        <v>0</v>
      </c>
      <c r="W221" s="198">
        <f t="shared" si="32"/>
        <v>0</v>
      </c>
    </row>
    <row r="222" spans="4:23" ht="15" customHeight="1">
      <c r="D222" s="85" t="str">
        <f xml:space="preserve"> '2.1 Model setup'!K76</f>
        <v>2.3 Måleradministration og kundehåndtering</v>
      </c>
      <c r="F222" s="121"/>
      <c r="G222" s="121"/>
      <c r="H222" s="121"/>
      <c r="I222" s="121"/>
      <c r="J222" s="121"/>
      <c r="K222" s="5" t="s">
        <v>4</v>
      </c>
      <c r="L222" s="85">
        <f t="shared" si="30"/>
        <v>0</v>
      </c>
      <c r="O222" s="202"/>
      <c r="P222" s="202"/>
      <c r="Q222" s="202"/>
      <c r="R222" s="181">
        <f t="shared" si="34"/>
        <v>0</v>
      </c>
      <c r="S222" s="181">
        <f t="shared" si="34"/>
        <v>0</v>
      </c>
      <c r="T222" s="181">
        <f t="shared" si="34"/>
        <v>0</v>
      </c>
      <c r="U222" s="181">
        <f t="shared" si="34"/>
        <v>0</v>
      </c>
      <c r="V222" s="181">
        <f t="shared" si="34"/>
        <v>0</v>
      </c>
      <c r="W222" s="198">
        <f t="shared" si="32"/>
        <v>0</v>
      </c>
    </row>
    <row r="223" spans="4:23" ht="15" customHeight="1">
      <c r="D223" s="85" t="str">
        <f xml:space="preserve"> '2.1 Model setup'!K77</f>
        <v>3.1 Generel administration</v>
      </c>
      <c r="F223" s="121"/>
      <c r="G223" s="121"/>
      <c r="H223" s="121"/>
      <c r="I223" s="121"/>
      <c r="J223" s="121"/>
      <c r="K223" s="5" t="s">
        <v>4</v>
      </c>
      <c r="L223" s="85">
        <f t="shared" si="30"/>
        <v>0</v>
      </c>
      <c r="O223" s="202"/>
      <c r="P223" s="202"/>
      <c r="Q223" s="202"/>
      <c r="R223" s="181">
        <f t="shared" si="34"/>
        <v>0</v>
      </c>
      <c r="S223" s="181">
        <f t="shared" si="34"/>
        <v>0</v>
      </c>
      <c r="T223" s="181">
        <f t="shared" si="34"/>
        <v>0</v>
      </c>
      <c r="U223" s="181">
        <f t="shared" si="34"/>
        <v>0</v>
      </c>
      <c r="V223" s="181">
        <f t="shared" si="34"/>
        <v>0</v>
      </c>
      <c r="W223" s="198">
        <f t="shared" si="32"/>
        <v>0</v>
      </c>
    </row>
    <row r="224" spans="4:23" ht="15" customHeight="1">
      <c r="D224" s="85" t="str">
        <f xml:space="preserve"> '2.1 Model setup'!K78</f>
        <v>4.1 Omkostninger vedrørende nettab i transformerstationer</v>
      </c>
      <c r="F224" s="121"/>
      <c r="G224" s="121"/>
      <c r="H224" s="121"/>
      <c r="I224" s="121"/>
      <c r="J224" s="121"/>
      <c r="K224" s="5" t="s">
        <v>4</v>
      </c>
      <c r="L224" s="85">
        <f t="shared" si="30"/>
        <v>0</v>
      </c>
      <c r="O224" s="202"/>
      <c r="P224" s="202"/>
      <c r="Q224" s="202"/>
      <c r="R224" s="181">
        <f t="shared" si="34"/>
        <v>0</v>
      </c>
      <c r="S224" s="181">
        <f t="shared" si="34"/>
        <v>0</v>
      </c>
      <c r="T224" s="181">
        <f t="shared" si="34"/>
        <v>0</v>
      </c>
      <c r="U224" s="181">
        <f t="shared" si="34"/>
        <v>0</v>
      </c>
      <c r="V224" s="181">
        <f t="shared" si="34"/>
        <v>0</v>
      </c>
      <c r="W224" s="198">
        <f t="shared" si="32"/>
        <v>0</v>
      </c>
    </row>
    <row r="225" spans="4:23" ht="15" customHeight="1">
      <c r="D225" s="85" t="str">
        <f xml:space="preserve"> '2.1 Model setup'!K79</f>
        <v>4.2 Omkostninger vedrørende nettab i ledningsnettet</v>
      </c>
      <c r="F225" s="121"/>
      <c r="G225" s="121"/>
      <c r="H225" s="121"/>
      <c r="I225" s="121"/>
      <c r="J225" s="121"/>
      <c r="K225" s="5" t="s">
        <v>4</v>
      </c>
      <c r="L225" s="85">
        <f t="shared" si="30"/>
        <v>0</v>
      </c>
      <c r="O225" s="202"/>
      <c r="P225" s="202"/>
      <c r="Q225" s="202"/>
      <c r="R225" s="181">
        <f t="shared" si="34"/>
        <v>0</v>
      </c>
      <c r="S225" s="181">
        <f t="shared" si="34"/>
        <v>0</v>
      </c>
      <c r="T225" s="181">
        <f t="shared" si="34"/>
        <v>0</v>
      </c>
      <c r="U225" s="181">
        <f t="shared" si="34"/>
        <v>0</v>
      </c>
      <c r="V225" s="181">
        <f t="shared" si="34"/>
        <v>0</v>
      </c>
      <c r="W225" s="198">
        <f t="shared" si="32"/>
        <v>0</v>
      </c>
    </row>
    <row r="226" spans="4:23" ht="15" customHeight="1">
      <c r="D226" s="85" t="str">
        <f xml:space="preserve"> '2.1 Model setup'!K80</f>
        <v>5.1 Omkostninger til overliggende net ifm. forbrug</v>
      </c>
      <c r="F226" s="121"/>
      <c r="G226" s="121"/>
      <c r="H226" s="121"/>
      <c r="I226" s="121"/>
      <c r="J226" s="121"/>
      <c r="K226" s="5" t="s">
        <v>4</v>
      </c>
      <c r="L226" s="85">
        <f xml:space="preserve"> -- ( IF( COUNTIF( R226:V226, "&lt;&gt;0" ) = 0, 0, ROUND( SUM( R226:V226 ), 5 ) &lt;&gt; 100% ) )</f>
        <v>0</v>
      </c>
      <c r="O226" s="202"/>
      <c r="P226" s="202"/>
      <c r="Q226" s="202"/>
      <c r="R226" s="181">
        <f t="shared" si="34"/>
        <v>0</v>
      </c>
      <c r="S226" s="181">
        <f t="shared" si="34"/>
        <v>0</v>
      </c>
      <c r="T226" s="181">
        <f t="shared" si="34"/>
        <v>0</v>
      </c>
      <c r="U226" s="181">
        <f t="shared" si="34"/>
        <v>0</v>
      </c>
      <c r="V226" s="181">
        <f t="shared" si="34"/>
        <v>0</v>
      </c>
      <c r="W226" s="198">
        <f xml:space="preserve"> SUM( R226:V226 )</f>
        <v>0</v>
      </c>
    </row>
    <row r="227" spans="4:23" ht="15" customHeight="1">
      <c r="D227" s="85" t="str">
        <f xml:space="preserve"> '2.1 Model setup'!K81</f>
        <v>5.2 Øvrige omkostninger</v>
      </c>
      <c r="F227" s="121"/>
      <c r="G227" s="121"/>
      <c r="H227" s="121"/>
      <c r="I227" s="121"/>
      <c r="J227" s="121"/>
      <c r="K227" s="5" t="s">
        <v>4</v>
      </c>
      <c r="L227" s="85">
        <f t="shared" si="30"/>
        <v>0</v>
      </c>
      <c r="O227" s="202"/>
      <c r="P227" s="202"/>
      <c r="Q227" s="202"/>
      <c r="R227" s="181">
        <f t="shared" si="34"/>
        <v>0</v>
      </c>
      <c r="S227" s="181">
        <f t="shared" si="34"/>
        <v>0</v>
      </c>
      <c r="T227" s="181">
        <f t="shared" si="34"/>
        <v>0</v>
      </c>
      <c r="U227" s="181">
        <f t="shared" si="34"/>
        <v>0</v>
      </c>
      <c r="V227" s="181">
        <f t="shared" si="34"/>
        <v>0</v>
      </c>
      <c r="W227" s="198">
        <f t="shared" si="32"/>
        <v>0</v>
      </c>
    </row>
    <row r="228" spans="4:23" ht="15" customHeight="1">
      <c r="D228" s="85" t="str">
        <f xml:space="preserve"> '2.1 Model setup'!K82</f>
        <v>6.1 Afskrivninger på transformerstationer</v>
      </c>
      <c r="F228" s="121"/>
      <c r="G228" s="121"/>
      <c r="H228" s="121"/>
      <c r="I228" s="121"/>
      <c r="J228" s="121"/>
      <c r="K228" s="5" t="s">
        <v>4</v>
      </c>
      <c r="L228" s="85">
        <f t="shared" si="30"/>
        <v>0</v>
      </c>
      <c r="O228" s="202"/>
      <c r="P228" s="202"/>
      <c r="Q228" s="202"/>
      <c r="R228" s="181">
        <f t="shared" si="34"/>
        <v>0</v>
      </c>
      <c r="S228" s="181">
        <f t="shared" si="34"/>
        <v>0</v>
      </c>
      <c r="T228" s="181">
        <f t="shared" si="34"/>
        <v>0</v>
      </c>
      <c r="U228" s="181">
        <f t="shared" si="34"/>
        <v>0</v>
      </c>
      <c r="V228" s="181">
        <f t="shared" si="34"/>
        <v>0</v>
      </c>
      <c r="W228" s="198">
        <f t="shared" si="32"/>
        <v>0</v>
      </c>
    </row>
    <row r="229" spans="4:23" ht="15" customHeight="1">
      <c r="D229" s="85" t="str">
        <f xml:space="preserve"> '2.1 Model setup'!K83</f>
        <v>6.2 Afskrivninger på netaktiver ekskl. målere og transformerstationer</v>
      </c>
      <c r="F229" s="121"/>
      <c r="G229" s="121"/>
      <c r="H229" s="121"/>
      <c r="I229" s="121"/>
      <c r="J229" s="121"/>
      <c r="K229" s="5" t="s">
        <v>4</v>
      </c>
      <c r="L229" s="85">
        <f t="shared" si="30"/>
        <v>0</v>
      </c>
      <c r="O229" s="202"/>
      <c r="P229" s="202"/>
      <c r="Q229" s="202"/>
      <c r="R229" s="181">
        <f t="shared" si="34"/>
        <v>0</v>
      </c>
      <c r="S229" s="181">
        <f t="shared" si="34"/>
        <v>0</v>
      </c>
      <c r="T229" s="181">
        <f t="shared" si="34"/>
        <v>0</v>
      </c>
      <c r="U229" s="181">
        <f t="shared" si="34"/>
        <v>0</v>
      </c>
      <c r="V229" s="181">
        <f t="shared" si="34"/>
        <v>0</v>
      </c>
      <c r="W229" s="198">
        <f t="shared" si="32"/>
        <v>0</v>
      </c>
    </row>
    <row r="230" spans="4:23" ht="15" customHeight="1">
      <c r="D230" s="99" t="str">
        <f xml:space="preserve"> '2.1 Model setup'!K84</f>
        <v>6.3 Afskrivninger på målere</v>
      </c>
      <c r="E230" s="27"/>
      <c r="F230" s="131"/>
      <c r="G230" s="131"/>
      <c r="H230" s="131"/>
      <c r="I230" s="131"/>
      <c r="J230" s="131"/>
      <c r="K230" s="32" t="s">
        <v>4</v>
      </c>
      <c r="L230" s="99">
        <f t="shared" si="30"/>
        <v>0</v>
      </c>
      <c r="M230" s="27"/>
      <c r="N230" s="27"/>
      <c r="O230" s="269"/>
      <c r="P230" s="269"/>
      <c r="Q230" s="269"/>
      <c r="R230" s="182">
        <f t="shared" si="34"/>
        <v>0</v>
      </c>
      <c r="S230" s="182">
        <f t="shared" si="34"/>
        <v>0</v>
      </c>
      <c r="T230" s="182">
        <f t="shared" si="34"/>
        <v>0</v>
      </c>
      <c r="U230" s="182">
        <f t="shared" si="34"/>
        <v>0</v>
      </c>
      <c r="V230" s="182">
        <f t="shared" si="34"/>
        <v>0</v>
      </c>
      <c r="W230" s="199">
        <f t="shared" si="32"/>
        <v>0</v>
      </c>
    </row>
    <row r="231" spans="4:23" ht="15" customHeight="1">
      <c r="D231" s="1"/>
    </row>
    <row r="232" spans="4:23" ht="15" customHeight="1">
      <c r="D232" s="97" t="s">
        <v>460</v>
      </c>
      <c r="E232" s="27"/>
      <c r="F232" s="27"/>
      <c r="G232" s="27"/>
      <c r="H232" s="27"/>
      <c r="I232" s="27"/>
      <c r="J232" s="27"/>
      <c r="K232" s="32"/>
      <c r="L232" s="27"/>
      <c r="M232" s="27"/>
      <c r="N232" s="185"/>
      <c r="O232" s="185"/>
      <c r="P232" s="185"/>
      <c r="Q232" s="185"/>
      <c r="R232" s="27"/>
      <c r="S232" s="27"/>
      <c r="T232" s="27"/>
      <c r="U232" s="27"/>
      <c r="V232" s="27"/>
      <c r="W232" s="185" t="s">
        <v>16</v>
      </c>
    </row>
    <row r="233" spans="4:23" ht="15" customHeight="1">
      <c r="D233" s="85" t="str">
        <f xml:space="preserve"> '2.1 Model setup'!K70</f>
        <v>1.1 Drift og vedligeholdelse af transformerstationer</v>
      </c>
      <c r="F233" s="121"/>
      <c r="G233" s="121"/>
      <c r="H233" s="121"/>
      <c r="I233" s="121"/>
      <c r="J233" s="121"/>
      <c r="K233" s="5" t="s">
        <v>4</v>
      </c>
      <c r="L233" s="85">
        <f t="shared" ref="L233:L247" si="35" xml:space="preserve"> -- ( IF( COUNTIF( R233:V233, "&lt;&gt;0" ) = 0, 0, ROUND( SUM( R233:V233 ), 5 ) &lt;&gt; 100% ) )</f>
        <v>0</v>
      </c>
      <c r="N233" s="15"/>
      <c r="O233" s="202"/>
      <c r="P233" s="202"/>
      <c r="Q233" s="202"/>
      <c r="R233" s="181">
        <f t="shared" ref="R233:V247" si="36" xml:space="preserve"> IF( $W91 = 0, 0, R91 / $W91 )</f>
        <v>0</v>
      </c>
      <c r="S233" s="181">
        <f t="shared" si="36"/>
        <v>0</v>
      </c>
      <c r="T233" s="181">
        <f t="shared" si="36"/>
        <v>0</v>
      </c>
      <c r="U233" s="181">
        <f t="shared" si="36"/>
        <v>0</v>
      </c>
      <c r="V233" s="181">
        <f t="shared" si="36"/>
        <v>0</v>
      </c>
      <c r="W233" s="198">
        <f xml:space="preserve"> SUM( R233:V233 )</f>
        <v>0</v>
      </c>
    </row>
    <row r="234" spans="4:23" ht="15" customHeight="1">
      <c r="D234" s="85" t="str">
        <f xml:space="preserve"> '2.1 Model setup'!K71</f>
        <v>1.2 Drift og vedligeholdelse af ledningsnet</v>
      </c>
      <c r="F234" s="121"/>
      <c r="G234" s="121"/>
      <c r="H234" s="121"/>
      <c r="I234" s="121"/>
      <c r="J234" s="121"/>
      <c r="K234" s="5" t="s">
        <v>4</v>
      </c>
      <c r="L234" s="85">
        <f t="shared" si="35"/>
        <v>0</v>
      </c>
      <c r="O234" s="202"/>
      <c r="P234" s="202"/>
      <c r="Q234" s="202"/>
      <c r="R234" s="181">
        <f t="shared" si="36"/>
        <v>0</v>
      </c>
      <c r="S234" s="181">
        <f t="shared" si="36"/>
        <v>0</v>
      </c>
      <c r="T234" s="181">
        <f t="shared" si="36"/>
        <v>0</v>
      </c>
      <c r="U234" s="181">
        <f t="shared" si="36"/>
        <v>0</v>
      </c>
      <c r="V234" s="181">
        <f t="shared" si="36"/>
        <v>0</v>
      </c>
      <c r="W234" s="198">
        <f t="shared" ref="W234:W247" si="37" xml:space="preserve"> SUM( R234:V234 )</f>
        <v>0</v>
      </c>
    </row>
    <row r="235" spans="4:23" ht="15" customHeight="1">
      <c r="D235" s="85" t="str">
        <f xml:space="preserve"> '2.1 Model setup'!K72</f>
        <v>1.3 Øvrige omkostninger til drift, styring og kontrol af elnettet</v>
      </c>
      <c r="F235" s="121"/>
      <c r="G235" s="121"/>
      <c r="H235" s="121"/>
      <c r="I235" s="121"/>
      <c r="J235" s="121"/>
      <c r="K235" s="5" t="s">
        <v>4</v>
      </c>
      <c r="L235" s="85">
        <f t="shared" si="35"/>
        <v>0</v>
      </c>
      <c r="O235" s="202"/>
      <c r="P235" s="202"/>
      <c r="Q235" s="202"/>
      <c r="R235" s="181">
        <f t="shared" si="36"/>
        <v>0</v>
      </c>
      <c r="S235" s="181">
        <f t="shared" si="36"/>
        <v>0</v>
      </c>
      <c r="T235" s="181">
        <f t="shared" si="36"/>
        <v>0</v>
      </c>
      <c r="U235" s="181">
        <f t="shared" si="36"/>
        <v>0</v>
      </c>
      <c r="V235" s="181">
        <f t="shared" si="36"/>
        <v>0</v>
      </c>
      <c r="W235" s="198">
        <f t="shared" si="37"/>
        <v>0</v>
      </c>
    </row>
    <row r="236" spans="4:23" ht="15" customHeight="1">
      <c r="D236" s="85" t="str">
        <f xml:space="preserve"> '2.1 Model setup'!K73</f>
        <v>1.4 Omkostninger vedrørende 132-150/30-60 kV-stationer</v>
      </c>
      <c r="F236" s="121"/>
      <c r="G236" s="121"/>
      <c r="H236" s="121"/>
      <c r="I236" s="121"/>
      <c r="J236" s="121"/>
      <c r="K236" s="5" t="s">
        <v>4</v>
      </c>
      <c r="L236" s="85">
        <f xml:space="preserve"> -- ( IF( COUNTIF( R236:V236, "&lt;&gt;0" ) = 0, 0, ROUND( SUM( R236:V236 ), 5 ) &lt;&gt; 100% ) )</f>
        <v>0</v>
      </c>
      <c r="O236" s="202"/>
      <c r="P236" s="202"/>
      <c r="Q236" s="202"/>
      <c r="R236" s="181">
        <f t="shared" si="36"/>
        <v>0</v>
      </c>
      <c r="S236" s="181">
        <f t="shared" si="36"/>
        <v>0</v>
      </c>
      <c r="T236" s="181">
        <f t="shared" si="36"/>
        <v>0</v>
      </c>
      <c r="U236" s="181">
        <f t="shared" si="36"/>
        <v>0</v>
      </c>
      <c r="V236" s="181">
        <f t="shared" si="36"/>
        <v>0</v>
      </c>
      <c r="W236" s="198">
        <f xml:space="preserve"> SUM( R236:V236 )</f>
        <v>0</v>
      </c>
    </row>
    <row r="237" spans="4:23" ht="15" customHeight="1">
      <c r="D237" s="85" t="str">
        <f xml:space="preserve"> '2.1 Model setup'!K74</f>
        <v>2.1 Drift og vedligeholdelse af målere</v>
      </c>
      <c r="F237" s="121"/>
      <c r="G237" s="121"/>
      <c r="H237" s="121"/>
      <c r="I237" s="121"/>
      <c r="J237" s="121"/>
      <c r="K237" s="5" t="s">
        <v>4</v>
      </c>
      <c r="L237" s="85">
        <f t="shared" si="35"/>
        <v>0</v>
      </c>
      <c r="O237" s="202"/>
      <c r="P237" s="202"/>
      <c r="Q237" s="202"/>
      <c r="R237" s="181">
        <f t="shared" si="36"/>
        <v>0</v>
      </c>
      <c r="S237" s="181">
        <f t="shared" si="36"/>
        <v>0</v>
      </c>
      <c r="T237" s="181">
        <f t="shared" si="36"/>
        <v>0</v>
      </c>
      <c r="U237" s="181">
        <f t="shared" si="36"/>
        <v>0</v>
      </c>
      <c r="V237" s="181">
        <f t="shared" si="36"/>
        <v>0</v>
      </c>
      <c r="W237" s="198">
        <f t="shared" si="37"/>
        <v>0</v>
      </c>
    </row>
    <row r="238" spans="4:23" ht="15" customHeight="1">
      <c r="D238" s="85" t="str">
        <f xml:space="preserve"> '2.1 Model setup'!K75</f>
        <v>2.2 Indhentning og validering af målerdata</v>
      </c>
      <c r="F238" s="121"/>
      <c r="G238" s="121"/>
      <c r="H238" s="121"/>
      <c r="I238" s="121"/>
      <c r="J238" s="121"/>
      <c r="K238" s="5" t="s">
        <v>4</v>
      </c>
      <c r="L238" s="85">
        <f t="shared" si="35"/>
        <v>0</v>
      </c>
      <c r="O238" s="202"/>
      <c r="P238" s="202"/>
      <c r="Q238" s="202"/>
      <c r="R238" s="181">
        <f t="shared" si="36"/>
        <v>0</v>
      </c>
      <c r="S238" s="181">
        <f t="shared" si="36"/>
        <v>0</v>
      </c>
      <c r="T238" s="181">
        <f t="shared" si="36"/>
        <v>0</v>
      </c>
      <c r="U238" s="181">
        <f t="shared" si="36"/>
        <v>0</v>
      </c>
      <c r="V238" s="181">
        <f t="shared" si="36"/>
        <v>0</v>
      </c>
      <c r="W238" s="198">
        <f t="shared" si="37"/>
        <v>0</v>
      </c>
    </row>
    <row r="239" spans="4:23" ht="15" customHeight="1">
      <c r="D239" s="85" t="str">
        <f xml:space="preserve"> '2.1 Model setup'!K76</f>
        <v>2.3 Måleradministration og kundehåndtering</v>
      </c>
      <c r="F239" s="121"/>
      <c r="G239" s="121"/>
      <c r="H239" s="121"/>
      <c r="I239" s="121"/>
      <c r="J239" s="121"/>
      <c r="K239" s="5" t="s">
        <v>4</v>
      </c>
      <c r="L239" s="85">
        <f t="shared" si="35"/>
        <v>0</v>
      </c>
      <c r="O239" s="202"/>
      <c r="P239" s="202"/>
      <c r="Q239" s="202"/>
      <c r="R239" s="181">
        <f t="shared" si="36"/>
        <v>0</v>
      </c>
      <c r="S239" s="181">
        <f t="shared" si="36"/>
        <v>0</v>
      </c>
      <c r="T239" s="181">
        <f t="shared" si="36"/>
        <v>0</v>
      </c>
      <c r="U239" s="181">
        <f t="shared" si="36"/>
        <v>0</v>
      </c>
      <c r="V239" s="181">
        <f t="shared" si="36"/>
        <v>0</v>
      </c>
      <c r="W239" s="198">
        <f t="shared" si="37"/>
        <v>0</v>
      </c>
    </row>
    <row r="240" spans="4:23" ht="15" customHeight="1">
      <c r="D240" s="85" t="str">
        <f xml:space="preserve"> '2.1 Model setup'!K77</f>
        <v>3.1 Generel administration</v>
      </c>
      <c r="F240" s="121"/>
      <c r="G240" s="121"/>
      <c r="H240" s="121"/>
      <c r="I240" s="121"/>
      <c r="J240" s="121"/>
      <c r="K240" s="5" t="s">
        <v>4</v>
      </c>
      <c r="L240" s="85">
        <f t="shared" si="35"/>
        <v>0</v>
      </c>
      <c r="O240" s="202"/>
      <c r="P240" s="202"/>
      <c r="Q240" s="202"/>
      <c r="R240" s="181">
        <f t="shared" si="36"/>
        <v>0</v>
      </c>
      <c r="S240" s="181">
        <f t="shared" si="36"/>
        <v>0</v>
      </c>
      <c r="T240" s="181">
        <f t="shared" si="36"/>
        <v>0</v>
      </c>
      <c r="U240" s="181">
        <f t="shared" si="36"/>
        <v>0</v>
      </c>
      <c r="V240" s="181">
        <f t="shared" si="36"/>
        <v>0</v>
      </c>
      <c r="W240" s="198">
        <f t="shared" si="37"/>
        <v>0</v>
      </c>
    </row>
    <row r="241" spans="4:23" ht="15" customHeight="1">
      <c r="D241" s="85" t="str">
        <f xml:space="preserve"> '2.1 Model setup'!K78</f>
        <v>4.1 Omkostninger vedrørende nettab i transformerstationer</v>
      </c>
      <c r="F241" s="121"/>
      <c r="G241" s="121"/>
      <c r="H241" s="121"/>
      <c r="I241" s="121"/>
      <c r="J241" s="121"/>
      <c r="K241" s="5" t="s">
        <v>4</v>
      </c>
      <c r="L241" s="85">
        <f t="shared" si="35"/>
        <v>0</v>
      </c>
      <c r="O241" s="202"/>
      <c r="P241" s="202"/>
      <c r="Q241" s="202"/>
      <c r="R241" s="181">
        <f t="shared" si="36"/>
        <v>0</v>
      </c>
      <c r="S241" s="181">
        <f t="shared" si="36"/>
        <v>0</v>
      </c>
      <c r="T241" s="181">
        <f t="shared" si="36"/>
        <v>0</v>
      </c>
      <c r="U241" s="181">
        <f t="shared" si="36"/>
        <v>0</v>
      </c>
      <c r="V241" s="181">
        <f t="shared" si="36"/>
        <v>0</v>
      </c>
      <c r="W241" s="198">
        <f t="shared" si="37"/>
        <v>0</v>
      </c>
    </row>
    <row r="242" spans="4:23" ht="15" customHeight="1">
      <c r="D242" s="85" t="str">
        <f xml:space="preserve"> '2.1 Model setup'!K79</f>
        <v>4.2 Omkostninger vedrørende nettab i ledningsnettet</v>
      </c>
      <c r="F242" s="121"/>
      <c r="G242" s="121"/>
      <c r="H242" s="121"/>
      <c r="I242" s="121"/>
      <c r="J242" s="121"/>
      <c r="K242" s="5" t="s">
        <v>4</v>
      </c>
      <c r="L242" s="85">
        <f t="shared" si="35"/>
        <v>0</v>
      </c>
      <c r="O242" s="202"/>
      <c r="P242" s="202"/>
      <c r="Q242" s="202"/>
      <c r="R242" s="181">
        <f t="shared" si="36"/>
        <v>0</v>
      </c>
      <c r="S242" s="181">
        <f t="shared" si="36"/>
        <v>0</v>
      </c>
      <c r="T242" s="181">
        <f t="shared" si="36"/>
        <v>0</v>
      </c>
      <c r="U242" s="181">
        <f t="shared" si="36"/>
        <v>0</v>
      </c>
      <c r="V242" s="181">
        <f t="shared" si="36"/>
        <v>0</v>
      </c>
      <c r="W242" s="198">
        <f t="shared" si="37"/>
        <v>0</v>
      </c>
    </row>
    <row r="243" spans="4:23" ht="15" customHeight="1">
      <c r="D243" s="85" t="str">
        <f xml:space="preserve"> '2.1 Model setup'!K80</f>
        <v>5.1 Omkostninger til overliggende net ifm. forbrug</v>
      </c>
      <c r="F243" s="121"/>
      <c r="G243" s="121"/>
      <c r="H243" s="121"/>
      <c r="I243" s="121"/>
      <c r="J243" s="121"/>
      <c r="K243" s="5" t="s">
        <v>4</v>
      </c>
      <c r="L243" s="85">
        <f xml:space="preserve"> -- ( IF( COUNTIF( R243:V243, "&lt;&gt;0" ) = 0, 0, ROUND( SUM( R243:V243 ), 5 ) &lt;&gt; 100% ) )</f>
        <v>0</v>
      </c>
      <c r="O243" s="202"/>
      <c r="P243" s="202"/>
      <c r="Q243" s="202"/>
      <c r="R243" s="181">
        <f t="shared" si="36"/>
        <v>0</v>
      </c>
      <c r="S243" s="181">
        <f t="shared" si="36"/>
        <v>0</v>
      </c>
      <c r="T243" s="181">
        <f t="shared" si="36"/>
        <v>0</v>
      </c>
      <c r="U243" s="181">
        <f t="shared" si="36"/>
        <v>0</v>
      </c>
      <c r="V243" s="181">
        <f t="shared" si="36"/>
        <v>0</v>
      </c>
      <c r="W243" s="198">
        <f xml:space="preserve"> SUM( R243:V243 )</f>
        <v>0</v>
      </c>
    </row>
    <row r="244" spans="4:23" ht="15" customHeight="1">
      <c r="D244" s="85" t="str">
        <f xml:space="preserve"> '2.1 Model setup'!K81</f>
        <v>5.2 Øvrige omkostninger</v>
      </c>
      <c r="F244" s="121"/>
      <c r="G244" s="121"/>
      <c r="H244" s="121"/>
      <c r="I244" s="121"/>
      <c r="J244" s="121"/>
      <c r="K244" s="5" t="s">
        <v>4</v>
      </c>
      <c r="L244" s="85">
        <f t="shared" si="35"/>
        <v>0</v>
      </c>
      <c r="O244" s="202"/>
      <c r="P244" s="202"/>
      <c r="Q244" s="202"/>
      <c r="R244" s="181">
        <f t="shared" si="36"/>
        <v>0</v>
      </c>
      <c r="S244" s="181">
        <f t="shared" si="36"/>
        <v>0</v>
      </c>
      <c r="T244" s="181">
        <f t="shared" si="36"/>
        <v>0</v>
      </c>
      <c r="U244" s="181">
        <f t="shared" si="36"/>
        <v>0</v>
      </c>
      <c r="V244" s="181">
        <f t="shared" si="36"/>
        <v>0</v>
      </c>
      <c r="W244" s="198">
        <f xml:space="preserve"> SUM( R244:V244 )</f>
        <v>0</v>
      </c>
    </row>
    <row r="245" spans="4:23" ht="15" customHeight="1">
      <c r="D245" s="85" t="str">
        <f xml:space="preserve"> '2.1 Model setup'!K82</f>
        <v>6.1 Afskrivninger på transformerstationer</v>
      </c>
      <c r="F245" s="121"/>
      <c r="G245" s="121"/>
      <c r="H245" s="121"/>
      <c r="I245" s="121"/>
      <c r="J245" s="121"/>
      <c r="K245" s="5" t="s">
        <v>4</v>
      </c>
      <c r="L245" s="85">
        <f t="shared" si="35"/>
        <v>0</v>
      </c>
      <c r="O245" s="202"/>
      <c r="P245" s="202"/>
      <c r="Q245" s="202"/>
      <c r="R245" s="181">
        <f t="shared" si="36"/>
        <v>0</v>
      </c>
      <c r="S245" s="181">
        <f t="shared" si="36"/>
        <v>0</v>
      </c>
      <c r="T245" s="181">
        <f t="shared" si="36"/>
        <v>0</v>
      </c>
      <c r="U245" s="181">
        <f t="shared" si="36"/>
        <v>0</v>
      </c>
      <c r="V245" s="181">
        <f t="shared" si="36"/>
        <v>0</v>
      </c>
      <c r="W245" s="198">
        <f t="shared" si="37"/>
        <v>0</v>
      </c>
    </row>
    <row r="246" spans="4:23" ht="15" customHeight="1">
      <c r="D246" s="85" t="str">
        <f xml:space="preserve"> '2.1 Model setup'!K83</f>
        <v>6.2 Afskrivninger på netaktiver ekskl. målere og transformerstationer</v>
      </c>
      <c r="F246" s="121"/>
      <c r="G246" s="121"/>
      <c r="H246" s="121"/>
      <c r="I246" s="121"/>
      <c r="J246" s="121"/>
      <c r="K246" s="5" t="s">
        <v>4</v>
      </c>
      <c r="L246" s="85">
        <f t="shared" si="35"/>
        <v>0</v>
      </c>
      <c r="O246" s="202"/>
      <c r="P246" s="202"/>
      <c r="Q246" s="202"/>
      <c r="R246" s="181">
        <f t="shared" si="36"/>
        <v>0</v>
      </c>
      <c r="S246" s="181">
        <f t="shared" si="36"/>
        <v>0</v>
      </c>
      <c r="T246" s="181">
        <f t="shared" si="36"/>
        <v>0</v>
      </c>
      <c r="U246" s="181">
        <f t="shared" si="36"/>
        <v>0</v>
      </c>
      <c r="V246" s="181">
        <f t="shared" si="36"/>
        <v>0</v>
      </c>
      <c r="W246" s="198">
        <f t="shared" si="37"/>
        <v>0</v>
      </c>
    </row>
    <row r="247" spans="4:23" ht="15" customHeight="1">
      <c r="D247" s="99" t="str">
        <f xml:space="preserve"> '2.1 Model setup'!K84</f>
        <v>6.3 Afskrivninger på målere</v>
      </c>
      <c r="E247" s="27"/>
      <c r="F247" s="131"/>
      <c r="G247" s="131"/>
      <c r="H247" s="131"/>
      <c r="I247" s="131"/>
      <c r="J247" s="131"/>
      <c r="K247" s="32" t="s">
        <v>4</v>
      </c>
      <c r="L247" s="99">
        <f t="shared" si="35"/>
        <v>0</v>
      </c>
      <c r="M247" s="27"/>
      <c r="N247" s="27"/>
      <c r="O247" s="269"/>
      <c r="P247" s="269"/>
      <c r="Q247" s="269"/>
      <c r="R247" s="182">
        <f t="shared" si="36"/>
        <v>0</v>
      </c>
      <c r="S247" s="182">
        <f t="shared" si="36"/>
        <v>0</v>
      </c>
      <c r="T247" s="182">
        <f t="shared" si="36"/>
        <v>0</v>
      </c>
      <c r="U247" s="182">
        <f t="shared" si="36"/>
        <v>0</v>
      </c>
      <c r="V247" s="182">
        <f t="shared" si="36"/>
        <v>0</v>
      </c>
      <c r="W247" s="199">
        <f t="shared" si="37"/>
        <v>0</v>
      </c>
    </row>
    <row r="248" spans="4:23" ht="15" customHeight="1">
      <c r="D248" s="1"/>
    </row>
    <row r="249" spans="4:23" ht="15" customHeight="1">
      <c r="D249" s="97" t="s">
        <v>491</v>
      </c>
      <c r="E249" s="27"/>
      <c r="F249" s="27"/>
      <c r="G249" s="27"/>
      <c r="H249" s="27"/>
      <c r="I249" s="27"/>
      <c r="J249" s="27"/>
      <c r="K249" s="32"/>
      <c r="L249" s="27"/>
      <c r="M249" s="27"/>
      <c r="N249" s="185"/>
      <c r="O249" s="185"/>
      <c r="P249" s="185"/>
      <c r="Q249" s="185"/>
      <c r="R249" s="27"/>
      <c r="S249" s="27"/>
      <c r="T249" s="27"/>
      <c r="U249" s="27"/>
      <c r="V249" s="27"/>
      <c r="W249" s="185" t="s">
        <v>16</v>
      </c>
    </row>
    <row r="250" spans="4:23" ht="15" customHeight="1">
      <c r="D250" s="85" t="str">
        <f xml:space="preserve"> '2.1 Model setup'!K70</f>
        <v>1.1 Drift og vedligeholdelse af transformerstationer</v>
      </c>
      <c r="F250" s="121"/>
      <c r="G250" s="121"/>
      <c r="H250" s="121"/>
      <c r="I250" s="121"/>
      <c r="J250" s="121"/>
      <c r="K250" s="5" t="s">
        <v>4</v>
      </c>
      <c r="L250" s="85">
        <f xml:space="preserve"> -- ( IF( COUNTIF( R250:V250, "&lt;&gt;0" ) = 0, 0, ROUND( SUM( R250:V250 ), 5 ) &lt;&gt; 100% ) )</f>
        <v>0</v>
      </c>
      <c r="N250" s="15"/>
      <c r="O250" s="202"/>
      <c r="P250" s="202"/>
      <c r="Q250" s="202"/>
      <c r="R250" s="181">
        <f t="shared" ref="R250:V264" si="38" xml:space="preserve"> IF( $W146 = 0, 0, R146 / $W146 )</f>
        <v>0</v>
      </c>
      <c r="S250" s="181">
        <f t="shared" si="38"/>
        <v>0</v>
      </c>
      <c r="T250" s="181">
        <f t="shared" si="38"/>
        <v>0</v>
      </c>
      <c r="U250" s="181">
        <f t="shared" si="38"/>
        <v>0</v>
      </c>
      <c r="V250" s="181">
        <f t="shared" si="38"/>
        <v>0</v>
      </c>
      <c r="W250" s="198">
        <f xml:space="preserve"> SUM( R250:V250 )</f>
        <v>0</v>
      </c>
    </row>
    <row r="251" spans="4:23" ht="15" customHeight="1">
      <c r="D251" s="85" t="str">
        <f xml:space="preserve"> '2.1 Model setup'!K71</f>
        <v>1.2 Drift og vedligeholdelse af ledningsnet</v>
      </c>
      <c r="F251" s="121"/>
      <c r="G251" s="121"/>
      <c r="H251" s="121"/>
      <c r="I251" s="121"/>
      <c r="J251" s="121"/>
      <c r="K251" s="5" t="s">
        <v>4</v>
      </c>
      <c r="L251" s="85">
        <f xml:space="preserve"> -- ( IF( COUNTIF( R251:V251, "&lt;&gt;0" ) = 0, 0, ROUND( SUM( R251:V251 ), 5 ) &lt;&gt; 100% ) )</f>
        <v>0</v>
      </c>
      <c r="O251" s="202"/>
      <c r="P251" s="202"/>
      <c r="Q251" s="202"/>
      <c r="R251" s="181">
        <f t="shared" si="38"/>
        <v>0</v>
      </c>
      <c r="S251" s="181">
        <f xml:space="preserve"> IF( $W147 = 0, 0, S147 / $W147 )</f>
        <v>0</v>
      </c>
      <c r="T251" s="181">
        <f t="shared" si="38"/>
        <v>0</v>
      </c>
      <c r="U251" s="181">
        <f t="shared" si="38"/>
        <v>0</v>
      </c>
      <c r="V251" s="181">
        <f t="shared" si="38"/>
        <v>0</v>
      </c>
      <c r="W251" s="198">
        <f t="shared" ref="W251:W264" si="39" xml:space="preserve"> SUM( R251:V251 )</f>
        <v>0</v>
      </c>
    </row>
    <row r="252" spans="4:23" ht="15" customHeight="1">
      <c r="D252" s="85" t="str">
        <f xml:space="preserve"> '2.1 Model setup'!K72</f>
        <v>1.3 Øvrige omkostninger til drift, styring og kontrol af elnettet</v>
      </c>
      <c r="F252" s="121"/>
      <c r="G252" s="121"/>
      <c r="H252" s="121"/>
      <c r="I252" s="121"/>
      <c r="J252" s="121"/>
      <c r="K252" s="5" t="s">
        <v>4</v>
      </c>
      <c r="L252" s="85">
        <f xml:space="preserve"> -- ( IF( COUNTIF( R252:V252, "&lt;&gt;0" ) = 0, 0, ROUND( SUM( R252:V252 ), 5 ) &lt;&gt; 100% ) )</f>
        <v>0</v>
      </c>
      <c r="O252" s="202"/>
      <c r="P252" s="202"/>
      <c r="Q252" s="202"/>
      <c r="R252" s="181">
        <f t="shared" si="38"/>
        <v>0</v>
      </c>
      <c r="S252" s="181">
        <f t="shared" si="38"/>
        <v>0</v>
      </c>
      <c r="T252" s="181">
        <f t="shared" si="38"/>
        <v>0</v>
      </c>
      <c r="U252" s="181">
        <f t="shared" si="38"/>
        <v>0</v>
      </c>
      <c r="V252" s="181">
        <f t="shared" si="38"/>
        <v>0</v>
      </c>
      <c r="W252" s="198">
        <f t="shared" si="39"/>
        <v>0</v>
      </c>
    </row>
    <row r="253" spans="4:23" ht="15" customHeight="1">
      <c r="D253" s="85" t="str">
        <f xml:space="preserve"> '2.1 Model setup'!K73</f>
        <v>1.4 Omkostninger vedrørende 132-150/30-60 kV-stationer</v>
      </c>
      <c r="F253" s="121"/>
      <c r="G253" s="121"/>
      <c r="H253" s="121"/>
      <c r="I253" s="121"/>
      <c r="J253" s="121"/>
      <c r="K253" s="5" t="s">
        <v>4</v>
      </c>
      <c r="L253" s="85">
        <f xml:space="preserve"> -- ( IF( COUNTIF( R253:V253, "&lt;&gt;0" ) = 0, 0, ROUND( SUM( R253:V253 ), 5 ) &lt;&gt; 100% ) )</f>
        <v>0</v>
      </c>
      <c r="O253" s="202"/>
      <c r="P253" s="202"/>
      <c r="Q253" s="202"/>
      <c r="R253" s="181">
        <f t="shared" si="38"/>
        <v>0</v>
      </c>
      <c r="S253" s="181">
        <f t="shared" si="38"/>
        <v>0</v>
      </c>
      <c r="T253" s="181">
        <f t="shared" si="38"/>
        <v>0</v>
      </c>
      <c r="U253" s="181">
        <f t="shared" si="38"/>
        <v>0</v>
      </c>
      <c r="V253" s="181">
        <f t="shared" si="38"/>
        <v>0</v>
      </c>
      <c r="W253" s="198">
        <f xml:space="preserve"> SUM( R253:V253 )</f>
        <v>0</v>
      </c>
    </row>
    <row r="254" spans="4:23" ht="15" customHeight="1">
      <c r="D254" s="85" t="str">
        <f xml:space="preserve"> '2.1 Model setup'!K74</f>
        <v>2.1 Drift og vedligeholdelse af målere</v>
      </c>
      <c r="F254" s="121"/>
      <c r="G254" s="121"/>
      <c r="H254" s="121"/>
      <c r="I254" s="121"/>
      <c r="J254" s="121"/>
      <c r="K254" s="5" t="s">
        <v>4</v>
      </c>
      <c r="L254" s="85">
        <f t="shared" ref="L254:L264" si="40" xml:space="preserve"> -- ( IF( COUNTIF( R254:V254, "&lt;&gt;0" ) = 0, 0, ROUND( SUM( R254:V254 ), 5 ) &lt;&gt; 100% ) )</f>
        <v>0</v>
      </c>
      <c r="O254" s="202"/>
      <c r="P254" s="202"/>
      <c r="Q254" s="202"/>
      <c r="R254" s="181">
        <f t="shared" si="38"/>
        <v>0</v>
      </c>
      <c r="S254" s="181">
        <f t="shared" si="38"/>
        <v>0</v>
      </c>
      <c r="T254" s="181">
        <f t="shared" si="38"/>
        <v>0</v>
      </c>
      <c r="U254" s="181">
        <f t="shared" si="38"/>
        <v>0</v>
      </c>
      <c r="V254" s="181">
        <f t="shared" si="38"/>
        <v>0</v>
      </c>
      <c r="W254" s="198">
        <f t="shared" si="39"/>
        <v>0</v>
      </c>
    </row>
    <row r="255" spans="4:23" ht="15" customHeight="1">
      <c r="D255" s="85" t="str">
        <f xml:space="preserve"> '2.1 Model setup'!K75</f>
        <v>2.2 Indhentning og validering af målerdata</v>
      </c>
      <c r="F255" s="121"/>
      <c r="G255" s="121"/>
      <c r="H255" s="121"/>
      <c r="I255" s="121"/>
      <c r="J255" s="121"/>
      <c r="K255" s="5" t="s">
        <v>4</v>
      </c>
      <c r="L255" s="85">
        <f t="shared" si="40"/>
        <v>0</v>
      </c>
      <c r="O255" s="202"/>
      <c r="P255" s="202"/>
      <c r="Q255" s="202"/>
      <c r="R255" s="181">
        <f t="shared" si="38"/>
        <v>0</v>
      </c>
      <c r="S255" s="181">
        <f t="shared" si="38"/>
        <v>0</v>
      </c>
      <c r="T255" s="181">
        <f t="shared" si="38"/>
        <v>0</v>
      </c>
      <c r="U255" s="181">
        <f t="shared" si="38"/>
        <v>0</v>
      </c>
      <c r="V255" s="181">
        <f t="shared" si="38"/>
        <v>0</v>
      </c>
      <c r="W255" s="198">
        <f t="shared" si="39"/>
        <v>0</v>
      </c>
    </row>
    <row r="256" spans="4:23" ht="15" customHeight="1">
      <c r="D256" s="85" t="str">
        <f xml:space="preserve"> '2.1 Model setup'!K76</f>
        <v>2.3 Måleradministration og kundehåndtering</v>
      </c>
      <c r="F256" s="121"/>
      <c r="G256" s="121"/>
      <c r="H256" s="121"/>
      <c r="I256" s="121"/>
      <c r="J256" s="121"/>
      <c r="K256" s="5" t="s">
        <v>4</v>
      </c>
      <c r="L256" s="85">
        <f t="shared" si="40"/>
        <v>0</v>
      </c>
      <c r="O256" s="202"/>
      <c r="P256" s="202"/>
      <c r="Q256" s="202"/>
      <c r="R256" s="181">
        <f t="shared" si="38"/>
        <v>0</v>
      </c>
      <c r="S256" s="181">
        <f t="shared" si="38"/>
        <v>0</v>
      </c>
      <c r="T256" s="181">
        <f t="shared" si="38"/>
        <v>0</v>
      </c>
      <c r="U256" s="181">
        <f t="shared" si="38"/>
        <v>0</v>
      </c>
      <c r="V256" s="181">
        <f t="shared" si="38"/>
        <v>0</v>
      </c>
      <c r="W256" s="198">
        <f t="shared" si="39"/>
        <v>0</v>
      </c>
    </row>
    <row r="257" spans="4:23" ht="15" customHeight="1">
      <c r="D257" s="85" t="str">
        <f xml:space="preserve"> '2.1 Model setup'!K77</f>
        <v>3.1 Generel administration</v>
      </c>
      <c r="F257" s="121"/>
      <c r="G257" s="121"/>
      <c r="H257" s="121"/>
      <c r="I257" s="121"/>
      <c r="J257" s="121"/>
      <c r="K257" s="5" t="s">
        <v>4</v>
      </c>
      <c r="L257" s="85">
        <f t="shared" si="40"/>
        <v>0</v>
      </c>
      <c r="O257" s="202"/>
      <c r="P257" s="202"/>
      <c r="Q257" s="202"/>
      <c r="R257" s="181">
        <f t="shared" si="38"/>
        <v>0</v>
      </c>
      <c r="S257" s="181">
        <f t="shared" si="38"/>
        <v>0</v>
      </c>
      <c r="T257" s="181">
        <f t="shared" si="38"/>
        <v>0</v>
      </c>
      <c r="U257" s="181">
        <f t="shared" si="38"/>
        <v>0</v>
      </c>
      <c r="V257" s="181">
        <f t="shared" si="38"/>
        <v>0</v>
      </c>
      <c r="W257" s="198">
        <f t="shared" si="39"/>
        <v>0</v>
      </c>
    </row>
    <row r="258" spans="4:23" ht="15" customHeight="1">
      <c r="D258" s="85" t="str">
        <f xml:space="preserve"> '2.1 Model setup'!K78</f>
        <v>4.1 Omkostninger vedrørende nettab i transformerstationer</v>
      </c>
      <c r="F258" s="121"/>
      <c r="G258" s="121"/>
      <c r="H258" s="121"/>
      <c r="I258" s="121"/>
      <c r="J258" s="121"/>
      <c r="K258" s="5" t="s">
        <v>4</v>
      </c>
      <c r="L258" s="85">
        <f t="shared" si="40"/>
        <v>0</v>
      </c>
      <c r="O258" s="202"/>
      <c r="P258" s="202"/>
      <c r="Q258" s="202"/>
      <c r="R258" s="181">
        <f t="shared" si="38"/>
        <v>0</v>
      </c>
      <c r="S258" s="181">
        <f t="shared" si="38"/>
        <v>0</v>
      </c>
      <c r="T258" s="181">
        <f t="shared" si="38"/>
        <v>0</v>
      </c>
      <c r="U258" s="181">
        <f t="shared" si="38"/>
        <v>0</v>
      </c>
      <c r="V258" s="181">
        <f t="shared" si="38"/>
        <v>0</v>
      </c>
      <c r="W258" s="198">
        <f t="shared" si="39"/>
        <v>0</v>
      </c>
    </row>
    <row r="259" spans="4:23" ht="15" customHeight="1">
      <c r="D259" s="85" t="str">
        <f xml:space="preserve"> '2.1 Model setup'!K79</f>
        <v>4.2 Omkostninger vedrørende nettab i ledningsnettet</v>
      </c>
      <c r="F259" s="121"/>
      <c r="G259" s="121"/>
      <c r="H259" s="121"/>
      <c r="I259" s="121"/>
      <c r="J259" s="121"/>
      <c r="K259" s="5" t="s">
        <v>4</v>
      </c>
      <c r="L259" s="85">
        <f t="shared" si="40"/>
        <v>0</v>
      </c>
      <c r="O259" s="202"/>
      <c r="P259" s="202"/>
      <c r="Q259" s="202"/>
      <c r="R259" s="181">
        <f t="shared" si="38"/>
        <v>0</v>
      </c>
      <c r="S259" s="181">
        <f t="shared" si="38"/>
        <v>0</v>
      </c>
      <c r="T259" s="181">
        <f t="shared" si="38"/>
        <v>0</v>
      </c>
      <c r="U259" s="181">
        <f t="shared" si="38"/>
        <v>0</v>
      </c>
      <c r="V259" s="181">
        <f t="shared" si="38"/>
        <v>0</v>
      </c>
      <c r="W259" s="198">
        <f t="shared" si="39"/>
        <v>0</v>
      </c>
    </row>
    <row r="260" spans="4:23" ht="15" customHeight="1">
      <c r="D260" s="85" t="str">
        <f xml:space="preserve"> '2.1 Model setup'!K80</f>
        <v>5.1 Omkostninger til overliggende net ifm. forbrug</v>
      </c>
      <c r="F260" s="121"/>
      <c r="G260" s="121"/>
      <c r="H260" s="121"/>
      <c r="I260" s="121"/>
      <c r="J260" s="121"/>
      <c r="K260" s="5" t="s">
        <v>4</v>
      </c>
      <c r="L260" s="85">
        <f xml:space="preserve"> -- ( IF( COUNTIF( R260:V260, "&lt;&gt;0" ) = 0, 0, ROUND( SUM( R260:V260 ), 5 ) &lt;&gt; 100% ) )</f>
        <v>0</v>
      </c>
      <c r="O260" s="202"/>
      <c r="P260" s="202"/>
      <c r="Q260" s="202"/>
      <c r="R260" s="181">
        <f t="shared" si="38"/>
        <v>0</v>
      </c>
      <c r="S260" s="181">
        <f t="shared" si="38"/>
        <v>0</v>
      </c>
      <c r="T260" s="181">
        <f t="shared" si="38"/>
        <v>0</v>
      </c>
      <c r="U260" s="181">
        <f t="shared" si="38"/>
        <v>0</v>
      </c>
      <c r="V260" s="181">
        <f t="shared" si="38"/>
        <v>0</v>
      </c>
      <c r="W260" s="198">
        <f xml:space="preserve"> SUM( R260:V260 )</f>
        <v>0</v>
      </c>
    </row>
    <row r="261" spans="4:23" ht="15" customHeight="1">
      <c r="D261" s="85" t="str">
        <f xml:space="preserve"> '2.1 Model setup'!K81</f>
        <v>5.2 Øvrige omkostninger</v>
      </c>
      <c r="F261" s="121"/>
      <c r="G261" s="121"/>
      <c r="H261" s="121"/>
      <c r="I261" s="121"/>
      <c r="J261" s="121"/>
      <c r="K261" s="5" t="s">
        <v>4</v>
      </c>
      <c r="L261" s="85">
        <f t="shared" si="40"/>
        <v>0</v>
      </c>
      <c r="O261" s="202"/>
      <c r="P261" s="202"/>
      <c r="Q261" s="202"/>
      <c r="R261" s="181">
        <f t="shared" si="38"/>
        <v>0</v>
      </c>
      <c r="S261" s="181">
        <f t="shared" si="38"/>
        <v>0</v>
      </c>
      <c r="T261" s="181">
        <f t="shared" si="38"/>
        <v>0</v>
      </c>
      <c r="U261" s="181">
        <f t="shared" si="38"/>
        <v>0</v>
      </c>
      <c r="V261" s="181">
        <f t="shared" si="38"/>
        <v>0</v>
      </c>
      <c r="W261" s="198">
        <f t="shared" si="39"/>
        <v>0</v>
      </c>
    </row>
    <row r="262" spans="4:23" ht="15" customHeight="1">
      <c r="D262" s="85" t="str">
        <f xml:space="preserve"> '2.1 Model setup'!K82</f>
        <v>6.1 Afskrivninger på transformerstationer</v>
      </c>
      <c r="F262" s="121"/>
      <c r="G262" s="121"/>
      <c r="H262" s="121"/>
      <c r="I262" s="121"/>
      <c r="J262" s="121"/>
      <c r="K262" s="5" t="s">
        <v>4</v>
      </c>
      <c r="L262" s="85">
        <f t="shared" si="40"/>
        <v>0</v>
      </c>
      <c r="O262" s="202"/>
      <c r="P262" s="202"/>
      <c r="Q262" s="202"/>
      <c r="R262" s="181">
        <f t="shared" si="38"/>
        <v>0</v>
      </c>
      <c r="S262" s="181">
        <f t="shared" si="38"/>
        <v>0</v>
      </c>
      <c r="T262" s="181">
        <f t="shared" si="38"/>
        <v>0</v>
      </c>
      <c r="U262" s="181">
        <f t="shared" si="38"/>
        <v>0</v>
      </c>
      <c r="V262" s="181">
        <f t="shared" si="38"/>
        <v>0</v>
      </c>
      <c r="W262" s="198">
        <f t="shared" si="39"/>
        <v>0</v>
      </c>
    </row>
    <row r="263" spans="4:23" ht="15" customHeight="1">
      <c r="D263" s="85" t="str">
        <f xml:space="preserve"> '2.1 Model setup'!K83</f>
        <v>6.2 Afskrivninger på netaktiver ekskl. målere og transformerstationer</v>
      </c>
      <c r="F263" s="121"/>
      <c r="G263" s="121"/>
      <c r="H263" s="121"/>
      <c r="I263" s="121"/>
      <c r="J263" s="121"/>
      <c r="K263" s="5" t="s">
        <v>4</v>
      </c>
      <c r="L263" s="85">
        <f t="shared" si="40"/>
        <v>0</v>
      </c>
      <c r="O263" s="202"/>
      <c r="P263" s="202"/>
      <c r="Q263" s="202"/>
      <c r="R263" s="181">
        <f t="shared" si="38"/>
        <v>0</v>
      </c>
      <c r="S263" s="181">
        <f t="shared" si="38"/>
        <v>0</v>
      </c>
      <c r="T263" s="181">
        <f t="shared" si="38"/>
        <v>0</v>
      </c>
      <c r="U263" s="181">
        <f t="shared" si="38"/>
        <v>0</v>
      </c>
      <c r="V263" s="181">
        <f t="shared" si="38"/>
        <v>0</v>
      </c>
      <c r="W263" s="198">
        <f t="shared" si="39"/>
        <v>0</v>
      </c>
    </row>
    <row r="264" spans="4:23" ht="15" customHeight="1">
      <c r="D264" s="99" t="str">
        <f xml:space="preserve"> '2.1 Model setup'!K84</f>
        <v>6.3 Afskrivninger på målere</v>
      </c>
      <c r="E264" s="27"/>
      <c r="F264" s="131"/>
      <c r="G264" s="131"/>
      <c r="H264" s="131"/>
      <c r="I264" s="131"/>
      <c r="J264" s="131"/>
      <c r="K264" s="32" t="s">
        <v>4</v>
      </c>
      <c r="L264" s="99">
        <f t="shared" si="40"/>
        <v>0</v>
      </c>
      <c r="M264" s="27"/>
      <c r="N264" s="27"/>
      <c r="O264" s="269"/>
      <c r="P264" s="269"/>
      <c r="Q264" s="269"/>
      <c r="R264" s="182">
        <f t="shared" si="38"/>
        <v>0</v>
      </c>
      <c r="S264" s="182">
        <f t="shared" si="38"/>
        <v>0</v>
      </c>
      <c r="T264" s="182">
        <f t="shared" si="38"/>
        <v>0</v>
      </c>
      <c r="U264" s="182">
        <f t="shared" si="38"/>
        <v>0</v>
      </c>
      <c r="V264" s="182">
        <f t="shared" si="38"/>
        <v>0</v>
      </c>
      <c r="W264" s="199">
        <f t="shared" si="39"/>
        <v>0</v>
      </c>
    </row>
    <row r="265" spans="4:23" ht="15" customHeight="1">
      <c r="D265" s="1"/>
    </row>
    <row r="266" spans="4:23" ht="15" customHeight="1">
      <c r="D266" s="97" t="s">
        <v>463</v>
      </c>
      <c r="E266" s="27"/>
      <c r="F266" s="27"/>
      <c r="G266" s="27"/>
      <c r="H266" s="27"/>
      <c r="I266" s="27"/>
      <c r="J266" s="27"/>
      <c r="K266" s="32"/>
      <c r="M266" s="27"/>
      <c r="N266" s="185"/>
      <c r="O266" s="185"/>
      <c r="P266" s="185"/>
      <c r="Q266" s="185"/>
      <c r="R266" s="27"/>
      <c r="S266" s="27"/>
      <c r="T266" s="27"/>
      <c r="U266" s="27"/>
      <c r="V266" s="27"/>
      <c r="W266" s="185" t="s">
        <v>16</v>
      </c>
    </row>
    <row r="267" spans="4:23" ht="15" customHeight="1">
      <c r="D267" s="85" t="str">
        <f xml:space="preserve"> '2.1 Model setup'!K70</f>
        <v>1.1 Drift og vedligeholdelse af transformerstationer</v>
      </c>
      <c r="F267" s="121"/>
      <c r="G267" s="121"/>
      <c r="H267" s="121"/>
      <c r="I267" s="121"/>
      <c r="J267" s="121"/>
      <c r="K267" s="5" t="s">
        <v>4</v>
      </c>
      <c r="L267" s="123">
        <f t="shared" ref="L267:L282" si="41" xml:space="preserve"> -- ( IF( COUNTIF( R267:V267, "&lt;&gt;0" ) = 0, 0, ROUND( SUM( R267:V267 ), 5 ) &lt;&gt; 100% ) )</f>
        <v>0</v>
      </c>
      <c r="N267" s="15"/>
      <c r="O267" s="202"/>
      <c r="P267" s="202"/>
      <c r="Q267" s="202"/>
      <c r="R267" s="181">
        <f t="shared" ref="R267:V276" si="42" xml:space="preserve">  IF( $W181 = 0, 0, R181 / $W181 )</f>
        <v>0</v>
      </c>
      <c r="S267" s="181">
        <f t="shared" si="42"/>
        <v>0</v>
      </c>
      <c r="T267" s="181">
        <f t="shared" si="42"/>
        <v>0</v>
      </c>
      <c r="U267" s="181">
        <f t="shared" si="42"/>
        <v>0</v>
      </c>
      <c r="V267" s="181">
        <f t="shared" si="42"/>
        <v>0</v>
      </c>
      <c r="W267" s="198">
        <f xml:space="preserve"> SUM( R267:V267 )</f>
        <v>0</v>
      </c>
    </row>
    <row r="268" spans="4:23" ht="15" customHeight="1">
      <c r="D268" s="85" t="str">
        <f xml:space="preserve"> '2.1 Model setup'!K71</f>
        <v>1.2 Drift og vedligeholdelse af ledningsnet</v>
      </c>
      <c r="F268" s="121"/>
      <c r="G268" s="121"/>
      <c r="H268" s="121"/>
      <c r="I268" s="121"/>
      <c r="J268" s="121"/>
      <c r="K268" s="5" t="s">
        <v>4</v>
      </c>
      <c r="L268" s="85">
        <f t="shared" si="41"/>
        <v>0</v>
      </c>
      <c r="O268" s="202"/>
      <c r="P268" s="202"/>
      <c r="Q268" s="202"/>
      <c r="R268" s="181">
        <f t="shared" si="42"/>
        <v>0</v>
      </c>
      <c r="S268" s="181">
        <f t="shared" si="42"/>
        <v>0</v>
      </c>
      <c r="T268" s="181">
        <f t="shared" si="42"/>
        <v>0</v>
      </c>
      <c r="U268" s="181">
        <f t="shared" si="42"/>
        <v>0</v>
      </c>
      <c r="V268" s="181">
        <f t="shared" si="42"/>
        <v>0</v>
      </c>
      <c r="W268" s="198">
        <f t="shared" ref="W268:W281" si="43" xml:space="preserve"> SUM( R268:V268 )</f>
        <v>0</v>
      </c>
    </row>
    <row r="269" spans="4:23" ht="15" customHeight="1">
      <c r="D269" s="85" t="str">
        <f xml:space="preserve"> '2.1 Model setup'!K72</f>
        <v>1.3 Øvrige omkostninger til drift, styring og kontrol af elnettet</v>
      </c>
      <c r="F269" s="121"/>
      <c r="G269" s="121"/>
      <c r="H269" s="121"/>
      <c r="I269" s="121"/>
      <c r="J269" s="121"/>
      <c r="K269" s="5" t="s">
        <v>4</v>
      </c>
      <c r="L269" s="85">
        <f t="shared" si="41"/>
        <v>0</v>
      </c>
      <c r="O269" s="202"/>
      <c r="P269" s="202"/>
      <c r="Q269" s="202"/>
      <c r="R269" s="181">
        <f t="shared" si="42"/>
        <v>0</v>
      </c>
      <c r="S269" s="181">
        <f t="shared" si="42"/>
        <v>0</v>
      </c>
      <c r="T269" s="181">
        <f t="shared" si="42"/>
        <v>0</v>
      </c>
      <c r="U269" s="181">
        <f t="shared" si="42"/>
        <v>0</v>
      </c>
      <c r="V269" s="181">
        <f t="shared" si="42"/>
        <v>0</v>
      </c>
      <c r="W269" s="198">
        <f t="shared" si="43"/>
        <v>0</v>
      </c>
    </row>
    <row r="270" spans="4:23" ht="15" customHeight="1">
      <c r="D270" s="85" t="str">
        <f xml:space="preserve"> '2.1 Model setup'!K73</f>
        <v>1.4 Omkostninger vedrørende 132-150/30-60 kV-stationer</v>
      </c>
      <c r="F270" s="121"/>
      <c r="G270" s="121"/>
      <c r="H270" s="121"/>
      <c r="I270" s="121"/>
      <c r="J270" s="121"/>
      <c r="K270" s="5" t="s">
        <v>4</v>
      </c>
      <c r="L270" s="85">
        <f xml:space="preserve"> -- ( IF( COUNTIF( R270:V270, "&lt;&gt;0" ) = 0, 0, ROUND( SUM( R270:V270 ), 5 ) &lt;&gt; 100% ) )</f>
        <v>0</v>
      </c>
      <c r="O270" s="202"/>
      <c r="P270" s="202"/>
      <c r="Q270" s="202"/>
      <c r="R270" s="181">
        <f t="shared" si="42"/>
        <v>0</v>
      </c>
      <c r="S270" s="181">
        <f t="shared" si="42"/>
        <v>0</v>
      </c>
      <c r="T270" s="181">
        <f t="shared" si="42"/>
        <v>0</v>
      </c>
      <c r="U270" s="181">
        <f t="shared" si="42"/>
        <v>0</v>
      </c>
      <c r="V270" s="181">
        <f t="shared" si="42"/>
        <v>0</v>
      </c>
      <c r="W270" s="198">
        <f xml:space="preserve"> SUM( R270:V270 )</f>
        <v>0</v>
      </c>
    </row>
    <row r="271" spans="4:23" ht="15" customHeight="1">
      <c r="D271" s="85" t="str">
        <f xml:space="preserve"> '2.1 Model setup'!K74</f>
        <v>2.1 Drift og vedligeholdelse af målere</v>
      </c>
      <c r="F271" s="121"/>
      <c r="G271" s="121"/>
      <c r="H271" s="121"/>
      <c r="I271" s="121"/>
      <c r="J271" s="121"/>
      <c r="K271" s="5" t="s">
        <v>4</v>
      </c>
      <c r="L271" s="85">
        <f t="shared" si="41"/>
        <v>0</v>
      </c>
      <c r="O271" s="202"/>
      <c r="P271" s="202"/>
      <c r="Q271" s="202"/>
      <c r="R271" s="181">
        <f t="shared" si="42"/>
        <v>0</v>
      </c>
      <c r="S271" s="181">
        <f t="shared" si="42"/>
        <v>0</v>
      </c>
      <c r="T271" s="181">
        <f t="shared" si="42"/>
        <v>0</v>
      </c>
      <c r="U271" s="181">
        <f t="shared" si="42"/>
        <v>0</v>
      </c>
      <c r="V271" s="181">
        <f t="shared" si="42"/>
        <v>0</v>
      </c>
      <c r="W271" s="198">
        <f t="shared" si="43"/>
        <v>0</v>
      </c>
    </row>
    <row r="272" spans="4:23" ht="15" customHeight="1">
      <c r="D272" s="85" t="str">
        <f xml:space="preserve"> '2.1 Model setup'!K75</f>
        <v>2.2 Indhentning og validering af målerdata</v>
      </c>
      <c r="F272" s="121"/>
      <c r="G272" s="121"/>
      <c r="H272" s="121"/>
      <c r="I272" s="121"/>
      <c r="J272" s="121"/>
      <c r="K272" s="5" t="s">
        <v>4</v>
      </c>
      <c r="L272" s="85">
        <f t="shared" si="41"/>
        <v>0</v>
      </c>
      <c r="O272" s="202"/>
      <c r="P272" s="202"/>
      <c r="Q272" s="202"/>
      <c r="R272" s="181">
        <f t="shared" si="42"/>
        <v>0</v>
      </c>
      <c r="S272" s="181">
        <f t="shared" si="42"/>
        <v>0</v>
      </c>
      <c r="T272" s="181">
        <f t="shared" si="42"/>
        <v>0</v>
      </c>
      <c r="U272" s="181">
        <f t="shared" si="42"/>
        <v>0</v>
      </c>
      <c r="V272" s="181">
        <f t="shared" si="42"/>
        <v>0</v>
      </c>
      <c r="W272" s="198">
        <f t="shared" si="43"/>
        <v>0</v>
      </c>
    </row>
    <row r="273" spans="4:23" ht="15" customHeight="1">
      <c r="D273" s="85" t="str">
        <f xml:space="preserve"> '2.1 Model setup'!K76</f>
        <v>2.3 Måleradministration og kundehåndtering</v>
      </c>
      <c r="F273" s="121"/>
      <c r="G273" s="121"/>
      <c r="H273" s="121"/>
      <c r="I273" s="121"/>
      <c r="J273" s="121"/>
      <c r="K273" s="5" t="s">
        <v>4</v>
      </c>
      <c r="L273" s="85">
        <f t="shared" si="41"/>
        <v>0</v>
      </c>
      <c r="O273" s="202"/>
      <c r="P273" s="202"/>
      <c r="Q273" s="202"/>
      <c r="R273" s="181">
        <f t="shared" si="42"/>
        <v>0</v>
      </c>
      <c r="S273" s="181">
        <f t="shared" si="42"/>
        <v>0</v>
      </c>
      <c r="T273" s="181">
        <f t="shared" si="42"/>
        <v>0</v>
      </c>
      <c r="U273" s="181">
        <f t="shared" si="42"/>
        <v>0</v>
      </c>
      <c r="V273" s="181">
        <f t="shared" si="42"/>
        <v>0</v>
      </c>
      <c r="W273" s="198">
        <f t="shared" si="43"/>
        <v>0</v>
      </c>
    </row>
    <row r="274" spans="4:23" ht="15" customHeight="1">
      <c r="D274" s="85" t="str">
        <f xml:space="preserve"> '2.1 Model setup'!K77</f>
        <v>3.1 Generel administration</v>
      </c>
      <c r="F274" s="121"/>
      <c r="G274" s="121"/>
      <c r="H274" s="121"/>
      <c r="I274" s="121"/>
      <c r="J274" s="121"/>
      <c r="K274" s="5" t="s">
        <v>4</v>
      </c>
      <c r="L274" s="85">
        <f t="shared" si="41"/>
        <v>0</v>
      </c>
      <c r="O274" s="202"/>
      <c r="P274" s="202"/>
      <c r="Q274" s="202"/>
      <c r="R274" s="181">
        <f t="shared" si="42"/>
        <v>0</v>
      </c>
      <c r="S274" s="181">
        <f t="shared" si="42"/>
        <v>0</v>
      </c>
      <c r="T274" s="181">
        <f t="shared" si="42"/>
        <v>0</v>
      </c>
      <c r="U274" s="181">
        <f t="shared" si="42"/>
        <v>0</v>
      </c>
      <c r="V274" s="181">
        <f t="shared" si="42"/>
        <v>0</v>
      </c>
      <c r="W274" s="198">
        <f t="shared" si="43"/>
        <v>0</v>
      </c>
    </row>
    <row r="275" spans="4:23" ht="15" customHeight="1">
      <c r="D275" s="85" t="str">
        <f xml:space="preserve"> '2.1 Model setup'!K78</f>
        <v>4.1 Omkostninger vedrørende nettab i transformerstationer</v>
      </c>
      <c r="F275" s="121"/>
      <c r="G275" s="121"/>
      <c r="H275" s="121"/>
      <c r="I275" s="121"/>
      <c r="J275" s="121"/>
      <c r="K275" s="5" t="s">
        <v>4</v>
      </c>
      <c r="L275" s="85">
        <f t="shared" si="41"/>
        <v>0</v>
      </c>
      <c r="O275" s="202"/>
      <c r="P275" s="202"/>
      <c r="Q275" s="202"/>
      <c r="R275" s="181">
        <f t="shared" si="42"/>
        <v>0</v>
      </c>
      <c r="S275" s="181">
        <f t="shared" si="42"/>
        <v>0</v>
      </c>
      <c r="T275" s="181">
        <f t="shared" si="42"/>
        <v>0</v>
      </c>
      <c r="U275" s="181">
        <f t="shared" si="42"/>
        <v>0</v>
      </c>
      <c r="V275" s="181">
        <f t="shared" si="42"/>
        <v>0</v>
      </c>
      <c r="W275" s="198">
        <f t="shared" si="43"/>
        <v>0</v>
      </c>
    </row>
    <row r="276" spans="4:23" ht="15" customHeight="1">
      <c r="D276" s="85" t="str">
        <f xml:space="preserve"> '2.1 Model setup'!K79</f>
        <v>4.2 Omkostninger vedrørende nettab i ledningsnettet</v>
      </c>
      <c r="F276" s="121"/>
      <c r="G276" s="121"/>
      <c r="H276" s="121"/>
      <c r="I276" s="121"/>
      <c r="J276" s="121"/>
      <c r="K276" s="5" t="s">
        <v>4</v>
      </c>
      <c r="L276" s="85">
        <f t="shared" si="41"/>
        <v>0</v>
      </c>
      <c r="O276" s="202"/>
      <c r="P276" s="202"/>
      <c r="Q276" s="202"/>
      <c r="R276" s="181">
        <f t="shared" si="42"/>
        <v>0</v>
      </c>
      <c r="S276" s="181">
        <f t="shared" si="42"/>
        <v>0</v>
      </c>
      <c r="T276" s="181">
        <f t="shared" si="42"/>
        <v>0</v>
      </c>
      <c r="U276" s="181">
        <f t="shared" si="42"/>
        <v>0</v>
      </c>
      <c r="V276" s="181">
        <f t="shared" si="42"/>
        <v>0</v>
      </c>
      <c r="W276" s="198">
        <f t="shared" si="43"/>
        <v>0</v>
      </c>
    </row>
    <row r="277" spans="4:23" ht="15" customHeight="1">
      <c r="D277" s="85" t="str">
        <f xml:space="preserve"> '2.1 Model setup'!K80</f>
        <v>5.1 Omkostninger til overliggende net ifm. forbrug</v>
      </c>
      <c r="F277" s="121"/>
      <c r="G277" s="121"/>
      <c r="H277" s="121"/>
      <c r="I277" s="121"/>
      <c r="J277" s="121"/>
      <c r="K277" s="5" t="s">
        <v>4</v>
      </c>
      <c r="L277" s="85">
        <f xml:space="preserve"> -- ( IF( COUNTIF( R277:V277, "&lt;&gt;0" ) = 0, 0, ROUND( SUM( R277:V277 ), 5 ) &lt;&gt; 100% ) )</f>
        <v>0</v>
      </c>
      <c r="O277" s="202"/>
      <c r="P277" s="202"/>
      <c r="Q277" s="202"/>
      <c r="R277" s="181">
        <f t="shared" ref="R277:V282" si="44" xml:space="preserve">  IF( $W191 = 0, 0, R191 / $W191 )</f>
        <v>0</v>
      </c>
      <c r="S277" s="181">
        <f t="shared" si="44"/>
        <v>0</v>
      </c>
      <c r="T277" s="181">
        <f t="shared" si="44"/>
        <v>0</v>
      </c>
      <c r="U277" s="181">
        <f t="shared" si="44"/>
        <v>0</v>
      </c>
      <c r="V277" s="181">
        <f t="shared" si="44"/>
        <v>0</v>
      </c>
      <c r="W277" s="198">
        <f xml:space="preserve"> SUM( R277:V277 )</f>
        <v>0</v>
      </c>
    </row>
    <row r="278" spans="4:23" ht="15" customHeight="1">
      <c r="D278" s="85" t="str">
        <f xml:space="preserve"> '2.1 Model setup'!K81</f>
        <v>5.2 Øvrige omkostninger</v>
      </c>
      <c r="F278" s="121"/>
      <c r="G278" s="121"/>
      <c r="H278" s="121"/>
      <c r="I278" s="121"/>
      <c r="J278" s="121"/>
      <c r="K278" s="5" t="s">
        <v>4</v>
      </c>
      <c r="L278" s="85">
        <f t="shared" si="41"/>
        <v>0</v>
      </c>
      <c r="O278" s="202"/>
      <c r="P278" s="202"/>
      <c r="Q278" s="202"/>
      <c r="R278" s="181">
        <f t="shared" si="44"/>
        <v>0</v>
      </c>
      <c r="S278" s="181">
        <f t="shared" si="44"/>
        <v>0</v>
      </c>
      <c r="T278" s="181">
        <f t="shared" si="44"/>
        <v>0</v>
      </c>
      <c r="U278" s="181">
        <f t="shared" si="44"/>
        <v>0</v>
      </c>
      <c r="V278" s="181">
        <f t="shared" si="44"/>
        <v>0</v>
      </c>
      <c r="W278" s="198">
        <f t="shared" si="43"/>
        <v>0</v>
      </c>
    </row>
    <row r="279" spans="4:23" ht="15" customHeight="1">
      <c r="D279" s="85" t="str">
        <f xml:space="preserve"> '2.1 Model setup'!K82</f>
        <v>6.1 Afskrivninger på transformerstationer</v>
      </c>
      <c r="F279" s="121"/>
      <c r="G279" s="121"/>
      <c r="H279" s="121"/>
      <c r="I279" s="121"/>
      <c r="J279" s="121"/>
      <c r="K279" s="5" t="s">
        <v>4</v>
      </c>
      <c r="L279" s="85">
        <f t="shared" si="41"/>
        <v>0</v>
      </c>
      <c r="O279" s="202"/>
      <c r="P279" s="202"/>
      <c r="Q279" s="202"/>
      <c r="R279" s="181">
        <f t="shared" si="44"/>
        <v>0</v>
      </c>
      <c r="S279" s="181">
        <f t="shared" si="44"/>
        <v>0</v>
      </c>
      <c r="T279" s="181">
        <f t="shared" si="44"/>
        <v>0</v>
      </c>
      <c r="U279" s="181">
        <f t="shared" si="44"/>
        <v>0</v>
      </c>
      <c r="V279" s="181">
        <f t="shared" si="44"/>
        <v>0</v>
      </c>
      <c r="W279" s="198">
        <f t="shared" si="43"/>
        <v>0</v>
      </c>
    </row>
    <row r="280" spans="4:23" ht="15" customHeight="1">
      <c r="D280" s="85" t="str">
        <f xml:space="preserve"> '2.1 Model setup'!K83</f>
        <v>6.2 Afskrivninger på netaktiver ekskl. målere og transformerstationer</v>
      </c>
      <c r="F280" s="121"/>
      <c r="G280" s="121"/>
      <c r="H280" s="121"/>
      <c r="I280" s="121"/>
      <c r="J280" s="121"/>
      <c r="K280" s="5" t="s">
        <v>4</v>
      </c>
      <c r="L280" s="85">
        <f t="shared" si="41"/>
        <v>0</v>
      </c>
      <c r="O280" s="202"/>
      <c r="P280" s="202"/>
      <c r="Q280" s="202"/>
      <c r="R280" s="181">
        <f t="shared" si="44"/>
        <v>0</v>
      </c>
      <c r="S280" s="181">
        <f t="shared" si="44"/>
        <v>0</v>
      </c>
      <c r="T280" s="181">
        <f t="shared" si="44"/>
        <v>0</v>
      </c>
      <c r="U280" s="181">
        <f t="shared" si="44"/>
        <v>0</v>
      </c>
      <c r="V280" s="181">
        <f t="shared" si="44"/>
        <v>0</v>
      </c>
      <c r="W280" s="198">
        <f t="shared" si="43"/>
        <v>0</v>
      </c>
    </row>
    <row r="281" spans="4:23" ht="15" customHeight="1">
      <c r="D281" s="85" t="str">
        <f xml:space="preserve"> '2.1 Model setup'!K84</f>
        <v>6.3 Afskrivninger på målere</v>
      </c>
      <c r="F281" s="121"/>
      <c r="G281" s="121"/>
      <c r="H281" s="121"/>
      <c r="I281" s="121"/>
      <c r="J281" s="121"/>
      <c r="K281" s="5" t="s">
        <v>4</v>
      </c>
      <c r="L281" s="85">
        <f t="shared" si="41"/>
        <v>0</v>
      </c>
      <c r="O281" s="202"/>
      <c r="P281" s="202"/>
      <c r="Q281" s="202"/>
      <c r="R281" s="181">
        <f t="shared" si="44"/>
        <v>0</v>
      </c>
      <c r="S281" s="181">
        <f t="shared" si="44"/>
        <v>0</v>
      </c>
      <c r="T281" s="181">
        <f t="shared" si="44"/>
        <v>0</v>
      </c>
      <c r="U281" s="181">
        <f t="shared" si="44"/>
        <v>0</v>
      </c>
      <c r="V281" s="181">
        <f t="shared" si="44"/>
        <v>0</v>
      </c>
      <c r="W281" s="198">
        <f t="shared" si="43"/>
        <v>0</v>
      </c>
    </row>
    <row r="282" spans="4:23" ht="15" customHeight="1">
      <c r="D282" s="285" t="str">
        <f xml:space="preserve"> '2.1 Model setup'!K87</f>
        <v>7.3 Målere (forrentning)</v>
      </c>
      <c r="E282" s="283"/>
      <c r="F282" s="335"/>
      <c r="G282" s="335"/>
      <c r="H282" s="335"/>
      <c r="I282" s="335"/>
      <c r="J282" s="335"/>
      <c r="K282" s="284" t="s">
        <v>4</v>
      </c>
      <c r="L282" s="285">
        <f t="shared" si="41"/>
        <v>0</v>
      </c>
      <c r="M282" s="283"/>
      <c r="N282" s="283"/>
      <c r="O282" s="393"/>
      <c r="P282" s="393"/>
      <c r="Q282" s="393"/>
      <c r="R282" s="375">
        <f t="shared" si="44"/>
        <v>0</v>
      </c>
      <c r="S282" s="375">
        <f t="shared" si="44"/>
        <v>0</v>
      </c>
      <c r="T282" s="375">
        <f t="shared" si="44"/>
        <v>0</v>
      </c>
      <c r="U282" s="375">
        <f t="shared" si="44"/>
        <v>0</v>
      </c>
      <c r="V282" s="375">
        <f t="shared" si="44"/>
        <v>0</v>
      </c>
      <c r="W282" s="491">
        <f xml:space="preserve"> SUM( R282:V282 )</f>
        <v>0</v>
      </c>
    </row>
    <row r="283" spans="4:23" ht="15" customHeight="1">
      <c r="D283" s="1"/>
    </row>
    <row r="284" spans="4:23" ht="15" customHeight="1">
      <c r="D284" s="4" t="s">
        <v>227</v>
      </c>
      <c r="K284" s="87"/>
      <c r="R284" s="121"/>
      <c r="S284" s="121"/>
      <c r="T284" s="121"/>
      <c r="U284" s="121"/>
      <c r="V284" s="121"/>
      <c r="W284" s="111"/>
    </row>
    <row r="285" spans="4:23" ht="15" customHeight="1">
      <c r="D285" s="15" t="s">
        <v>474</v>
      </c>
      <c r="E285" s="15"/>
      <c r="F285" s="15"/>
      <c r="G285" s="15"/>
      <c r="H285" s="15"/>
      <c r="I285" s="15"/>
      <c r="J285" s="15"/>
      <c r="K285" s="117" t="str">
        <f xml:space="preserve"> Model.Units</f>
        <v>DKKt</v>
      </c>
      <c r="L285" s="15">
        <f xml:space="preserve"> -- ( W285 &lt;&gt; N45 )</f>
        <v>0</v>
      </c>
      <c r="M285" s="15"/>
      <c r="N285" s="15"/>
      <c r="O285" s="274"/>
      <c r="P285" s="274"/>
      <c r="Q285" s="274"/>
      <c r="R285" s="15">
        <f xml:space="preserve"> ( $N$44 = '2.1 Model setup'!$K$98 ) * R282 * $N$45</f>
        <v>0</v>
      </c>
      <c r="S285" s="15">
        <f xml:space="preserve"> ( $N$44 = '2.1 Model setup'!$K$98 ) * S282 * $N$45</f>
        <v>0</v>
      </c>
      <c r="T285" s="15">
        <f xml:space="preserve"> ( $N$44 = '2.1 Model setup'!$K$98 ) * T282 * $N$45</f>
        <v>0</v>
      </c>
      <c r="U285" s="15">
        <f xml:space="preserve"> ( $N$44 = '2.1 Model setup'!$K$98 ) * U282 * $N$45</f>
        <v>0</v>
      </c>
      <c r="V285" s="15">
        <f xml:space="preserve"> ( $N$44 = '2.1 Model setup'!$K$98 ) * V282 * $N$45</f>
        <v>0</v>
      </c>
      <c r="W285" s="18">
        <f xml:space="preserve"> SUM( R285:V285 )</f>
        <v>0</v>
      </c>
    </row>
    <row r="286" spans="4:23" ht="15" customHeight="1">
      <c r="D286" s="27" t="s">
        <v>239</v>
      </c>
      <c r="E286" s="27"/>
      <c r="F286" s="27"/>
      <c r="G286" s="27"/>
      <c r="H286" s="27"/>
      <c r="I286" s="27"/>
      <c r="J286" s="27"/>
      <c r="K286" s="98" t="str">
        <f xml:space="preserve"> Model.Units</f>
        <v>DKKt</v>
      </c>
      <c r="L286" s="99">
        <f xml:space="preserve"> -- ( ROUND( SUM( R286:V286 ), 5 ) &lt;&gt; ROUND( SUM( R40:V46, N45 ), 5 ) )</f>
        <v>0</v>
      </c>
      <c r="M286" s="27"/>
      <c r="N286" s="27"/>
      <c r="O286" s="269"/>
      <c r="P286" s="269"/>
      <c r="Q286" s="269"/>
      <c r="R286" s="27">
        <f xml:space="preserve"> R73 + R72 + R74 + R285</f>
        <v>0</v>
      </c>
      <c r="S286" s="27">
        <f xml:space="preserve"> S73 + S72 + S74 + S285</f>
        <v>0</v>
      </c>
      <c r="T286" s="27">
        <f xml:space="preserve"> T73 + T72 + T74 + T285</f>
        <v>0</v>
      </c>
      <c r="U286" s="27">
        <f xml:space="preserve"> U73 + U72 + U74 + U285</f>
        <v>0</v>
      </c>
      <c r="V286" s="27">
        <f xml:space="preserve"> V73 + V72 + V74 + V285</f>
        <v>0</v>
      </c>
      <c r="W286" s="35">
        <f xml:space="preserve"> SUM( R286:V286 )</f>
        <v>0</v>
      </c>
    </row>
    <row r="288" spans="4:23" ht="15" customHeight="1">
      <c r="D288" s="1"/>
    </row>
    <row r="289" spans="2:23" ht="15" customHeight="1">
      <c r="D289" s="1"/>
    </row>
    <row r="290" spans="2:23" s="475" customFormat="1" ht="15" customHeight="1">
      <c r="B290" s="479" t="str">
        <f xml:space="preserve"> COUNTA(B$10:B289) &amp; ") Fordeling af forrentning"</f>
        <v>4) Fordeling af forrentning</v>
      </c>
      <c r="C290" s="477"/>
      <c r="D290" s="478"/>
      <c r="K290" s="472"/>
    </row>
    <row r="291" spans="2:23" ht="15" customHeight="1">
      <c r="D291" s="1"/>
    </row>
    <row r="292" spans="2:23" ht="15" customHeight="1">
      <c r="D292" s="4" t="s">
        <v>431</v>
      </c>
    </row>
    <row r="293" spans="2:23" ht="15" customHeight="1">
      <c r="D293" s="15" t="s">
        <v>77</v>
      </c>
      <c r="E293" s="15"/>
      <c r="F293" s="180"/>
      <c r="G293" s="180"/>
      <c r="H293" s="180"/>
      <c r="I293" s="180"/>
      <c r="J293" s="180"/>
      <c r="K293" s="19" t="s">
        <v>4</v>
      </c>
      <c r="L293" s="15"/>
      <c r="M293" s="15"/>
      <c r="N293" s="180">
        <f xml:space="preserve"> IF( $W$286 = 0, 0, W72 / $W$286 )</f>
        <v>0</v>
      </c>
      <c r="O293" s="279"/>
      <c r="P293" s="279"/>
      <c r="Q293" s="279"/>
      <c r="R293" s="279"/>
      <c r="S293" s="279"/>
      <c r="T293" s="279"/>
      <c r="U293" s="279"/>
      <c r="V293" s="279"/>
      <c r="W293" s="274"/>
    </row>
    <row r="294" spans="2:23" ht="15" customHeight="1">
      <c r="D294" s="1" t="s">
        <v>542</v>
      </c>
      <c r="F294" s="181"/>
      <c r="G294" s="181"/>
      <c r="H294" s="181"/>
      <c r="I294" s="181"/>
      <c r="J294" s="181"/>
      <c r="K294" s="5" t="s">
        <v>4</v>
      </c>
      <c r="N294" s="181">
        <f xml:space="preserve"> IF( $W$286 = 0, 0, W73 / $W$286 )</f>
        <v>0</v>
      </c>
      <c r="O294" s="280"/>
      <c r="P294" s="280"/>
      <c r="Q294" s="280"/>
      <c r="R294" s="280"/>
      <c r="S294" s="280"/>
      <c r="T294" s="280"/>
      <c r="U294" s="280"/>
      <c r="V294" s="280"/>
      <c r="W294" s="202"/>
    </row>
    <row r="295" spans="2:23" ht="15" customHeight="1">
      <c r="D295" s="1" t="s">
        <v>76</v>
      </c>
      <c r="F295" s="181"/>
      <c r="G295" s="181"/>
      <c r="H295" s="181"/>
      <c r="I295" s="181"/>
      <c r="J295" s="181"/>
      <c r="K295" s="5" t="s">
        <v>4</v>
      </c>
      <c r="N295" s="181">
        <f xml:space="preserve"> IF( $W$286 = 0, 0, IF( N44 = '2.1 Model setup'!$K$98, W285 /  $W$286, W74 / $W$286 ) )</f>
        <v>0</v>
      </c>
      <c r="O295" s="280"/>
      <c r="P295" s="280"/>
      <c r="Q295" s="280"/>
      <c r="R295" s="280"/>
      <c r="S295" s="280"/>
      <c r="T295" s="280"/>
      <c r="U295" s="280"/>
      <c r="V295" s="280"/>
      <c r="W295" s="202"/>
    </row>
    <row r="296" spans="2:23" ht="15" customHeight="1">
      <c r="D296" s="186" t="s">
        <v>16</v>
      </c>
      <c r="E296" s="33"/>
      <c r="F296" s="184"/>
      <c r="G296" s="184"/>
      <c r="H296" s="184"/>
      <c r="I296" s="184"/>
      <c r="J296" s="184"/>
      <c r="K296" s="187" t="s">
        <v>4</v>
      </c>
      <c r="L296" s="90">
        <f xml:space="preserve"> -- ( IF( ( COUNTIF( N293:N295, "&lt;&gt;0" ) = 0 ), 0, ROUND( N296, 5 ) &lt;&gt; 100% ))</f>
        <v>0</v>
      </c>
      <c r="M296" s="33"/>
      <c r="N296" s="200">
        <f xml:space="preserve"> SUM( N293:N295 )</f>
        <v>0</v>
      </c>
      <c r="O296" s="394"/>
      <c r="P296" s="394"/>
      <c r="Q296" s="394"/>
      <c r="R296" s="281"/>
      <c r="S296" s="281"/>
      <c r="T296" s="281"/>
      <c r="U296" s="281"/>
      <c r="V296" s="281"/>
      <c r="W296" s="271"/>
    </row>
    <row r="297" spans="2:23" ht="15" customHeight="1">
      <c r="D297" s="1"/>
    </row>
    <row r="298" spans="2:23" ht="15" customHeight="1">
      <c r="D298" s="4" t="s">
        <v>81</v>
      </c>
    </row>
    <row r="299" spans="2:23" ht="15" customHeight="1">
      <c r="D299" s="15" t="s">
        <v>79</v>
      </c>
      <c r="E299" s="15"/>
      <c r="F299" s="15"/>
      <c r="G299" s="15"/>
      <c r="H299" s="15"/>
      <c r="I299" s="15"/>
      <c r="J299" s="15"/>
      <c r="K299" s="19" t="str">
        <f xml:space="preserve"> Model.Units</f>
        <v>DKKt</v>
      </c>
      <c r="L299" s="15"/>
      <c r="M299" s="15"/>
      <c r="N299" s="15">
        <f xml:space="preserve"> N293 * $N$26</f>
        <v>0</v>
      </c>
      <c r="O299" s="274"/>
      <c r="P299" s="274"/>
      <c r="Q299" s="274"/>
      <c r="R299" s="274"/>
      <c r="S299" s="274"/>
      <c r="T299" s="274"/>
      <c r="U299" s="274"/>
      <c r="V299" s="274"/>
      <c r="W299" s="274"/>
    </row>
    <row r="300" spans="2:23" ht="15" customHeight="1">
      <c r="D300" s="1" t="s">
        <v>543</v>
      </c>
      <c r="K300" s="5" t="str">
        <f xml:space="preserve"> Model.Units</f>
        <v>DKKt</v>
      </c>
      <c r="N300" s="1">
        <f xml:space="preserve"> N294 * $N$26</f>
        <v>0</v>
      </c>
      <c r="O300" s="202"/>
      <c r="P300" s="202"/>
      <c r="Q300" s="202"/>
      <c r="R300" s="202"/>
      <c r="S300" s="202"/>
      <c r="T300" s="202"/>
      <c r="U300" s="202"/>
      <c r="V300" s="202"/>
      <c r="W300" s="202"/>
    </row>
    <row r="301" spans="2:23" ht="15" customHeight="1">
      <c r="D301" s="27" t="s">
        <v>78</v>
      </c>
      <c r="E301" s="27"/>
      <c r="F301" s="27"/>
      <c r="G301" s="27"/>
      <c r="H301" s="27"/>
      <c r="I301" s="27"/>
      <c r="J301" s="27"/>
      <c r="K301" s="32" t="str">
        <f xml:space="preserve"> Model.Units</f>
        <v>DKKt</v>
      </c>
      <c r="L301" s="27"/>
      <c r="M301" s="27"/>
      <c r="N301" s="27">
        <f xml:space="preserve"> N295 * $N$26</f>
        <v>0</v>
      </c>
      <c r="O301" s="269"/>
      <c r="P301" s="269"/>
      <c r="Q301" s="269"/>
      <c r="R301" s="269"/>
      <c r="S301" s="269"/>
      <c r="T301" s="269"/>
      <c r="U301" s="269"/>
      <c r="V301" s="269"/>
      <c r="W301" s="269"/>
    </row>
    <row r="302" spans="2:23" ht="15" customHeight="1">
      <c r="D302" s="35" t="s">
        <v>72</v>
      </c>
      <c r="E302" s="27"/>
      <c r="F302" s="27"/>
      <c r="G302" s="27"/>
      <c r="H302" s="27"/>
      <c r="I302" s="27"/>
      <c r="J302" s="27"/>
      <c r="K302" s="201" t="str">
        <f xml:space="preserve"> Model.Units</f>
        <v>DKKt</v>
      </c>
      <c r="L302" s="99">
        <f xml:space="preserve"> -- ( IF( '2.3 Selskabsspecifikke input'!N51 = 0, 0, ROUND( N302, 5 ) &lt;&gt; ROUND( N26, 5 ) ) )</f>
        <v>0</v>
      </c>
      <c r="M302" s="27"/>
      <c r="N302" s="35">
        <f xml:space="preserve"> SUM( N299:N301 )</f>
        <v>0</v>
      </c>
      <c r="O302" s="395"/>
      <c r="P302" s="395"/>
      <c r="Q302" s="395"/>
      <c r="R302" s="269"/>
      <c r="S302" s="269"/>
      <c r="T302" s="269"/>
      <c r="U302" s="269"/>
      <c r="V302" s="269"/>
      <c r="W302" s="269"/>
    </row>
    <row r="303" spans="2:23" ht="15" customHeight="1">
      <c r="D303" s="1"/>
    </row>
    <row r="304" spans="2:23" ht="15" customHeight="1">
      <c r="D304" s="4" t="s">
        <v>289</v>
      </c>
      <c r="W304" s="89" t="s">
        <v>16</v>
      </c>
    </row>
    <row r="305" spans="4:23" ht="15" customHeight="1">
      <c r="D305" s="15" t="s">
        <v>68</v>
      </c>
      <c r="E305" s="15"/>
      <c r="F305" s="15"/>
      <c r="G305" s="15"/>
      <c r="H305" s="15"/>
      <c r="I305" s="15"/>
      <c r="J305" s="15"/>
      <c r="K305" s="19" t="str">
        <f xml:space="preserve"> Model.Units</f>
        <v>DKKt</v>
      </c>
      <c r="L305" s="123">
        <f xml:space="preserve"> -- ( ROUND( W305, 5 ) &lt;&gt; ROUND( N299, 5 ) )</f>
        <v>0</v>
      </c>
      <c r="M305" s="15"/>
      <c r="N305" s="15"/>
      <c r="O305" s="274"/>
      <c r="P305" s="274"/>
      <c r="Q305" s="274"/>
      <c r="R305" s="15">
        <f t="shared" ref="R305:V306" si="45" xml:space="preserve"> R82 * $N299</f>
        <v>0</v>
      </c>
      <c r="S305" s="15">
        <f t="shared" si="45"/>
        <v>0</v>
      </c>
      <c r="T305" s="15">
        <f t="shared" si="45"/>
        <v>0</v>
      </c>
      <c r="U305" s="15">
        <f t="shared" si="45"/>
        <v>0</v>
      </c>
      <c r="V305" s="15">
        <f t="shared" si="45"/>
        <v>0</v>
      </c>
      <c r="W305" s="18">
        <f xml:space="preserve"> SUM( R305:V305 )</f>
        <v>0</v>
      </c>
    </row>
    <row r="306" spans="4:23" ht="15" customHeight="1">
      <c r="D306" s="1" t="s">
        <v>542</v>
      </c>
      <c r="K306" s="5" t="str">
        <f xml:space="preserve"> Model.Units</f>
        <v>DKKt</v>
      </c>
      <c r="L306" s="85">
        <f xml:space="preserve"> -- ( ROUND( W306, 5 ) &lt;&gt; ROUND( N300, 5 ) )</f>
        <v>0</v>
      </c>
      <c r="O306" s="202"/>
      <c r="P306" s="202"/>
      <c r="Q306" s="202"/>
      <c r="R306" s="1">
        <f t="shared" si="45"/>
        <v>0</v>
      </c>
      <c r="S306" s="1">
        <f t="shared" si="45"/>
        <v>0</v>
      </c>
      <c r="T306" s="1">
        <f t="shared" si="45"/>
        <v>0</v>
      </c>
      <c r="U306" s="1">
        <f t="shared" si="45"/>
        <v>0</v>
      </c>
      <c r="V306" s="1">
        <f t="shared" si="45"/>
        <v>0</v>
      </c>
      <c r="W306" s="4">
        <f xml:space="preserve"> SUM( R306:V306 )</f>
        <v>0</v>
      </c>
    </row>
    <row r="307" spans="4:23" ht="15" customHeight="1">
      <c r="D307" s="27" t="s">
        <v>21</v>
      </c>
      <c r="E307" s="27"/>
      <c r="F307" s="27"/>
      <c r="G307" s="27"/>
      <c r="H307" s="27"/>
      <c r="I307" s="27"/>
      <c r="J307" s="27"/>
      <c r="K307" s="32" t="str">
        <f xml:space="preserve"> Model.Units</f>
        <v>DKKt</v>
      </c>
      <c r="L307" s="99">
        <f xml:space="preserve"> -- ( ROUND( W307, 5 ) &lt;&gt; ROUND( N301, 5 ) )</f>
        <v>0</v>
      </c>
      <c r="M307" s="27"/>
      <c r="N307" s="27"/>
      <c r="O307" s="269"/>
      <c r="P307" s="269"/>
      <c r="Q307" s="269"/>
      <c r="R307" s="27">
        <f xml:space="preserve"> IF($N$44 = '2.1 Model setup'!$K$98, R282 * $N301, R84 * $N301 )</f>
        <v>0</v>
      </c>
      <c r="S307" s="27">
        <f xml:space="preserve"> IF($N$44 = '2.1 Model setup'!$K$98, S282 * $N301, S84 * $N301 )</f>
        <v>0</v>
      </c>
      <c r="T307" s="27">
        <f xml:space="preserve"> IF($N$44 = '2.1 Model setup'!$K$98, T282 * $N301, T84 * $N301 )</f>
        <v>0</v>
      </c>
      <c r="U307" s="27">
        <f xml:space="preserve"> IF($N$44 = '2.1 Model setup'!$K$98, U282 * $N301, U84 * $N301 )</f>
        <v>0</v>
      </c>
      <c r="V307" s="27">
        <f xml:space="preserve"> IF($N$44 = '2.1 Model setup'!$K$98, V282 * $N301, V84 * $N301 )</f>
        <v>0</v>
      </c>
      <c r="W307" s="35">
        <f xml:space="preserve"> SUM( R307:V307 )</f>
        <v>0</v>
      </c>
    </row>
    <row r="308" spans="4:23" ht="15" customHeight="1">
      <c r="D308" s="35" t="s">
        <v>16</v>
      </c>
      <c r="E308" s="27"/>
      <c r="F308" s="27"/>
      <c r="G308" s="27"/>
      <c r="H308" s="27"/>
      <c r="I308" s="27"/>
      <c r="J308" s="27"/>
      <c r="K308" s="201" t="str">
        <f xml:space="preserve"> Model.Units</f>
        <v>DKKt</v>
      </c>
      <c r="L308" s="99">
        <f xml:space="preserve"> -- ( ROUND( W308, 5 ) &lt;&gt; ROUND( N302, 5 ) )</f>
        <v>0</v>
      </c>
      <c r="M308" s="35"/>
      <c r="N308" s="35"/>
      <c r="O308" s="395"/>
      <c r="P308" s="395"/>
      <c r="Q308" s="395"/>
      <c r="R308" s="35">
        <f t="shared" ref="R308:W308" si="46" xml:space="preserve"> SUM( R305:R307 )</f>
        <v>0</v>
      </c>
      <c r="S308" s="35">
        <f t="shared" si="46"/>
        <v>0</v>
      </c>
      <c r="T308" s="35">
        <f t="shared" si="46"/>
        <v>0</v>
      </c>
      <c r="U308" s="35">
        <f t="shared" si="46"/>
        <v>0</v>
      </c>
      <c r="V308" s="35">
        <f t="shared" si="46"/>
        <v>0</v>
      </c>
      <c r="W308" s="35">
        <f t="shared" si="46"/>
        <v>0</v>
      </c>
    </row>
    <row r="309" spans="4:23" ht="15" customHeight="1">
      <c r="D309" s="1"/>
    </row>
    <row r="310" spans="4:23" ht="15" customHeight="1">
      <c r="D310" s="4" t="s">
        <v>432</v>
      </c>
    </row>
    <row r="311" spans="4:23" ht="15" customHeight="1">
      <c r="D311" s="15" t="s">
        <v>77</v>
      </c>
      <c r="E311" s="15"/>
      <c r="F311" s="180"/>
      <c r="G311" s="180"/>
      <c r="H311" s="180"/>
      <c r="I311" s="180"/>
      <c r="J311" s="180"/>
      <c r="K311" s="19" t="s">
        <v>4</v>
      </c>
      <c r="L311" s="15"/>
      <c r="M311" s="15"/>
      <c r="N311" s="180"/>
      <c r="O311" s="279"/>
      <c r="P311" s="279"/>
      <c r="Q311" s="279"/>
      <c r="R311" s="180">
        <f t="shared" ref="R311:V312" si="47" xml:space="preserve"> IF( ( R$72 + R$73 = 0 ), 0, R72 / (R$72 + R$73 ) )</f>
        <v>0</v>
      </c>
      <c r="S311" s="180">
        <f t="shared" si="47"/>
        <v>0</v>
      </c>
      <c r="T311" s="180">
        <f t="shared" si="47"/>
        <v>0</v>
      </c>
      <c r="U311" s="180">
        <f t="shared" si="47"/>
        <v>0</v>
      </c>
      <c r="V311" s="180">
        <f t="shared" si="47"/>
        <v>0</v>
      </c>
      <c r="W311" s="15"/>
    </row>
    <row r="312" spans="4:23" ht="15" customHeight="1">
      <c r="D312" s="1" t="s">
        <v>544</v>
      </c>
      <c r="F312" s="181"/>
      <c r="G312" s="181"/>
      <c r="H312" s="181"/>
      <c r="I312" s="181"/>
      <c r="J312" s="181"/>
      <c r="K312" s="5" t="s">
        <v>4</v>
      </c>
      <c r="N312" s="181"/>
      <c r="O312" s="280"/>
      <c r="P312" s="280"/>
      <c r="Q312" s="280"/>
      <c r="R312" s="181">
        <f t="shared" si="47"/>
        <v>0</v>
      </c>
      <c r="S312" s="181">
        <f t="shared" si="47"/>
        <v>0</v>
      </c>
      <c r="T312" s="181">
        <f t="shared" si="47"/>
        <v>0</v>
      </c>
      <c r="U312" s="181">
        <f t="shared" si="47"/>
        <v>0</v>
      </c>
      <c r="V312" s="181">
        <f t="shared" si="47"/>
        <v>0</v>
      </c>
    </row>
    <row r="313" spans="4:23" ht="15" customHeight="1">
      <c r="D313" s="186" t="s">
        <v>16</v>
      </c>
      <c r="E313" s="33"/>
      <c r="F313" s="184"/>
      <c r="G313" s="184"/>
      <c r="H313" s="184"/>
      <c r="I313" s="184"/>
      <c r="J313" s="184"/>
      <c r="K313" s="187" t="s">
        <v>4</v>
      </c>
      <c r="L313" s="90"/>
      <c r="M313" s="33"/>
      <c r="N313" s="200"/>
      <c r="O313" s="394"/>
      <c r="P313" s="394"/>
      <c r="Q313" s="394"/>
      <c r="R313" s="200">
        <f xml:space="preserve"> SUM( R311:R312 )</f>
        <v>0</v>
      </c>
      <c r="S313" s="200">
        <f xml:space="preserve"> SUM( S311:S312 )</f>
        <v>0</v>
      </c>
      <c r="T313" s="200">
        <f xml:space="preserve"> SUM( T311:T312 )</f>
        <v>0</v>
      </c>
      <c r="U313" s="200">
        <f xml:space="preserve"> SUM( U311:U312 )</f>
        <v>0</v>
      </c>
      <c r="V313" s="200">
        <f xml:space="preserve"> SUM( V311:V312 )</f>
        <v>0</v>
      </c>
      <c r="W313" s="33"/>
    </row>
    <row r="314" spans="4:23" ht="15" customHeight="1">
      <c r="D314" s="1"/>
    </row>
    <row r="315" spans="4:23" ht="15" customHeight="1">
      <c r="D315" s="35" t="s">
        <v>32</v>
      </c>
      <c r="E315" s="27"/>
      <c r="F315" s="27"/>
      <c r="G315" s="27"/>
      <c r="H315" s="27"/>
      <c r="I315" s="27"/>
      <c r="J315" s="27"/>
      <c r="K315" s="32"/>
      <c r="L315" s="27"/>
      <c r="M315" s="27"/>
      <c r="N315" s="27"/>
      <c r="O315" s="27"/>
      <c r="P315" s="27"/>
      <c r="Q315" s="27"/>
      <c r="R315" s="27"/>
      <c r="S315" s="27"/>
      <c r="T315" s="27"/>
      <c r="U315" s="27"/>
      <c r="V315" s="27"/>
      <c r="W315" s="89" t="s">
        <v>16</v>
      </c>
    </row>
    <row r="316" spans="4:23" ht="15" customHeight="1">
      <c r="D316" s="90" t="s">
        <v>80</v>
      </c>
      <c r="E316" s="33"/>
      <c r="F316" s="33"/>
      <c r="G316" s="33"/>
      <c r="H316" s="33"/>
      <c r="I316" s="33"/>
      <c r="J316" s="33"/>
      <c r="K316" s="34" t="str">
        <f xml:space="preserve"> Model.Units</f>
        <v>DKKt</v>
      </c>
      <c r="L316" s="33"/>
      <c r="M316" s="33"/>
      <c r="N316" s="33"/>
      <c r="O316" s="271"/>
      <c r="P316" s="271"/>
      <c r="Q316" s="271"/>
      <c r="R316" s="33">
        <f xml:space="preserve"> '2.3 Selskabsspecifikke input'!R28</f>
        <v>0</v>
      </c>
      <c r="S316" s="33">
        <f xml:space="preserve"> '2.3 Selskabsspecifikke input'!S28</f>
        <v>0</v>
      </c>
      <c r="T316" s="33">
        <f xml:space="preserve"> '2.3 Selskabsspecifikke input'!T28</f>
        <v>0</v>
      </c>
      <c r="U316" s="33">
        <f xml:space="preserve"> '2.3 Selskabsspecifikke input'!U28</f>
        <v>0</v>
      </c>
      <c r="V316" s="33">
        <f xml:space="preserve"> '2.3 Selskabsspecifikke input'!V28</f>
        <v>0</v>
      </c>
      <c r="W316" s="186">
        <f xml:space="preserve"> SUM( R316:V316 )</f>
        <v>0</v>
      </c>
    </row>
    <row r="317" spans="4:23" ht="15" customHeight="1">
      <c r="D317" s="1"/>
    </row>
    <row r="318" spans="4:23" ht="15" customHeight="1">
      <c r="D318" s="4" t="s">
        <v>82</v>
      </c>
      <c r="W318" s="89" t="s">
        <v>16</v>
      </c>
    </row>
    <row r="319" spans="4:23" ht="15" customHeight="1">
      <c r="D319" s="15" t="s">
        <v>83</v>
      </c>
      <c r="E319" s="15"/>
      <c r="F319" s="15"/>
      <c r="G319" s="15"/>
      <c r="H319" s="15"/>
      <c r="I319" s="15"/>
      <c r="J319" s="15"/>
      <c r="K319" s="19" t="str">
        <f xml:space="preserve"> Model.Units</f>
        <v>DKKt</v>
      </c>
      <c r="L319" s="15"/>
      <c r="M319" s="15"/>
      <c r="N319" s="15"/>
      <c r="O319" s="274"/>
      <c r="P319" s="274"/>
      <c r="Q319" s="274"/>
      <c r="R319" s="15">
        <f t="shared" ref="R319:V320" si="48" xml:space="preserve"> R$316 * R311</f>
        <v>0</v>
      </c>
      <c r="S319" s="15">
        <f t="shared" si="48"/>
        <v>0</v>
      </c>
      <c r="T319" s="15">
        <f t="shared" si="48"/>
        <v>0</v>
      </c>
      <c r="U319" s="15">
        <f t="shared" si="48"/>
        <v>0</v>
      </c>
      <c r="V319" s="15">
        <f t="shared" si="48"/>
        <v>0</v>
      </c>
      <c r="W319" s="18">
        <f xml:space="preserve"> SUM( R319:V319 )</f>
        <v>0</v>
      </c>
    </row>
    <row r="320" spans="4:23" ht="15" customHeight="1">
      <c r="D320" s="1" t="s">
        <v>545</v>
      </c>
      <c r="K320" s="5" t="str">
        <f xml:space="preserve"> Model.Units</f>
        <v>DKKt</v>
      </c>
      <c r="O320" s="202"/>
      <c r="P320" s="202"/>
      <c r="Q320" s="202"/>
      <c r="R320" s="1">
        <f t="shared" si="48"/>
        <v>0</v>
      </c>
      <c r="S320" s="1">
        <f t="shared" si="48"/>
        <v>0</v>
      </c>
      <c r="T320" s="1">
        <f t="shared" si="48"/>
        <v>0</v>
      </c>
      <c r="U320" s="1">
        <f t="shared" si="48"/>
        <v>0</v>
      </c>
      <c r="V320" s="1">
        <f t="shared" si="48"/>
        <v>0</v>
      </c>
      <c r="W320" s="4">
        <f xml:space="preserve"> SUM( R320:V320 )</f>
        <v>0</v>
      </c>
    </row>
    <row r="321" spans="2:23" ht="15" customHeight="1">
      <c r="D321" s="186" t="s">
        <v>16</v>
      </c>
      <c r="E321" s="33"/>
      <c r="F321" s="33"/>
      <c r="G321" s="33"/>
      <c r="H321" s="33"/>
      <c r="I321" s="33"/>
      <c r="J321" s="33"/>
      <c r="K321" s="187" t="str">
        <f xml:space="preserve"> Model.Units</f>
        <v>DKKt</v>
      </c>
      <c r="L321" s="90">
        <f xml:space="preserve"> -- ( ROUND( W321, 5 ) &lt;&gt; ROUND( N25, 5 ) )</f>
        <v>0</v>
      </c>
      <c r="M321" s="186"/>
      <c r="N321" s="186"/>
      <c r="O321" s="388"/>
      <c r="P321" s="388"/>
      <c r="Q321" s="388"/>
      <c r="R321" s="186">
        <f t="shared" ref="R321:W321" si="49" xml:space="preserve"> SUM( R319:R320 )</f>
        <v>0</v>
      </c>
      <c r="S321" s="186">
        <f t="shared" si="49"/>
        <v>0</v>
      </c>
      <c r="T321" s="186">
        <f t="shared" si="49"/>
        <v>0</v>
      </c>
      <c r="U321" s="186">
        <f t="shared" si="49"/>
        <v>0</v>
      </c>
      <c r="V321" s="186">
        <f t="shared" si="49"/>
        <v>0</v>
      </c>
      <c r="W321" s="186">
        <f t="shared" si="49"/>
        <v>0</v>
      </c>
    </row>
    <row r="322" spans="2:23" ht="15" customHeight="1">
      <c r="D322" s="1"/>
    </row>
    <row r="323" spans="2:23" ht="15" customHeight="1">
      <c r="D323" s="4" t="s">
        <v>259</v>
      </c>
      <c r="W323" s="89" t="s">
        <v>16</v>
      </c>
    </row>
    <row r="324" spans="2:23" ht="15" customHeight="1">
      <c r="D324" s="123" t="str">
        <f xml:space="preserve"> '2.1 Model setup'!K85</f>
        <v>7.1 Transformerstationer (forrentning)</v>
      </c>
      <c r="E324" s="15"/>
      <c r="F324" s="15"/>
      <c r="G324" s="15"/>
      <c r="H324" s="15"/>
      <c r="I324" s="15"/>
      <c r="J324" s="15"/>
      <c r="K324" s="19" t="str">
        <f xml:space="preserve"> Model.Units</f>
        <v>DKKt</v>
      </c>
      <c r="L324" s="123" cm="1">
        <f t="array" ref="L324" xml:space="preserve"> -- ( SUMPRODUCT(-- ( ROUND( R305:W305 - R319:W319, 5 ) &lt;&gt; ROUND( R324:W324, 5 ) )  ) &gt; 0 )</f>
        <v>0</v>
      </c>
      <c r="M324" s="142">
        <f xml:space="preserve"> --  ( COUNTIF( R324:V324, "&lt;0" ) &gt; 0 )</f>
        <v>0</v>
      </c>
      <c r="N324" s="15"/>
      <c r="O324" s="274"/>
      <c r="P324" s="274"/>
      <c r="Q324" s="274"/>
      <c r="R324" s="15">
        <f t="shared" ref="R324:V325" si="50" xml:space="preserve"> R305 - R319</f>
        <v>0</v>
      </c>
      <c r="S324" s="15">
        <f t="shared" si="50"/>
        <v>0</v>
      </c>
      <c r="T324" s="15">
        <f t="shared" si="50"/>
        <v>0</v>
      </c>
      <c r="U324" s="15">
        <f t="shared" si="50"/>
        <v>0</v>
      </c>
      <c r="V324" s="15">
        <f t="shared" si="50"/>
        <v>0</v>
      </c>
      <c r="W324" s="18">
        <f xml:space="preserve"> SUM( R324:V324 )</f>
        <v>0</v>
      </c>
    </row>
    <row r="325" spans="2:23" ht="15" customHeight="1">
      <c r="D325" s="85" t="str">
        <f xml:space="preserve"> '2.1 Model setup'!K86</f>
        <v>7.2 Netaktiver ekskl. målere og transformerstationer (forrentning)</v>
      </c>
      <c r="K325" s="5" t="str">
        <f xml:space="preserve"> Model.Units</f>
        <v>DKKt</v>
      </c>
      <c r="L325" s="85" cm="1">
        <f t="array" ref="L325" xml:space="preserve"> -- ( SUMPRODUCT(-- ( ROUND( R306:W306 - R320:W320, 5 ) &lt;&gt; ROUND( R325:W325, 5 ) )  ) &gt; 0 )</f>
        <v>0</v>
      </c>
      <c r="M325" s="119">
        <f xml:space="preserve"> --  ( COUNTIF( R325:V325, "&lt;0" ) &gt; 0 )</f>
        <v>0</v>
      </c>
      <c r="O325" s="202"/>
      <c r="P325" s="202"/>
      <c r="Q325" s="202"/>
      <c r="R325" s="1">
        <f t="shared" si="50"/>
        <v>0</v>
      </c>
      <c r="S325" s="1">
        <f t="shared" si="50"/>
        <v>0</v>
      </c>
      <c r="T325" s="1">
        <f t="shared" si="50"/>
        <v>0</v>
      </c>
      <c r="U325" s="1">
        <f t="shared" si="50"/>
        <v>0</v>
      </c>
      <c r="V325" s="1">
        <f t="shared" si="50"/>
        <v>0</v>
      </c>
      <c r="W325" s="4">
        <f xml:space="preserve"> SUM( R325:V325 )</f>
        <v>0</v>
      </c>
    </row>
    <row r="326" spans="2:23" ht="15" customHeight="1">
      <c r="D326" s="285" t="str">
        <f xml:space="preserve"> '2.1 Model setup'!K87</f>
        <v>7.3 Målere (forrentning)</v>
      </c>
      <c r="E326" s="283"/>
      <c r="F326" s="283"/>
      <c r="G326" s="283"/>
      <c r="H326" s="283"/>
      <c r="I326" s="283"/>
      <c r="J326" s="283"/>
      <c r="K326" s="284" t="str">
        <f xml:space="preserve"> Model.Units</f>
        <v>DKKt</v>
      </c>
      <c r="L326" s="285"/>
      <c r="M326" s="285">
        <f xml:space="preserve"> --  ( COUNTIF( R326:V326, "&lt;0" ) &gt; 0 )</f>
        <v>0</v>
      </c>
      <c r="N326" s="283"/>
      <c r="O326" s="393"/>
      <c r="P326" s="393"/>
      <c r="Q326" s="393"/>
      <c r="R326" s="283">
        <f xml:space="preserve"> R307</f>
        <v>0</v>
      </c>
      <c r="S326" s="283">
        <f xml:space="preserve"> S307</f>
        <v>0</v>
      </c>
      <c r="T326" s="283">
        <f xml:space="preserve"> T307</f>
        <v>0</v>
      </c>
      <c r="U326" s="283">
        <f xml:space="preserve"> U307</f>
        <v>0</v>
      </c>
      <c r="V326" s="283">
        <f xml:space="preserve"> V307</f>
        <v>0</v>
      </c>
      <c r="W326" s="305">
        <f xml:space="preserve"> SUM( R326:V326 )</f>
        <v>0</v>
      </c>
    </row>
    <row r="327" spans="2:23" ht="15" customHeight="1">
      <c r="D327" s="35" t="s">
        <v>16</v>
      </c>
      <c r="E327" s="27"/>
      <c r="F327" s="27"/>
      <c r="G327" s="27"/>
      <c r="H327" s="27"/>
      <c r="I327" s="27"/>
      <c r="J327" s="27"/>
      <c r="K327" s="201" t="str">
        <f xml:space="preserve"> Model.Units</f>
        <v>DKKt</v>
      </c>
      <c r="L327" s="99" cm="1">
        <f t="array" ref="L327" xml:space="preserve"> -- ( SUMPRODUCT(-- ( ROUND( R308:W308 - R321:W321, 5 ) &lt;&gt; ROUND( R327:W327, 5 ) )  ) &gt; 0 )</f>
        <v>0</v>
      </c>
      <c r="M327" s="35"/>
      <c r="N327" s="35"/>
      <c r="O327" s="395"/>
      <c r="P327" s="395"/>
      <c r="Q327" s="395"/>
      <c r="R327" s="35">
        <f t="shared" ref="R327:W327" si="51" xml:space="preserve"> SUM( R324:R326 )</f>
        <v>0</v>
      </c>
      <c r="S327" s="35">
        <f t="shared" si="51"/>
        <v>0</v>
      </c>
      <c r="T327" s="35">
        <f t="shared" si="51"/>
        <v>0</v>
      </c>
      <c r="U327" s="35">
        <f t="shared" si="51"/>
        <v>0</v>
      </c>
      <c r="V327" s="35">
        <f t="shared" si="51"/>
        <v>0</v>
      </c>
      <c r="W327" s="35">
        <f t="shared" si="51"/>
        <v>0</v>
      </c>
    </row>
    <row r="328" spans="2:23" ht="15" customHeight="1">
      <c r="D328" s="1"/>
    </row>
    <row r="329" spans="2:23" ht="15" customHeight="1">
      <c r="D329" s="1"/>
    </row>
    <row r="330" spans="2:23" ht="15" customHeight="1">
      <c r="D330" s="1"/>
    </row>
    <row r="331" spans="2:23" s="475" customFormat="1" ht="15" customHeight="1">
      <c r="B331" s="479" t="str">
        <f xml:space="preserve"> COUNTA(B$10:B328) &amp; ") Fordeling af omkostninger"</f>
        <v>5) Fordeling af omkostninger</v>
      </c>
      <c r="C331" s="477"/>
      <c r="D331" s="478"/>
      <c r="K331" s="472"/>
    </row>
    <row r="332" spans="2:23" ht="15" customHeight="1">
      <c r="D332" s="1"/>
    </row>
    <row r="333" spans="2:23" ht="15" customHeight="1">
      <c r="D333" s="97" t="s">
        <v>49</v>
      </c>
      <c r="E333" s="27"/>
      <c r="F333" s="27"/>
      <c r="G333" s="27"/>
      <c r="H333" s="27"/>
      <c r="I333" s="27"/>
      <c r="J333" s="27"/>
      <c r="K333" s="32"/>
      <c r="L333" s="27"/>
      <c r="M333" s="27"/>
      <c r="N333" s="185" t="s">
        <v>16</v>
      </c>
      <c r="O333" s="185"/>
      <c r="P333" s="185"/>
      <c r="Q333" s="185"/>
      <c r="R333" s="27"/>
      <c r="S333" s="27"/>
      <c r="T333" s="27"/>
      <c r="U333" s="27"/>
      <c r="V333" s="27"/>
      <c r="W333" s="185" t="s">
        <v>183</v>
      </c>
    </row>
    <row r="334" spans="2:23" ht="15" customHeight="1">
      <c r="D334" s="85" t="str">
        <f xml:space="preserve"> '2.1 Model setup'!K70</f>
        <v>1.1 Drift og vedligeholdelse af transformerstationer</v>
      </c>
      <c r="F334" s="121"/>
      <c r="G334" s="121"/>
      <c r="H334" s="121"/>
      <c r="I334" s="121"/>
      <c r="J334" s="121"/>
      <c r="K334" s="5" t="str">
        <f t="shared" ref="K334:K349" si="52" xml:space="preserve"> Model.Units</f>
        <v>DKKt</v>
      </c>
      <c r="N334" s="15">
        <f xml:space="preserve"> '2.3 Selskabsspecifikke input'!N77</f>
        <v>0</v>
      </c>
      <c r="O334" s="202"/>
      <c r="P334" s="202"/>
      <c r="Q334" s="202"/>
      <c r="R334" s="1">
        <f xml:space="preserve"> '2.3 Selskabsspecifikke input'!R77</f>
        <v>0</v>
      </c>
      <c r="S334" s="1">
        <f xml:space="preserve"> '2.3 Selskabsspecifikke input'!S77</f>
        <v>0</v>
      </c>
      <c r="T334" s="1">
        <f xml:space="preserve"> '2.3 Selskabsspecifikke input'!T77</f>
        <v>0</v>
      </c>
      <c r="U334" s="1">
        <f xml:space="preserve"> '2.3 Selskabsspecifikke input'!U77</f>
        <v>0</v>
      </c>
      <c r="V334" s="1">
        <f xml:space="preserve"> '2.3 Selskabsspecifikke input'!V77</f>
        <v>0</v>
      </c>
      <c r="W334" s="4">
        <f xml:space="preserve"> '2.3 Selskabsspecifikke input'!W77</f>
        <v>0</v>
      </c>
    </row>
    <row r="335" spans="2:23" ht="15" customHeight="1">
      <c r="D335" s="85" t="str">
        <f xml:space="preserve"> '2.1 Model setup'!K71</f>
        <v>1.2 Drift og vedligeholdelse af ledningsnet</v>
      </c>
      <c r="F335" s="121"/>
      <c r="G335" s="121"/>
      <c r="H335" s="121"/>
      <c r="I335" s="121"/>
      <c r="J335" s="121"/>
      <c r="K335" s="5" t="str">
        <f t="shared" si="52"/>
        <v>DKKt</v>
      </c>
      <c r="N335" s="1">
        <f xml:space="preserve"> '2.3 Selskabsspecifikke input'!N78</f>
        <v>0</v>
      </c>
      <c r="O335" s="202"/>
      <c r="P335" s="202"/>
      <c r="Q335" s="202"/>
      <c r="R335" s="1">
        <f xml:space="preserve"> '2.3 Selskabsspecifikke input'!R78</f>
        <v>0</v>
      </c>
      <c r="S335" s="1">
        <f xml:space="preserve"> '2.3 Selskabsspecifikke input'!S78</f>
        <v>0</v>
      </c>
      <c r="T335" s="1">
        <f xml:space="preserve"> '2.3 Selskabsspecifikke input'!T78</f>
        <v>0</v>
      </c>
      <c r="U335" s="1">
        <f xml:space="preserve"> '2.3 Selskabsspecifikke input'!U78</f>
        <v>0</v>
      </c>
      <c r="V335" s="1">
        <f xml:space="preserve"> '2.3 Selskabsspecifikke input'!V78</f>
        <v>0</v>
      </c>
      <c r="W335" s="4">
        <f xml:space="preserve"> '2.3 Selskabsspecifikke input'!W78</f>
        <v>0</v>
      </c>
    </row>
    <row r="336" spans="2:23" ht="15" customHeight="1">
      <c r="D336" s="85" t="str">
        <f xml:space="preserve"> '2.1 Model setup'!K72</f>
        <v>1.3 Øvrige omkostninger til drift, styring og kontrol af elnettet</v>
      </c>
      <c r="F336" s="121"/>
      <c r="G336" s="121"/>
      <c r="H336" s="121"/>
      <c r="I336" s="121"/>
      <c r="J336" s="121"/>
      <c r="K336" s="5" t="str">
        <f t="shared" si="52"/>
        <v>DKKt</v>
      </c>
      <c r="N336" s="1">
        <f xml:space="preserve"> '2.3 Selskabsspecifikke input'!N79</f>
        <v>0</v>
      </c>
      <c r="O336" s="202"/>
      <c r="P336" s="202"/>
      <c r="Q336" s="202"/>
      <c r="R336" s="1">
        <f xml:space="preserve"> '2.3 Selskabsspecifikke input'!R79</f>
        <v>0</v>
      </c>
      <c r="S336" s="1">
        <f xml:space="preserve"> '2.3 Selskabsspecifikke input'!S79</f>
        <v>0</v>
      </c>
      <c r="T336" s="1">
        <f xml:space="preserve"> '2.3 Selskabsspecifikke input'!T79</f>
        <v>0</v>
      </c>
      <c r="U336" s="1">
        <f xml:space="preserve"> '2.3 Selskabsspecifikke input'!U79</f>
        <v>0</v>
      </c>
      <c r="V336" s="1">
        <f xml:space="preserve"> '2.3 Selskabsspecifikke input'!V79</f>
        <v>0</v>
      </c>
      <c r="W336" s="4">
        <f xml:space="preserve"> '2.3 Selskabsspecifikke input'!W79</f>
        <v>0</v>
      </c>
    </row>
    <row r="337" spans="4:23" ht="15" customHeight="1">
      <c r="D337" s="85" t="str">
        <f xml:space="preserve"> '2.1 Model setup'!K73</f>
        <v>1.4 Omkostninger vedrørende 132-150/30-60 kV-stationer</v>
      </c>
      <c r="F337" s="121"/>
      <c r="G337" s="121"/>
      <c r="H337" s="121"/>
      <c r="I337" s="121"/>
      <c r="J337" s="121"/>
      <c r="K337" s="5" t="str">
        <f t="shared" si="52"/>
        <v>DKKt</v>
      </c>
      <c r="N337" s="1">
        <f xml:space="preserve"> '2.3 Selskabsspecifikke input'!N80</f>
        <v>0</v>
      </c>
      <c r="O337" s="202"/>
      <c r="P337" s="202"/>
      <c r="Q337" s="202"/>
      <c r="R337" s="1">
        <f xml:space="preserve"> '2.3 Selskabsspecifikke input'!R80</f>
        <v>0</v>
      </c>
      <c r="S337" s="1">
        <f xml:space="preserve"> '2.3 Selskabsspecifikke input'!S80</f>
        <v>0</v>
      </c>
      <c r="T337" s="1">
        <f xml:space="preserve"> '2.3 Selskabsspecifikke input'!T80</f>
        <v>0</v>
      </c>
      <c r="U337" s="1">
        <f xml:space="preserve"> '2.3 Selskabsspecifikke input'!U80</f>
        <v>0</v>
      </c>
      <c r="V337" s="1">
        <f xml:space="preserve"> '2.3 Selskabsspecifikke input'!V80</f>
        <v>0</v>
      </c>
      <c r="W337" s="4">
        <f xml:space="preserve"> '2.3 Selskabsspecifikke input'!W80</f>
        <v>0</v>
      </c>
    </row>
    <row r="338" spans="4:23" ht="15" customHeight="1">
      <c r="D338" s="85" t="str">
        <f xml:space="preserve"> '2.1 Model setup'!K74</f>
        <v>2.1 Drift og vedligeholdelse af målere</v>
      </c>
      <c r="F338" s="121"/>
      <c r="G338" s="121"/>
      <c r="H338" s="121"/>
      <c r="I338" s="121"/>
      <c r="J338" s="121"/>
      <c r="K338" s="5" t="str">
        <f t="shared" si="52"/>
        <v>DKKt</v>
      </c>
      <c r="N338" s="1">
        <f xml:space="preserve"> '2.3 Selskabsspecifikke input'!N81</f>
        <v>0</v>
      </c>
      <c r="O338" s="202"/>
      <c r="P338" s="202"/>
      <c r="Q338" s="202"/>
      <c r="R338" s="1">
        <f xml:space="preserve"> '2.3 Selskabsspecifikke input'!R81</f>
        <v>0</v>
      </c>
      <c r="S338" s="1">
        <f xml:space="preserve"> '2.3 Selskabsspecifikke input'!S81</f>
        <v>0</v>
      </c>
      <c r="T338" s="1">
        <f xml:space="preserve"> '2.3 Selskabsspecifikke input'!T81</f>
        <v>0</v>
      </c>
      <c r="U338" s="1">
        <f xml:space="preserve"> '2.3 Selskabsspecifikke input'!U81</f>
        <v>0</v>
      </c>
      <c r="V338" s="1">
        <f xml:space="preserve"> '2.3 Selskabsspecifikke input'!V81</f>
        <v>0</v>
      </c>
      <c r="W338" s="4">
        <f xml:space="preserve"> '2.3 Selskabsspecifikke input'!W81</f>
        <v>0</v>
      </c>
    </row>
    <row r="339" spans="4:23" ht="15" customHeight="1">
      <c r="D339" s="85" t="str">
        <f xml:space="preserve"> '2.1 Model setup'!K75</f>
        <v>2.2 Indhentning og validering af målerdata</v>
      </c>
      <c r="F339" s="121"/>
      <c r="G339" s="121"/>
      <c r="H339" s="121"/>
      <c r="I339" s="121"/>
      <c r="J339" s="121"/>
      <c r="K339" s="5" t="str">
        <f t="shared" si="52"/>
        <v>DKKt</v>
      </c>
      <c r="N339" s="1">
        <f xml:space="preserve"> '2.3 Selskabsspecifikke input'!N82</f>
        <v>0</v>
      </c>
      <c r="O339" s="202"/>
      <c r="P339" s="202"/>
      <c r="Q339" s="202"/>
      <c r="R339" s="1">
        <f xml:space="preserve"> '2.3 Selskabsspecifikke input'!R82</f>
        <v>0</v>
      </c>
      <c r="S339" s="1">
        <f xml:space="preserve"> '2.3 Selskabsspecifikke input'!S82</f>
        <v>0</v>
      </c>
      <c r="T339" s="1">
        <f xml:space="preserve"> '2.3 Selskabsspecifikke input'!T82</f>
        <v>0</v>
      </c>
      <c r="U339" s="1">
        <f xml:space="preserve"> '2.3 Selskabsspecifikke input'!U82</f>
        <v>0</v>
      </c>
      <c r="V339" s="1">
        <f xml:space="preserve"> '2.3 Selskabsspecifikke input'!V82</f>
        <v>0</v>
      </c>
      <c r="W339" s="4">
        <f xml:space="preserve"> '2.3 Selskabsspecifikke input'!W82</f>
        <v>0</v>
      </c>
    </row>
    <row r="340" spans="4:23" ht="15" customHeight="1">
      <c r="D340" s="85" t="str">
        <f xml:space="preserve"> '2.1 Model setup'!K76</f>
        <v>2.3 Måleradministration og kundehåndtering</v>
      </c>
      <c r="F340" s="121"/>
      <c r="G340" s="121"/>
      <c r="H340" s="121"/>
      <c r="I340" s="121"/>
      <c r="J340" s="121"/>
      <c r="K340" s="5" t="str">
        <f t="shared" si="52"/>
        <v>DKKt</v>
      </c>
      <c r="N340" s="1">
        <f xml:space="preserve"> '2.3 Selskabsspecifikke input'!N83</f>
        <v>0</v>
      </c>
      <c r="O340" s="202"/>
      <c r="P340" s="202"/>
      <c r="Q340" s="202"/>
      <c r="R340" s="1">
        <f xml:space="preserve"> '2.3 Selskabsspecifikke input'!R83</f>
        <v>0</v>
      </c>
      <c r="S340" s="1">
        <f xml:space="preserve"> '2.3 Selskabsspecifikke input'!S83</f>
        <v>0</v>
      </c>
      <c r="T340" s="1">
        <f xml:space="preserve"> '2.3 Selskabsspecifikke input'!T83</f>
        <v>0</v>
      </c>
      <c r="U340" s="1">
        <f xml:space="preserve"> '2.3 Selskabsspecifikke input'!U83</f>
        <v>0</v>
      </c>
      <c r="V340" s="1">
        <f xml:space="preserve"> '2.3 Selskabsspecifikke input'!V83</f>
        <v>0</v>
      </c>
      <c r="W340" s="4">
        <f xml:space="preserve"> '2.3 Selskabsspecifikke input'!W83</f>
        <v>0</v>
      </c>
    </row>
    <row r="341" spans="4:23" ht="15" customHeight="1">
      <c r="D341" s="85" t="str">
        <f xml:space="preserve"> '2.1 Model setup'!K77</f>
        <v>3.1 Generel administration</v>
      </c>
      <c r="F341" s="121"/>
      <c r="G341" s="121"/>
      <c r="H341" s="121"/>
      <c r="I341" s="121"/>
      <c r="J341" s="121"/>
      <c r="K341" s="5" t="str">
        <f t="shared" si="52"/>
        <v>DKKt</v>
      </c>
      <c r="N341" s="1">
        <f xml:space="preserve"> '2.3 Selskabsspecifikke input'!N84</f>
        <v>0</v>
      </c>
      <c r="O341" s="202"/>
      <c r="P341" s="202"/>
      <c r="Q341" s="202"/>
      <c r="R341" s="1">
        <f xml:space="preserve"> '2.3 Selskabsspecifikke input'!R84</f>
        <v>0</v>
      </c>
      <c r="S341" s="1">
        <f xml:space="preserve"> '2.3 Selskabsspecifikke input'!S84</f>
        <v>0</v>
      </c>
      <c r="T341" s="1">
        <f xml:space="preserve"> '2.3 Selskabsspecifikke input'!T84</f>
        <v>0</v>
      </c>
      <c r="U341" s="1">
        <f xml:space="preserve"> '2.3 Selskabsspecifikke input'!U84</f>
        <v>0</v>
      </c>
      <c r="V341" s="1">
        <f xml:space="preserve"> '2.3 Selskabsspecifikke input'!V84</f>
        <v>0</v>
      </c>
      <c r="W341" s="4">
        <f xml:space="preserve"> '2.3 Selskabsspecifikke input'!W84</f>
        <v>0</v>
      </c>
    </row>
    <row r="342" spans="4:23" ht="15" customHeight="1">
      <c r="D342" s="85" t="str">
        <f xml:space="preserve"> '2.1 Model setup'!K78</f>
        <v>4.1 Omkostninger vedrørende nettab i transformerstationer</v>
      </c>
      <c r="F342" s="121"/>
      <c r="G342" s="121"/>
      <c r="H342" s="121"/>
      <c r="I342" s="121"/>
      <c r="J342" s="121"/>
      <c r="K342" s="5" t="str">
        <f t="shared" si="52"/>
        <v>DKKt</v>
      </c>
      <c r="N342" s="1">
        <f xml:space="preserve"> '2.3 Selskabsspecifikke input'!N85</f>
        <v>0</v>
      </c>
      <c r="O342" s="202"/>
      <c r="P342" s="202"/>
      <c r="Q342" s="202"/>
      <c r="R342" s="1">
        <f xml:space="preserve"> '2.3 Selskabsspecifikke input'!R85</f>
        <v>0</v>
      </c>
      <c r="S342" s="1">
        <f xml:space="preserve"> '2.3 Selskabsspecifikke input'!S85</f>
        <v>0</v>
      </c>
      <c r="T342" s="1">
        <f xml:space="preserve"> '2.3 Selskabsspecifikke input'!T85</f>
        <v>0</v>
      </c>
      <c r="U342" s="1">
        <f xml:space="preserve"> '2.3 Selskabsspecifikke input'!U85</f>
        <v>0</v>
      </c>
      <c r="V342" s="1">
        <f xml:space="preserve"> '2.3 Selskabsspecifikke input'!V85</f>
        <v>0</v>
      </c>
      <c r="W342" s="4">
        <f xml:space="preserve"> '2.3 Selskabsspecifikke input'!W85</f>
        <v>0</v>
      </c>
    </row>
    <row r="343" spans="4:23" ht="15" customHeight="1">
      <c r="D343" s="85" t="str">
        <f xml:space="preserve"> '2.1 Model setup'!K79</f>
        <v>4.2 Omkostninger vedrørende nettab i ledningsnettet</v>
      </c>
      <c r="F343" s="121"/>
      <c r="G343" s="121"/>
      <c r="H343" s="121"/>
      <c r="I343" s="121"/>
      <c r="J343" s="121"/>
      <c r="K343" s="5" t="str">
        <f t="shared" si="52"/>
        <v>DKKt</v>
      </c>
      <c r="N343" s="1">
        <f xml:space="preserve"> '2.3 Selskabsspecifikke input'!N86</f>
        <v>0</v>
      </c>
      <c r="O343" s="202"/>
      <c r="P343" s="202"/>
      <c r="Q343" s="202"/>
      <c r="R343" s="1">
        <f xml:space="preserve"> '2.3 Selskabsspecifikke input'!R86</f>
        <v>0</v>
      </c>
      <c r="S343" s="1">
        <f xml:space="preserve"> '2.3 Selskabsspecifikke input'!S86</f>
        <v>0</v>
      </c>
      <c r="T343" s="1">
        <f xml:space="preserve"> '2.3 Selskabsspecifikke input'!T86</f>
        <v>0</v>
      </c>
      <c r="U343" s="1">
        <f xml:space="preserve"> '2.3 Selskabsspecifikke input'!U86</f>
        <v>0</v>
      </c>
      <c r="V343" s="1">
        <f xml:space="preserve"> '2.3 Selskabsspecifikke input'!V86</f>
        <v>0</v>
      </c>
      <c r="W343" s="4">
        <f xml:space="preserve"> '2.3 Selskabsspecifikke input'!W86</f>
        <v>0</v>
      </c>
    </row>
    <row r="344" spans="4:23" ht="15" customHeight="1">
      <c r="D344" s="85" t="str">
        <f xml:space="preserve"> '2.1 Model setup'!K80</f>
        <v>5.1 Omkostninger til overliggende net ifm. forbrug</v>
      </c>
      <c r="F344" s="121"/>
      <c r="G344" s="121"/>
      <c r="H344" s="121"/>
      <c r="I344" s="121"/>
      <c r="J344" s="121"/>
      <c r="K344" s="5" t="str">
        <f t="shared" si="52"/>
        <v>DKKt</v>
      </c>
      <c r="N344" s="1">
        <f xml:space="preserve"> '2.3 Selskabsspecifikke input'!N87</f>
        <v>0</v>
      </c>
      <c r="O344" s="202"/>
      <c r="P344" s="202"/>
      <c r="Q344" s="202"/>
      <c r="R344" s="1">
        <f xml:space="preserve"> '2.3 Selskabsspecifikke input'!R87</f>
        <v>0</v>
      </c>
      <c r="S344" s="1">
        <f xml:space="preserve"> '2.3 Selskabsspecifikke input'!S87</f>
        <v>0</v>
      </c>
      <c r="T344" s="1">
        <f xml:space="preserve"> '2.3 Selskabsspecifikke input'!T87</f>
        <v>0</v>
      </c>
      <c r="U344" s="1">
        <f xml:space="preserve"> '2.3 Selskabsspecifikke input'!U87</f>
        <v>0</v>
      </c>
      <c r="V344" s="1">
        <f xml:space="preserve"> '2.3 Selskabsspecifikke input'!V87</f>
        <v>0</v>
      </c>
      <c r="W344" s="4">
        <f xml:space="preserve"> '2.3 Selskabsspecifikke input'!W87</f>
        <v>0</v>
      </c>
    </row>
    <row r="345" spans="4:23" ht="15" customHeight="1">
      <c r="D345" s="85" t="str">
        <f xml:space="preserve"> '2.1 Model setup'!K81</f>
        <v>5.2 Øvrige omkostninger</v>
      </c>
      <c r="F345" s="121"/>
      <c r="G345" s="121"/>
      <c r="H345" s="121"/>
      <c r="I345" s="121"/>
      <c r="J345" s="121"/>
      <c r="K345" s="5" t="str">
        <f t="shared" si="52"/>
        <v>DKKt</v>
      </c>
      <c r="N345" s="1">
        <f xml:space="preserve"> '2.3 Selskabsspecifikke input'!N88</f>
        <v>0</v>
      </c>
      <c r="O345" s="202"/>
      <c r="P345" s="202"/>
      <c r="Q345" s="202"/>
      <c r="R345" s="1">
        <f xml:space="preserve"> '2.3 Selskabsspecifikke input'!R88</f>
        <v>0</v>
      </c>
      <c r="S345" s="1">
        <f xml:space="preserve"> '2.3 Selskabsspecifikke input'!S88</f>
        <v>0</v>
      </c>
      <c r="T345" s="1">
        <f xml:space="preserve"> '2.3 Selskabsspecifikke input'!T88</f>
        <v>0</v>
      </c>
      <c r="U345" s="1">
        <f xml:space="preserve"> '2.3 Selskabsspecifikke input'!U88</f>
        <v>0</v>
      </c>
      <c r="V345" s="1">
        <f xml:space="preserve"> '2.3 Selskabsspecifikke input'!V88</f>
        <v>0</v>
      </c>
      <c r="W345" s="4">
        <f xml:space="preserve"> '2.3 Selskabsspecifikke input'!W88</f>
        <v>0</v>
      </c>
    </row>
    <row r="346" spans="4:23" ht="15" customHeight="1">
      <c r="D346" s="85" t="str">
        <f xml:space="preserve"> '2.1 Model setup'!K82</f>
        <v>6.1 Afskrivninger på transformerstationer</v>
      </c>
      <c r="F346" s="121"/>
      <c r="G346" s="121"/>
      <c r="H346" s="121"/>
      <c r="I346" s="121"/>
      <c r="J346" s="121"/>
      <c r="K346" s="5" t="str">
        <f t="shared" si="52"/>
        <v>DKKt</v>
      </c>
      <c r="N346" s="1">
        <f xml:space="preserve"> '2.3 Selskabsspecifikke input'!N89</f>
        <v>0</v>
      </c>
      <c r="O346" s="202"/>
      <c r="P346" s="202"/>
      <c r="Q346" s="202"/>
      <c r="R346" s="1">
        <f xml:space="preserve"> '2.3 Selskabsspecifikke input'!R89</f>
        <v>0</v>
      </c>
      <c r="S346" s="1">
        <f xml:space="preserve"> '2.3 Selskabsspecifikke input'!S89</f>
        <v>0</v>
      </c>
      <c r="T346" s="1">
        <f xml:space="preserve"> '2.3 Selskabsspecifikke input'!T89</f>
        <v>0</v>
      </c>
      <c r="U346" s="1">
        <f xml:space="preserve"> '2.3 Selskabsspecifikke input'!U89</f>
        <v>0</v>
      </c>
      <c r="V346" s="1">
        <f xml:space="preserve"> '2.3 Selskabsspecifikke input'!V89</f>
        <v>0</v>
      </c>
      <c r="W346" s="4">
        <f xml:space="preserve"> '2.3 Selskabsspecifikke input'!W89</f>
        <v>0</v>
      </c>
    </row>
    <row r="347" spans="4:23" ht="15" customHeight="1">
      <c r="D347" s="85" t="str">
        <f xml:space="preserve"> '2.1 Model setup'!K83</f>
        <v>6.2 Afskrivninger på netaktiver ekskl. målere og transformerstationer</v>
      </c>
      <c r="F347" s="121"/>
      <c r="G347" s="121"/>
      <c r="H347" s="121"/>
      <c r="I347" s="121"/>
      <c r="J347" s="121"/>
      <c r="K347" s="5" t="str">
        <f t="shared" si="52"/>
        <v>DKKt</v>
      </c>
      <c r="N347" s="1">
        <f xml:space="preserve"> '2.3 Selskabsspecifikke input'!N90</f>
        <v>0</v>
      </c>
      <c r="O347" s="202"/>
      <c r="P347" s="202"/>
      <c r="Q347" s="202"/>
      <c r="R347" s="1">
        <f xml:space="preserve"> '2.3 Selskabsspecifikke input'!R90</f>
        <v>0</v>
      </c>
      <c r="S347" s="1">
        <f xml:space="preserve"> '2.3 Selskabsspecifikke input'!S90</f>
        <v>0</v>
      </c>
      <c r="T347" s="1">
        <f xml:space="preserve"> '2.3 Selskabsspecifikke input'!T90</f>
        <v>0</v>
      </c>
      <c r="U347" s="1">
        <f xml:space="preserve"> '2.3 Selskabsspecifikke input'!U90</f>
        <v>0</v>
      </c>
      <c r="V347" s="1">
        <f xml:space="preserve"> '2.3 Selskabsspecifikke input'!V90</f>
        <v>0</v>
      </c>
      <c r="W347" s="4">
        <f xml:space="preserve"> '2.3 Selskabsspecifikke input'!W90</f>
        <v>0</v>
      </c>
    </row>
    <row r="348" spans="4:23" ht="15" customHeight="1">
      <c r="D348" s="85" t="str">
        <f xml:space="preserve"> '2.1 Model setup'!K84</f>
        <v>6.3 Afskrivninger på målere</v>
      </c>
      <c r="F348" s="121"/>
      <c r="G348" s="121"/>
      <c r="H348" s="121"/>
      <c r="I348" s="121"/>
      <c r="J348" s="121"/>
      <c r="K348" s="5" t="str">
        <f t="shared" si="52"/>
        <v>DKKt</v>
      </c>
      <c r="N348" s="1">
        <f xml:space="preserve"> '2.3 Selskabsspecifikke input'!N91</f>
        <v>0</v>
      </c>
      <c r="O348" s="202"/>
      <c r="P348" s="202"/>
      <c r="Q348" s="202"/>
      <c r="R348" s="1">
        <f xml:space="preserve"> '2.3 Selskabsspecifikke input'!R91</f>
        <v>0</v>
      </c>
      <c r="S348" s="1">
        <f xml:space="preserve"> '2.3 Selskabsspecifikke input'!S91</f>
        <v>0</v>
      </c>
      <c r="T348" s="1">
        <f xml:space="preserve"> '2.3 Selskabsspecifikke input'!T91</f>
        <v>0</v>
      </c>
      <c r="U348" s="1">
        <f xml:space="preserve"> '2.3 Selskabsspecifikke input'!U91</f>
        <v>0</v>
      </c>
      <c r="V348" s="1">
        <f xml:space="preserve"> '2.3 Selskabsspecifikke input'!V91</f>
        <v>0</v>
      </c>
      <c r="W348" s="4">
        <f xml:space="preserve"> '2.3 Selskabsspecifikke input'!W91</f>
        <v>0</v>
      </c>
    </row>
    <row r="349" spans="4:23" ht="15" customHeight="1">
      <c r="D349" s="105" t="s">
        <v>16</v>
      </c>
      <c r="E349" s="186"/>
      <c r="F349" s="95"/>
      <c r="G349" s="95"/>
      <c r="H349" s="95"/>
      <c r="I349" s="95"/>
      <c r="J349" s="95"/>
      <c r="K349" s="187" t="str">
        <f t="shared" si="52"/>
        <v>DKKt</v>
      </c>
      <c r="L349" s="186"/>
      <c r="M349" s="186"/>
      <c r="N349" s="186">
        <f xml:space="preserve"> SUM( N334:N348 )</f>
        <v>0</v>
      </c>
      <c r="O349" s="388"/>
      <c r="P349" s="388"/>
      <c r="Q349" s="388"/>
      <c r="R349" s="186">
        <f t="shared" ref="R349:W349" si="53" xml:space="preserve"> SUM( R334:R348 )</f>
        <v>0</v>
      </c>
      <c r="S349" s="186">
        <f t="shared" si="53"/>
        <v>0</v>
      </c>
      <c r="T349" s="186">
        <f t="shared" si="53"/>
        <v>0</v>
      </c>
      <c r="U349" s="186">
        <f t="shared" si="53"/>
        <v>0</v>
      </c>
      <c r="V349" s="186">
        <f t="shared" si="53"/>
        <v>0</v>
      </c>
      <c r="W349" s="186">
        <f t="shared" si="53"/>
        <v>0</v>
      </c>
    </row>
    <row r="350" spans="4:23" ht="15" customHeight="1">
      <c r="D350" s="85"/>
    </row>
    <row r="351" spans="4:23" ht="15" customHeight="1">
      <c r="D351" s="97" t="s">
        <v>84</v>
      </c>
      <c r="E351" s="27"/>
      <c r="F351" s="27"/>
      <c r="G351" s="27"/>
      <c r="H351" s="27"/>
      <c r="I351" s="27"/>
      <c r="J351" s="27"/>
      <c r="K351" s="32"/>
      <c r="L351" s="27"/>
      <c r="M351" s="27"/>
      <c r="N351" s="27"/>
      <c r="O351" s="27"/>
      <c r="P351" s="27"/>
      <c r="Q351" s="27"/>
      <c r="R351" s="27"/>
      <c r="S351" s="27"/>
      <c r="T351" s="27"/>
      <c r="U351" s="27"/>
      <c r="V351" s="27"/>
      <c r="W351" s="27"/>
    </row>
    <row r="352" spans="4:23" ht="15" customHeight="1">
      <c r="D352" s="85" t="str">
        <f xml:space="preserve"> '2.1 Model setup'!K70</f>
        <v>1.1 Drift og vedligeholdelse af transformerstationer</v>
      </c>
      <c r="K352" s="191" t="s">
        <v>41</v>
      </c>
      <c r="N352" s="1" t="str">
        <f xml:space="preserve"> '2.2 Generelle input'!N22</f>
        <v>Antal kWh</v>
      </c>
      <c r="O352" s="202"/>
      <c r="P352" s="202"/>
      <c r="Q352" s="202"/>
      <c r="R352" s="202"/>
      <c r="S352" s="202"/>
      <c r="T352" s="202"/>
      <c r="U352" s="202"/>
      <c r="V352" s="202"/>
      <c r="W352" s="202"/>
    </row>
    <row r="353" spans="4:23" ht="15" customHeight="1">
      <c r="D353" s="85" t="str">
        <f xml:space="preserve"> '2.1 Model setup'!K71</f>
        <v>1.2 Drift og vedligeholdelse af ledningsnet</v>
      </c>
      <c r="K353" s="5" t="s">
        <v>41</v>
      </c>
      <c r="N353" s="1" t="str">
        <f xml:space="preserve"> '2.2 Generelle input'!N23</f>
        <v>Antal kWh</v>
      </c>
      <c r="O353" s="202"/>
      <c r="P353" s="202"/>
      <c r="Q353" s="202"/>
      <c r="R353" s="202"/>
      <c r="S353" s="202"/>
      <c r="T353" s="202"/>
      <c r="U353" s="202"/>
      <c r="V353" s="202"/>
      <c r="W353" s="202"/>
    </row>
    <row r="354" spans="4:23" ht="15" customHeight="1">
      <c r="D354" s="85" t="str">
        <f xml:space="preserve"> '2.1 Model setup'!K72</f>
        <v>1.3 Øvrige omkostninger til drift, styring og kontrol af elnettet</v>
      </c>
      <c r="K354" s="5" t="s">
        <v>41</v>
      </c>
      <c r="N354" s="1" t="str">
        <f xml:space="preserve"> '2.2 Generelle input'!N24</f>
        <v>Antal kWh</v>
      </c>
      <c r="O354" s="202"/>
      <c r="P354" s="202"/>
      <c r="Q354" s="202"/>
      <c r="R354" s="282"/>
      <c r="S354" s="202"/>
      <c r="T354" s="202"/>
      <c r="U354" s="202"/>
      <c r="V354" s="202"/>
      <c r="W354" s="202"/>
    </row>
    <row r="355" spans="4:23" ht="15" customHeight="1">
      <c r="D355" s="85" t="str">
        <f xml:space="preserve"> '2.1 Model setup'!K73</f>
        <v>1.4 Omkostninger vedrørende 132-150/30-60 kV-stationer</v>
      </c>
      <c r="K355" s="5" t="s">
        <v>41</v>
      </c>
      <c r="N355" s="1" t="str">
        <f xml:space="preserve"> '2.2 Generelle input'!N25</f>
        <v>Antal kWh</v>
      </c>
      <c r="O355" s="202"/>
      <c r="P355" s="202"/>
      <c r="Q355" s="202"/>
      <c r="R355" s="282"/>
      <c r="S355" s="202"/>
      <c r="T355" s="202"/>
      <c r="U355" s="202"/>
      <c r="V355" s="202"/>
      <c r="W355" s="202"/>
    </row>
    <row r="356" spans="4:23" ht="15" customHeight="1">
      <c r="D356" s="85" t="str">
        <f xml:space="preserve"> '2.1 Model setup'!K74</f>
        <v>2.1 Drift og vedligeholdelse af målere</v>
      </c>
      <c r="K356" s="5" t="s">
        <v>41</v>
      </c>
      <c r="N356" s="1" t="str">
        <f xml:space="preserve"> '2.2 Generelle input'!N26</f>
        <v>Måler-drift</v>
      </c>
      <c r="O356" s="202"/>
      <c r="P356" s="202"/>
      <c r="Q356" s="202"/>
      <c r="R356" s="202"/>
      <c r="S356" s="202"/>
      <c r="T356" s="202"/>
      <c r="U356" s="202"/>
      <c r="V356" s="202"/>
      <c r="W356" s="202"/>
    </row>
    <row r="357" spans="4:23" ht="15" customHeight="1">
      <c r="D357" s="85" t="str">
        <f xml:space="preserve"> '2.1 Model setup'!K75</f>
        <v>2.2 Indhentning og validering af målerdata</v>
      </c>
      <c r="K357" s="5" t="s">
        <v>41</v>
      </c>
      <c r="N357" s="1" t="str">
        <f xml:space="preserve"> '2.2 Generelle input'!N27</f>
        <v>Måler-data</v>
      </c>
      <c r="O357" s="202"/>
      <c r="P357" s="202"/>
      <c r="Q357" s="202"/>
      <c r="R357" s="202"/>
      <c r="S357" s="202"/>
      <c r="T357" s="202"/>
      <c r="U357" s="202"/>
      <c r="V357" s="202"/>
      <c r="W357" s="202"/>
    </row>
    <row r="358" spans="4:23" ht="15" customHeight="1">
      <c r="D358" s="85" t="str">
        <f xml:space="preserve"> '2.1 Model setup'!K76</f>
        <v>2.3 Måleradministration og kundehåndtering</v>
      </c>
      <c r="K358" s="5" t="s">
        <v>41</v>
      </c>
      <c r="N358" s="1" t="str">
        <f xml:space="preserve"> '2.2 Generelle input'!N28</f>
        <v xml:space="preserve">Antal målere </v>
      </c>
      <c r="O358" s="202"/>
      <c r="P358" s="202"/>
      <c r="Q358" s="202"/>
      <c r="R358" s="202"/>
      <c r="S358" s="202"/>
      <c r="T358" s="202"/>
      <c r="U358" s="202"/>
      <c r="V358" s="202"/>
      <c r="W358" s="202"/>
    </row>
    <row r="359" spans="4:23" ht="15" customHeight="1">
      <c r="D359" s="85" t="str">
        <f xml:space="preserve"> '2.1 Model setup'!K77</f>
        <v>3.1 Generel administration</v>
      </c>
      <c r="K359" s="5" t="s">
        <v>41</v>
      </c>
      <c r="N359" s="1" t="str">
        <f xml:space="preserve"> '2.2 Generelle input'!N29</f>
        <v xml:space="preserve">Antal målere </v>
      </c>
      <c r="O359" s="202"/>
      <c r="P359" s="202"/>
      <c r="Q359" s="202"/>
      <c r="R359" s="202"/>
      <c r="S359" s="202"/>
      <c r="T359" s="202"/>
      <c r="U359" s="202"/>
      <c r="V359" s="202"/>
      <c r="W359" s="202"/>
    </row>
    <row r="360" spans="4:23" ht="15" customHeight="1">
      <c r="D360" s="85" t="str">
        <f xml:space="preserve"> '2.1 Model setup'!K78</f>
        <v>4.1 Omkostninger vedrørende nettab i transformerstationer</v>
      </c>
      <c r="K360" s="5" t="s">
        <v>41</v>
      </c>
      <c r="N360" s="1" t="str">
        <f xml:space="preserve"> '2.2 Generelle input'!N30</f>
        <v>Antal kWh</v>
      </c>
      <c r="O360" s="202"/>
      <c r="P360" s="202"/>
      <c r="Q360" s="202"/>
      <c r="R360" s="202"/>
      <c r="S360" s="202"/>
      <c r="T360" s="202"/>
      <c r="U360" s="202"/>
      <c r="V360" s="202"/>
      <c r="W360" s="202"/>
    </row>
    <row r="361" spans="4:23" ht="15" customHeight="1">
      <c r="D361" s="85" t="str">
        <f xml:space="preserve"> '2.1 Model setup'!K79</f>
        <v>4.2 Omkostninger vedrørende nettab i ledningsnettet</v>
      </c>
      <c r="K361" s="5" t="s">
        <v>41</v>
      </c>
      <c r="N361" s="1" t="str">
        <f xml:space="preserve"> '2.2 Generelle input'!N31</f>
        <v>Antal kWh</v>
      </c>
      <c r="O361" s="202"/>
      <c r="P361" s="202"/>
      <c r="Q361" s="202"/>
      <c r="R361" s="202"/>
      <c r="S361" s="202"/>
      <c r="T361" s="202"/>
      <c r="U361" s="202"/>
      <c r="V361" s="202"/>
      <c r="W361" s="202"/>
    </row>
    <row r="362" spans="4:23" ht="15" customHeight="1">
      <c r="D362" s="85" t="str">
        <f xml:space="preserve"> '2.1 Model setup'!K80</f>
        <v>5.1 Omkostninger til overliggende net ifm. forbrug</v>
      </c>
      <c r="K362" s="5" t="s">
        <v>41</v>
      </c>
      <c r="N362" s="1" t="str">
        <f xml:space="preserve"> '2.2 Generelle input'!N32</f>
        <v>Antal kWh</v>
      </c>
      <c r="O362" s="202"/>
      <c r="P362" s="202"/>
      <c r="Q362" s="202"/>
      <c r="R362" s="202"/>
      <c r="S362" s="202"/>
      <c r="T362" s="202"/>
      <c r="U362" s="202"/>
      <c r="V362" s="202"/>
      <c r="W362" s="202"/>
    </row>
    <row r="363" spans="4:23" ht="15" customHeight="1">
      <c r="D363" s="85" t="str">
        <f xml:space="preserve"> '2.1 Model setup'!K81</f>
        <v>5.2 Øvrige omkostninger</v>
      </c>
      <c r="K363" s="5" t="s">
        <v>41</v>
      </c>
      <c r="N363" s="1" t="str">
        <f xml:space="preserve"> '2.3 Selskabsspecifikke input'!N174</f>
        <v xml:space="preserve">Antal målere </v>
      </c>
      <c r="O363" s="202"/>
      <c r="P363" s="202"/>
      <c r="Q363" s="202"/>
      <c r="R363" s="202"/>
      <c r="S363" s="202"/>
      <c r="T363" s="202"/>
      <c r="U363" s="202"/>
      <c r="V363" s="202"/>
      <c r="W363" s="202"/>
    </row>
    <row r="364" spans="4:23" ht="15" customHeight="1">
      <c r="D364" s="85" t="str">
        <f xml:space="preserve"> '2.1 Model setup'!K82</f>
        <v>6.1 Afskrivninger på transformerstationer</v>
      </c>
      <c r="K364" s="5" t="s">
        <v>41</v>
      </c>
      <c r="N364" s="1">
        <f xml:space="preserve"> '2.2 Generelle input'!N34</f>
        <v>0</v>
      </c>
      <c r="O364" s="202"/>
      <c r="P364" s="202"/>
      <c r="Q364" s="202"/>
      <c r="R364" s="202"/>
      <c r="S364" s="202"/>
      <c r="T364" s="202"/>
      <c r="U364" s="202"/>
      <c r="V364" s="202"/>
      <c r="W364" s="202"/>
    </row>
    <row r="365" spans="4:23" ht="15" customHeight="1">
      <c r="D365" s="85" t="str">
        <f xml:space="preserve"> '2.1 Model setup'!K83</f>
        <v>6.2 Afskrivninger på netaktiver ekskl. målere og transformerstationer</v>
      </c>
      <c r="K365" s="5" t="s">
        <v>41</v>
      </c>
      <c r="N365" s="1">
        <f xml:space="preserve"> '2.2 Generelle input'!N35</f>
        <v>0</v>
      </c>
      <c r="O365" s="202"/>
      <c r="P365" s="202"/>
      <c r="Q365" s="202"/>
      <c r="R365" s="202"/>
      <c r="S365" s="202"/>
      <c r="T365" s="202"/>
      <c r="U365" s="202"/>
      <c r="V365" s="202"/>
      <c r="W365" s="202"/>
    </row>
    <row r="366" spans="4:23" ht="15" customHeight="1">
      <c r="D366" s="99" t="str">
        <f xml:space="preserve"> '2.1 Model setup'!K84</f>
        <v>6.3 Afskrivninger på målere</v>
      </c>
      <c r="E366" s="27"/>
      <c r="F366" s="27"/>
      <c r="G366" s="27"/>
      <c r="H366" s="27"/>
      <c r="I366" s="27"/>
      <c r="J366" s="27"/>
      <c r="K366" s="32" t="s">
        <v>41</v>
      </c>
      <c r="L366" s="27"/>
      <c r="M366" s="27"/>
      <c r="N366" s="27" t="str">
        <f xml:space="preserve"> '2.2 Generelle input'!N36</f>
        <v>Målerafskrivning</v>
      </c>
      <c r="O366" s="269"/>
      <c r="P366" s="269"/>
      <c r="Q366" s="269"/>
      <c r="R366" s="269"/>
      <c r="S366" s="269"/>
      <c r="T366" s="269"/>
      <c r="U366" s="269"/>
      <c r="V366" s="269"/>
      <c r="W366" s="269"/>
    </row>
    <row r="367" spans="4:23" ht="15" customHeight="1">
      <c r="L367" s="231"/>
    </row>
    <row r="368" spans="4:23" ht="15" customHeight="1">
      <c r="D368" s="4" t="s">
        <v>467</v>
      </c>
      <c r="L368" s="231"/>
      <c r="W368" s="185" t="s">
        <v>16</v>
      </c>
    </row>
    <row r="369" spans="4:23" ht="15" customHeight="1">
      <c r="D369" s="123" t="str">
        <f xml:space="preserve"> '2.1 Model setup'!K70</f>
        <v>1.1 Drift og vedligeholdelse af transformerstationer</v>
      </c>
      <c r="E369" s="15"/>
      <c r="F369" s="15"/>
      <c r="G369" s="15"/>
      <c r="H369" s="15"/>
      <c r="I369" s="15"/>
      <c r="J369" s="15"/>
      <c r="K369" s="19" t="s">
        <v>4</v>
      </c>
      <c r="L369" s="263">
        <f xml:space="preserve"> -- ( IF( COUNTIF( R369:V369, "&lt;&gt;0" ) = 0, 0, ROUND( SUM( R369:V369 ), 5 ) &lt;&gt; 100% ) )</f>
        <v>0</v>
      </c>
      <c r="M369" s="15"/>
      <c r="N369" s="15"/>
      <c r="O369" s="274"/>
      <c r="P369" s="274"/>
      <c r="Q369" s="274"/>
      <c r="R369" s="180">
        <f t="shared" ref="R369:V383" si="54" xml:space="preserve"> IFERROR( INDEX( R$77:R$84,  MATCH( $N352, $D$77:$D$84, 0 ) ), 0 )</f>
        <v>0</v>
      </c>
      <c r="S369" s="180">
        <f t="shared" si="54"/>
        <v>0</v>
      </c>
      <c r="T369" s="180">
        <f t="shared" si="54"/>
        <v>0</v>
      </c>
      <c r="U369" s="180">
        <f t="shared" si="54"/>
        <v>0</v>
      </c>
      <c r="V369" s="180">
        <f t="shared" si="54"/>
        <v>0</v>
      </c>
      <c r="W369" s="354">
        <f xml:space="preserve"> SUM( R369:V369 )</f>
        <v>0</v>
      </c>
    </row>
    <row r="370" spans="4:23" ht="15" customHeight="1">
      <c r="D370" s="85" t="str">
        <f xml:space="preserve"> '2.1 Model setup'!K71</f>
        <v>1.2 Drift og vedligeholdelse af ledningsnet</v>
      </c>
      <c r="K370" s="5" t="s">
        <v>4</v>
      </c>
      <c r="L370" s="264">
        <f t="shared" ref="L370:L380" si="55" xml:space="preserve"> -- ( IF( COUNTIF( R370:V370, "&lt;&gt;0" ) = 0, 0, ROUND( SUM( R370:V370 ), 5 ) &lt;&gt; 100% ) )</f>
        <v>0</v>
      </c>
      <c r="O370" s="202"/>
      <c r="P370" s="202"/>
      <c r="Q370" s="202"/>
      <c r="R370" s="181">
        <f xml:space="preserve"> IFERROR( INDEX( R$77:R$84,  MATCH( $N353, $D$77:$D$84, 0 ) ), 0 )</f>
        <v>0</v>
      </c>
      <c r="S370" s="181">
        <f t="shared" si="54"/>
        <v>0</v>
      </c>
      <c r="T370" s="181">
        <f t="shared" si="54"/>
        <v>0</v>
      </c>
      <c r="U370" s="181">
        <f t="shared" si="54"/>
        <v>0</v>
      </c>
      <c r="V370" s="181">
        <f t="shared" si="54"/>
        <v>0</v>
      </c>
      <c r="W370" s="198">
        <f t="shared" ref="W370:W383" si="56" xml:space="preserve"> SUM( R370:V370 )</f>
        <v>0</v>
      </c>
    </row>
    <row r="371" spans="4:23" ht="15" customHeight="1">
      <c r="D371" s="85" t="str">
        <f xml:space="preserve"> '2.1 Model setup'!K72</f>
        <v>1.3 Øvrige omkostninger til drift, styring og kontrol af elnettet</v>
      </c>
      <c r="K371" s="5" t="s">
        <v>4</v>
      </c>
      <c r="L371" s="264">
        <f t="shared" si="55"/>
        <v>0</v>
      </c>
      <c r="O371" s="202"/>
      <c r="P371" s="202"/>
      <c r="Q371" s="202"/>
      <c r="R371" s="181">
        <f t="shared" si="54"/>
        <v>0</v>
      </c>
      <c r="S371" s="181">
        <f t="shared" si="54"/>
        <v>0</v>
      </c>
      <c r="T371" s="181">
        <f t="shared" si="54"/>
        <v>0</v>
      </c>
      <c r="U371" s="181">
        <f t="shared" si="54"/>
        <v>0</v>
      </c>
      <c r="V371" s="181">
        <f t="shared" si="54"/>
        <v>0</v>
      </c>
      <c r="W371" s="198">
        <f t="shared" si="56"/>
        <v>0</v>
      </c>
    </row>
    <row r="372" spans="4:23" ht="15" customHeight="1">
      <c r="D372" s="85" t="str">
        <f xml:space="preserve"> '2.1 Model setup'!K73</f>
        <v>1.4 Omkostninger vedrørende 132-150/30-60 kV-stationer</v>
      </c>
      <c r="K372" s="5" t="s">
        <v>4</v>
      </c>
      <c r="L372" s="264">
        <f xml:space="preserve"> -- ( IF( COUNTIF( R372:V372, "&lt;&gt;0" ) = 0, 0, ROUND( SUM( R372:V372 ), 5 ) &lt;&gt; 100% ) )</f>
        <v>0</v>
      </c>
      <c r="O372" s="202"/>
      <c r="P372" s="202"/>
      <c r="Q372" s="202"/>
      <c r="R372" s="181">
        <f t="shared" si="54"/>
        <v>0</v>
      </c>
      <c r="S372" s="181">
        <f t="shared" si="54"/>
        <v>0</v>
      </c>
      <c r="T372" s="181">
        <f t="shared" si="54"/>
        <v>0</v>
      </c>
      <c r="U372" s="181">
        <f t="shared" si="54"/>
        <v>0</v>
      </c>
      <c r="V372" s="181">
        <f t="shared" si="54"/>
        <v>0</v>
      </c>
      <c r="W372" s="198">
        <f xml:space="preserve"> SUM( R372:V372 )</f>
        <v>0</v>
      </c>
    </row>
    <row r="373" spans="4:23" ht="15" customHeight="1">
      <c r="D373" s="85" t="str">
        <f xml:space="preserve"> '2.1 Model setup'!K74</f>
        <v>2.1 Drift og vedligeholdelse af målere</v>
      </c>
      <c r="K373" s="5" t="s">
        <v>4</v>
      </c>
      <c r="L373" s="264">
        <f t="shared" si="55"/>
        <v>0</v>
      </c>
      <c r="O373" s="202"/>
      <c r="P373" s="202"/>
      <c r="Q373" s="202"/>
      <c r="R373" s="181">
        <f t="shared" si="54"/>
        <v>0</v>
      </c>
      <c r="S373" s="181">
        <f t="shared" si="54"/>
        <v>0</v>
      </c>
      <c r="T373" s="181">
        <f t="shared" si="54"/>
        <v>0</v>
      </c>
      <c r="U373" s="181">
        <f t="shared" si="54"/>
        <v>0</v>
      </c>
      <c r="V373" s="181">
        <f t="shared" si="54"/>
        <v>0</v>
      </c>
      <c r="W373" s="198">
        <f t="shared" si="56"/>
        <v>0</v>
      </c>
    </row>
    <row r="374" spans="4:23" ht="15" customHeight="1">
      <c r="D374" s="85" t="str">
        <f xml:space="preserve"> '2.1 Model setup'!K75</f>
        <v>2.2 Indhentning og validering af målerdata</v>
      </c>
      <c r="K374" s="5" t="s">
        <v>4</v>
      </c>
      <c r="L374" s="264">
        <f t="shared" si="55"/>
        <v>0</v>
      </c>
      <c r="O374" s="202"/>
      <c r="P374" s="202"/>
      <c r="Q374" s="202"/>
      <c r="R374" s="181">
        <f t="shared" si="54"/>
        <v>0</v>
      </c>
      <c r="S374" s="181">
        <f t="shared" si="54"/>
        <v>0</v>
      </c>
      <c r="T374" s="181">
        <f t="shared" si="54"/>
        <v>0</v>
      </c>
      <c r="U374" s="181">
        <f t="shared" si="54"/>
        <v>0</v>
      </c>
      <c r="V374" s="181">
        <f t="shared" si="54"/>
        <v>0</v>
      </c>
      <c r="W374" s="198">
        <f t="shared" si="56"/>
        <v>0</v>
      </c>
    </row>
    <row r="375" spans="4:23" ht="15" customHeight="1">
      <c r="D375" s="85" t="str">
        <f xml:space="preserve"> '2.1 Model setup'!K76</f>
        <v>2.3 Måleradministration og kundehåndtering</v>
      </c>
      <c r="K375" s="5" t="s">
        <v>4</v>
      </c>
      <c r="L375" s="264">
        <f t="shared" si="55"/>
        <v>0</v>
      </c>
      <c r="O375" s="202"/>
      <c r="P375" s="202"/>
      <c r="Q375" s="202"/>
      <c r="R375" s="181">
        <f t="shared" si="54"/>
        <v>0</v>
      </c>
      <c r="S375" s="181">
        <f t="shared" si="54"/>
        <v>0</v>
      </c>
      <c r="T375" s="181">
        <f t="shared" si="54"/>
        <v>0</v>
      </c>
      <c r="U375" s="181">
        <f t="shared" si="54"/>
        <v>0</v>
      </c>
      <c r="V375" s="181">
        <f t="shared" si="54"/>
        <v>0</v>
      </c>
      <c r="W375" s="198">
        <f t="shared" si="56"/>
        <v>0</v>
      </c>
    </row>
    <row r="376" spans="4:23" ht="15" customHeight="1">
      <c r="D376" s="85" t="str">
        <f xml:space="preserve"> '2.1 Model setup'!K77</f>
        <v>3.1 Generel administration</v>
      </c>
      <c r="K376" s="5" t="s">
        <v>4</v>
      </c>
      <c r="L376" s="264">
        <f t="shared" si="55"/>
        <v>0</v>
      </c>
      <c r="O376" s="202"/>
      <c r="P376" s="202"/>
      <c r="Q376" s="202"/>
      <c r="R376" s="181">
        <f t="shared" si="54"/>
        <v>0</v>
      </c>
      <c r="S376" s="181">
        <f t="shared" si="54"/>
        <v>0</v>
      </c>
      <c r="T376" s="181">
        <f t="shared" si="54"/>
        <v>0</v>
      </c>
      <c r="U376" s="181">
        <f t="shared" si="54"/>
        <v>0</v>
      </c>
      <c r="V376" s="181">
        <f t="shared" si="54"/>
        <v>0</v>
      </c>
      <c r="W376" s="198">
        <f t="shared" si="56"/>
        <v>0</v>
      </c>
    </row>
    <row r="377" spans="4:23" ht="15" customHeight="1">
      <c r="D377" s="85" t="str">
        <f xml:space="preserve"> '2.1 Model setup'!K78</f>
        <v>4.1 Omkostninger vedrørende nettab i transformerstationer</v>
      </c>
      <c r="K377" s="5" t="s">
        <v>4</v>
      </c>
      <c r="L377" s="264">
        <f t="shared" si="55"/>
        <v>0</v>
      </c>
      <c r="O377" s="202"/>
      <c r="P377" s="202"/>
      <c r="Q377" s="202"/>
      <c r="R377" s="181">
        <f t="shared" si="54"/>
        <v>0</v>
      </c>
      <c r="S377" s="181">
        <f t="shared" si="54"/>
        <v>0</v>
      </c>
      <c r="T377" s="181">
        <f t="shared" si="54"/>
        <v>0</v>
      </c>
      <c r="U377" s="181">
        <f t="shared" si="54"/>
        <v>0</v>
      </c>
      <c r="V377" s="181">
        <f t="shared" si="54"/>
        <v>0</v>
      </c>
      <c r="W377" s="198">
        <f t="shared" si="56"/>
        <v>0</v>
      </c>
    </row>
    <row r="378" spans="4:23" ht="15" customHeight="1">
      <c r="D378" s="85" t="str">
        <f xml:space="preserve"> '2.1 Model setup'!K79</f>
        <v>4.2 Omkostninger vedrørende nettab i ledningsnettet</v>
      </c>
      <c r="K378" s="5" t="s">
        <v>4</v>
      </c>
      <c r="L378" s="264">
        <f t="shared" si="55"/>
        <v>0</v>
      </c>
      <c r="O378" s="202"/>
      <c r="P378" s="202"/>
      <c r="Q378" s="202"/>
      <c r="R378" s="181">
        <f t="shared" si="54"/>
        <v>0</v>
      </c>
      <c r="S378" s="181">
        <f t="shared" si="54"/>
        <v>0</v>
      </c>
      <c r="T378" s="181">
        <f t="shared" si="54"/>
        <v>0</v>
      </c>
      <c r="U378" s="181">
        <f t="shared" si="54"/>
        <v>0</v>
      </c>
      <c r="V378" s="181">
        <f t="shared" si="54"/>
        <v>0</v>
      </c>
      <c r="W378" s="198">
        <f t="shared" si="56"/>
        <v>0</v>
      </c>
    </row>
    <row r="379" spans="4:23" ht="15" customHeight="1">
      <c r="D379" s="85" t="str">
        <f xml:space="preserve"> '2.1 Model setup'!K80</f>
        <v>5.1 Omkostninger til overliggende net ifm. forbrug</v>
      </c>
      <c r="K379" s="5" t="s">
        <v>4</v>
      </c>
      <c r="L379" s="264">
        <f xml:space="preserve"> -- ( IF( COUNTIF( R379:V379, "&lt;&gt;0" ) = 0, 0, ROUND( SUM( R379:V379 ), 5 ) &lt;&gt; 100% ) )</f>
        <v>0</v>
      </c>
      <c r="O379" s="202"/>
      <c r="P379" s="202"/>
      <c r="Q379" s="202"/>
      <c r="R379" s="181">
        <f t="shared" si="54"/>
        <v>0</v>
      </c>
      <c r="S379" s="181">
        <f t="shared" si="54"/>
        <v>0</v>
      </c>
      <c r="T379" s="181">
        <f t="shared" si="54"/>
        <v>0</v>
      </c>
      <c r="U379" s="181">
        <f t="shared" si="54"/>
        <v>0</v>
      </c>
      <c r="V379" s="181">
        <f t="shared" si="54"/>
        <v>0</v>
      </c>
      <c r="W379" s="198">
        <f xml:space="preserve"> SUM( R379:V379 )</f>
        <v>0</v>
      </c>
    </row>
    <row r="380" spans="4:23" ht="15" customHeight="1">
      <c r="D380" s="85" t="str">
        <f xml:space="preserve"> '2.1 Model setup'!K81</f>
        <v>5.2 Øvrige omkostninger</v>
      </c>
      <c r="K380" s="5" t="s">
        <v>4</v>
      </c>
      <c r="L380" s="264">
        <f t="shared" si="55"/>
        <v>0</v>
      </c>
      <c r="O380" s="202"/>
      <c r="P380" s="202"/>
      <c r="Q380" s="202"/>
      <c r="R380" s="181">
        <f t="shared" si="54"/>
        <v>0</v>
      </c>
      <c r="S380" s="181">
        <f t="shared" si="54"/>
        <v>0</v>
      </c>
      <c r="T380" s="181">
        <f t="shared" si="54"/>
        <v>0</v>
      </c>
      <c r="U380" s="181">
        <f t="shared" si="54"/>
        <v>0</v>
      </c>
      <c r="V380" s="181">
        <f t="shared" si="54"/>
        <v>0</v>
      </c>
      <c r="W380" s="198">
        <f t="shared" si="56"/>
        <v>0</v>
      </c>
    </row>
    <row r="381" spans="4:23" ht="15" customHeight="1">
      <c r="D381" s="85" t="str">
        <f xml:space="preserve"> '2.1 Model setup'!K82</f>
        <v>6.1 Afskrivninger på transformerstationer</v>
      </c>
      <c r="K381" s="5" t="s">
        <v>4</v>
      </c>
      <c r="L381" s="202"/>
      <c r="O381" s="202"/>
      <c r="P381" s="202"/>
      <c r="Q381" s="202"/>
      <c r="R381" s="181">
        <f t="shared" si="54"/>
        <v>0</v>
      </c>
      <c r="S381" s="181">
        <f t="shared" si="54"/>
        <v>0</v>
      </c>
      <c r="T381" s="181">
        <f t="shared" si="54"/>
        <v>0</v>
      </c>
      <c r="U381" s="181">
        <f t="shared" si="54"/>
        <v>0</v>
      </c>
      <c r="V381" s="181">
        <f t="shared" si="54"/>
        <v>0</v>
      </c>
      <c r="W381" s="198">
        <f t="shared" si="56"/>
        <v>0</v>
      </c>
    </row>
    <row r="382" spans="4:23" ht="15" customHeight="1">
      <c r="D382" s="85" t="str">
        <f xml:space="preserve"> '2.1 Model setup'!K83</f>
        <v>6.2 Afskrivninger på netaktiver ekskl. målere og transformerstationer</v>
      </c>
      <c r="K382" s="5" t="s">
        <v>4</v>
      </c>
      <c r="L382" s="202"/>
      <c r="O382" s="202"/>
      <c r="P382" s="202"/>
      <c r="Q382" s="202"/>
      <c r="R382" s="181">
        <f t="shared" si="54"/>
        <v>0</v>
      </c>
      <c r="S382" s="181">
        <f t="shared" si="54"/>
        <v>0</v>
      </c>
      <c r="T382" s="181">
        <f t="shared" si="54"/>
        <v>0</v>
      </c>
      <c r="U382" s="181">
        <f t="shared" si="54"/>
        <v>0</v>
      </c>
      <c r="V382" s="181">
        <f t="shared" si="54"/>
        <v>0</v>
      </c>
      <c r="W382" s="198">
        <f t="shared" si="56"/>
        <v>0</v>
      </c>
    </row>
    <row r="383" spans="4:23" ht="15" customHeight="1">
      <c r="D383" s="99" t="str">
        <f xml:space="preserve"> '2.1 Model setup'!K84</f>
        <v>6.3 Afskrivninger på målere</v>
      </c>
      <c r="E383" s="27"/>
      <c r="F383" s="27"/>
      <c r="G383" s="27"/>
      <c r="H383" s="27"/>
      <c r="I383" s="27"/>
      <c r="J383" s="27"/>
      <c r="K383" s="32" t="s">
        <v>4</v>
      </c>
      <c r="L383" s="265">
        <f xml:space="preserve"> -- ( IF( COUNTIF( R383:V383, "&lt;&gt;0" ) = 0, 0, ROUND( SUM( R383:V383 ), 5 ) &lt;&gt; 100% ) )</f>
        <v>0</v>
      </c>
      <c r="M383" s="27"/>
      <c r="N383" s="27"/>
      <c r="O383" s="269"/>
      <c r="P383" s="269"/>
      <c r="Q383" s="269"/>
      <c r="R383" s="182">
        <f t="shared" si="54"/>
        <v>0</v>
      </c>
      <c r="S383" s="182">
        <f t="shared" si="54"/>
        <v>0</v>
      </c>
      <c r="T383" s="182">
        <f t="shared" si="54"/>
        <v>0</v>
      </c>
      <c r="U383" s="182">
        <f t="shared" si="54"/>
        <v>0</v>
      </c>
      <c r="V383" s="182">
        <f t="shared" si="54"/>
        <v>0</v>
      </c>
      <c r="W383" s="199">
        <f t="shared" si="56"/>
        <v>0</v>
      </c>
    </row>
    <row r="384" spans="4:23" ht="15" customHeight="1">
      <c r="L384" s="231"/>
    </row>
    <row r="385" spans="4:23" ht="15" customHeight="1">
      <c r="D385" s="4" t="s">
        <v>469</v>
      </c>
      <c r="L385" s="231"/>
      <c r="W385" s="185" t="s">
        <v>16</v>
      </c>
    </row>
    <row r="386" spans="4:23" ht="15" customHeight="1">
      <c r="D386" s="123" t="str">
        <f xml:space="preserve"> '2.1 Model setup'!K70</f>
        <v>1.1 Drift og vedligeholdelse af transformerstationer</v>
      </c>
      <c r="E386" s="15"/>
      <c r="F386" s="15"/>
      <c r="G386" s="15"/>
      <c r="H386" s="15"/>
      <c r="I386" s="15"/>
      <c r="J386" s="15"/>
      <c r="K386" s="19" t="s">
        <v>4</v>
      </c>
      <c r="L386" s="263">
        <f xml:space="preserve"> -- ( IF( COUNTIF( R386:V386, "&lt;&gt;0" ) = 0, 0, ROUND( SUM( R386:V386 ), 5 ) &lt;&gt; 100% ) )</f>
        <v>0</v>
      </c>
      <c r="M386" s="15"/>
      <c r="N386" s="15"/>
      <c r="O386" s="274"/>
      <c r="P386" s="274"/>
      <c r="Q386" s="274"/>
      <c r="R386" s="180">
        <f xml:space="preserve"> IF( $N352 = '2.1 Model setup'!$K$55, R199, 0 )</f>
        <v>0</v>
      </c>
      <c r="S386" s="180">
        <f xml:space="preserve"> IF( $N352 = '2.1 Model setup'!$K$55, S199, 0 )</f>
        <v>0</v>
      </c>
      <c r="T386" s="180">
        <f xml:space="preserve"> IF( $N352 = '2.1 Model setup'!$K$55, T199, 0 )</f>
        <v>0</v>
      </c>
      <c r="U386" s="180">
        <f xml:space="preserve"> IF( $N352 = '2.1 Model setup'!$K$55, U199, 0 )</f>
        <v>0</v>
      </c>
      <c r="V386" s="180">
        <f xml:space="preserve"> IF( $N352 = '2.1 Model setup'!$K$55, V199, 0 )</f>
        <v>0</v>
      </c>
      <c r="W386" s="354">
        <f xml:space="preserve"> SUM( R386:V386 )</f>
        <v>0</v>
      </c>
    </row>
    <row r="387" spans="4:23" ht="15" customHeight="1">
      <c r="D387" s="85" t="str">
        <f xml:space="preserve"> '2.1 Model setup'!K71</f>
        <v>1.2 Drift og vedligeholdelse af ledningsnet</v>
      </c>
      <c r="K387" s="5" t="s">
        <v>4</v>
      </c>
      <c r="L387" s="264">
        <f t="shared" ref="L387:L397" si="57" xml:space="preserve"> -- ( IF( COUNTIF( R387:V387, "&lt;&gt;0" ) = 0, 0, ROUND( SUM( R387:V387 ), 5 ) &lt;&gt; 100% ) )</f>
        <v>0</v>
      </c>
      <c r="O387" s="202"/>
      <c r="P387" s="202"/>
      <c r="Q387" s="202"/>
      <c r="R387" s="181">
        <f xml:space="preserve"> IF( $N353 = '2.1 Model setup'!$K$55, R200, 0 )</f>
        <v>0</v>
      </c>
      <c r="S387" s="181">
        <f xml:space="preserve"> IF( $N353 = '2.1 Model setup'!$K$55, S200, 0 )</f>
        <v>0</v>
      </c>
      <c r="T387" s="181">
        <f xml:space="preserve"> IF( $N353 = '2.1 Model setup'!$K$55, T200, 0 )</f>
        <v>0</v>
      </c>
      <c r="U387" s="181">
        <f xml:space="preserve"> IF( $N353 = '2.1 Model setup'!$K$55, U200, 0 )</f>
        <v>0</v>
      </c>
      <c r="V387" s="181">
        <f xml:space="preserve"> IF( $N353 = '2.1 Model setup'!$K$55, V200, 0 )</f>
        <v>0</v>
      </c>
      <c r="W387" s="198">
        <f t="shared" ref="W387:W400" si="58" xml:space="preserve"> SUM( R387:V387 )</f>
        <v>0</v>
      </c>
    </row>
    <row r="388" spans="4:23" ht="15" customHeight="1">
      <c r="D388" s="85" t="str">
        <f xml:space="preserve"> '2.1 Model setup'!K72</f>
        <v>1.3 Øvrige omkostninger til drift, styring og kontrol af elnettet</v>
      </c>
      <c r="K388" s="5" t="s">
        <v>4</v>
      </c>
      <c r="L388" s="264">
        <f t="shared" si="57"/>
        <v>0</v>
      </c>
      <c r="O388" s="202"/>
      <c r="P388" s="202"/>
      <c r="Q388" s="202"/>
      <c r="R388" s="181">
        <f xml:space="preserve"> IF( $N354 = '2.1 Model setup'!$K$55, R201, 0 )</f>
        <v>0</v>
      </c>
      <c r="S388" s="181">
        <f xml:space="preserve"> IF( $N354 = '2.1 Model setup'!$K$55, S201, 0 )</f>
        <v>0</v>
      </c>
      <c r="T388" s="181">
        <f xml:space="preserve"> IF( $N354 = '2.1 Model setup'!$K$55, T201, 0 )</f>
        <v>0</v>
      </c>
      <c r="U388" s="181">
        <f xml:space="preserve"> IF( $N354 = '2.1 Model setup'!$K$55, U201, 0 )</f>
        <v>0</v>
      </c>
      <c r="V388" s="181">
        <f xml:space="preserve"> IF( $N354 = '2.1 Model setup'!$K$55, V201, 0 )</f>
        <v>0</v>
      </c>
      <c r="W388" s="198">
        <f t="shared" si="58"/>
        <v>0</v>
      </c>
    </row>
    <row r="389" spans="4:23" ht="15" customHeight="1">
      <c r="D389" s="85" t="str">
        <f xml:space="preserve"> '2.1 Model setup'!K73</f>
        <v>1.4 Omkostninger vedrørende 132-150/30-60 kV-stationer</v>
      </c>
      <c r="K389" s="5" t="s">
        <v>4</v>
      </c>
      <c r="L389" s="264">
        <f xml:space="preserve"> -- ( IF( COUNTIF( R389:V389, "&lt;&gt;0" ) = 0, 0, ROUND( SUM( R389:V389 ), 5 ) &lt;&gt; 100% ) )</f>
        <v>0</v>
      </c>
      <c r="O389" s="202"/>
      <c r="P389" s="202"/>
      <c r="Q389" s="202"/>
      <c r="R389" s="181">
        <f xml:space="preserve"> IF( $N355 = '2.1 Model setup'!$K$55, R202, 0 )</f>
        <v>0</v>
      </c>
      <c r="S389" s="181">
        <f xml:space="preserve"> IF( $N355 = '2.1 Model setup'!$K$55, S202, 0 )</f>
        <v>0</v>
      </c>
      <c r="T389" s="181">
        <f xml:space="preserve"> IF( $N355 = '2.1 Model setup'!$K$55, T202, 0 )</f>
        <v>0</v>
      </c>
      <c r="U389" s="181">
        <f xml:space="preserve"> IF( $N355 = '2.1 Model setup'!$K$55, U202, 0 )</f>
        <v>0</v>
      </c>
      <c r="V389" s="181">
        <f xml:space="preserve"> IF( $N355 = '2.1 Model setup'!$K$55, V202, 0 )</f>
        <v>0</v>
      </c>
      <c r="W389" s="198">
        <f xml:space="preserve"> SUM( R389:V389 )</f>
        <v>0</v>
      </c>
    </row>
    <row r="390" spans="4:23" ht="15" customHeight="1">
      <c r="D390" s="85" t="str">
        <f xml:space="preserve"> '2.1 Model setup'!K74</f>
        <v>2.1 Drift og vedligeholdelse af målere</v>
      </c>
      <c r="K390" s="5" t="s">
        <v>4</v>
      </c>
      <c r="L390" s="264">
        <f t="shared" si="57"/>
        <v>0</v>
      </c>
      <c r="O390" s="202"/>
      <c r="P390" s="202"/>
      <c r="Q390" s="202"/>
      <c r="R390" s="181">
        <f xml:space="preserve"> IF( $N356 = '2.1 Model setup'!$K$55, R203, 0 )</f>
        <v>0</v>
      </c>
      <c r="S390" s="181">
        <f xml:space="preserve"> IF( $N356 = '2.1 Model setup'!$K$55, S203, 0 )</f>
        <v>0</v>
      </c>
      <c r="T390" s="181">
        <f xml:space="preserve"> IF( $N356 = '2.1 Model setup'!$K$55, T203, 0 )</f>
        <v>0</v>
      </c>
      <c r="U390" s="181">
        <f xml:space="preserve"> IF( $N356 = '2.1 Model setup'!$K$55, U203, 0 )</f>
        <v>0</v>
      </c>
      <c r="V390" s="181">
        <f xml:space="preserve"> IF( $N356 = '2.1 Model setup'!$K$55, V203, 0 )</f>
        <v>0</v>
      </c>
      <c r="W390" s="198">
        <f t="shared" si="58"/>
        <v>0</v>
      </c>
    </row>
    <row r="391" spans="4:23" ht="15" customHeight="1">
      <c r="D391" s="85" t="str">
        <f xml:space="preserve"> '2.1 Model setup'!K75</f>
        <v>2.2 Indhentning og validering af målerdata</v>
      </c>
      <c r="K391" s="5" t="s">
        <v>4</v>
      </c>
      <c r="L391" s="264">
        <f t="shared" si="57"/>
        <v>0</v>
      </c>
      <c r="O391" s="202"/>
      <c r="P391" s="202"/>
      <c r="Q391" s="202"/>
      <c r="R391" s="181">
        <f xml:space="preserve"> IF( $N357 = '2.1 Model setup'!$K$55, R204, 0 )</f>
        <v>0</v>
      </c>
      <c r="S391" s="181">
        <f xml:space="preserve"> IF( $N357 = '2.1 Model setup'!$K$55, S204, 0 )</f>
        <v>0</v>
      </c>
      <c r="T391" s="181">
        <f xml:space="preserve"> IF( $N357 = '2.1 Model setup'!$K$55, T204, 0 )</f>
        <v>0</v>
      </c>
      <c r="U391" s="181">
        <f xml:space="preserve"> IF( $N357 = '2.1 Model setup'!$K$55, U204, 0 )</f>
        <v>0</v>
      </c>
      <c r="V391" s="181">
        <f xml:space="preserve"> IF( $N357 = '2.1 Model setup'!$K$55, V204, 0 )</f>
        <v>0</v>
      </c>
      <c r="W391" s="198">
        <f t="shared" si="58"/>
        <v>0</v>
      </c>
    </row>
    <row r="392" spans="4:23" ht="15" customHeight="1">
      <c r="D392" s="85" t="str">
        <f xml:space="preserve"> '2.1 Model setup'!K76</f>
        <v>2.3 Måleradministration og kundehåndtering</v>
      </c>
      <c r="K392" s="5" t="s">
        <v>4</v>
      </c>
      <c r="L392" s="264">
        <f t="shared" si="57"/>
        <v>0</v>
      </c>
      <c r="O392" s="202"/>
      <c r="P392" s="202"/>
      <c r="Q392" s="202"/>
      <c r="R392" s="181">
        <f xml:space="preserve"> IF( $N358 = '2.1 Model setup'!$K$55, R205, 0 )</f>
        <v>0</v>
      </c>
      <c r="S392" s="181">
        <f xml:space="preserve"> IF( $N358 = '2.1 Model setup'!$K$55, S205, 0 )</f>
        <v>0</v>
      </c>
      <c r="T392" s="181">
        <f xml:space="preserve"> IF( $N358 = '2.1 Model setup'!$K$55, T205, 0 )</f>
        <v>0</v>
      </c>
      <c r="U392" s="181">
        <f xml:space="preserve"> IF( $N358 = '2.1 Model setup'!$K$55, U205, 0 )</f>
        <v>0</v>
      </c>
      <c r="V392" s="181">
        <f xml:space="preserve"> IF( $N358 = '2.1 Model setup'!$K$55, V205, 0 )</f>
        <v>0</v>
      </c>
      <c r="W392" s="198">
        <f t="shared" si="58"/>
        <v>0</v>
      </c>
    </row>
    <row r="393" spans="4:23" ht="15" customHeight="1">
      <c r="D393" s="85" t="str">
        <f xml:space="preserve"> '2.1 Model setup'!K77</f>
        <v>3.1 Generel administration</v>
      </c>
      <c r="K393" s="5" t="s">
        <v>4</v>
      </c>
      <c r="L393" s="264">
        <f t="shared" si="57"/>
        <v>0</v>
      </c>
      <c r="O393" s="202"/>
      <c r="P393" s="202"/>
      <c r="Q393" s="202"/>
      <c r="R393" s="181">
        <f xml:space="preserve"> IF( $N359 = '2.1 Model setup'!$K$55, R206, 0 )</f>
        <v>0</v>
      </c>
      <c r="S393" s="181">
        <f xml:space="preserve"> IF( $N359 = '2.1 Model setup'!$K$55, S206, 0 )</f>
        <v>0</v>
      </c>
      <c r="T393" s="181">
        <f xml:space="preserve"> IF( $N359 = '2.1 Model setup'!$K$55, T206, 0 )</f>
        <v>0</v>
      </c>
      <c r="U393" s="181">
        <f xml:space="preserve"> IF( $N359 = '2.1 Model setup'!$K$55, U206, 0 )</f>
        <v>0</v>
      </c>
      <c r="V393" s="181">
        <f xml:space="preserve"> IF( $N359 = '2.1 Model setup'!$K$55, V206, 0 )</f>
        <v>0</v>
      </c>
      <c r="W393" s="198">
        <f t="shared" si="58"/>
        <v>0</v>
      </c>
    </row>
    <row r="394" spans="4:23" ht="15" customHeight="1">
      <c r="D394" s="85" t="str">
        <f xml:space="preserve"> '2.1 Model setup'!K78</f>
        <v>4.1 Omkostninger vedrørende nettab i transformerstationer</v>
      </c>
      <c r="K394" s="5" t="s">
        <v>4</v>
      </c>
      <c r="L394" s="264">
        <f t="shared" si="57"/>
        <v>0</v>
      </c>
      <c r="O394" s="202"/>
      <c r="P394" s="202"/>
      <c r="Q394" s="202"/>
      <c r="R394" s="181">
        <f xml:space="preserve"> IF( $N360 = '2.1 Model setup'!$K$55, R207, 0 )</f>
        <v>0</v>
      </c>
      <c r="S394" s="181">
        <f xml:space="preserve"> IF( $N360 = '2.1 Model setup'!$K$55, S207, 0 )</f>
        <v>0</v>
      </c>
      <c r="T394" s="181">
        <f xml:space="preserve"> IF( $N360 = '2.1 Model setup'!$K$55, T207, 0 )</f>
        <v>0</v>
      </c>
      <c r="U394" s="181">
        <f xml:space="preserve"> IF( $N360 = '2.1 Model setup'!$K$55, U207, 0 )</f>
        <v>0</v>
      </c>
      <c r="V394" s="181">
        <f xml:space="preserve"> IF( $N360 = '2.1 Model setup'!$K$55, V207, 0 )</f>
        <v>0</v>
      </c>
      <c r="W394" s="198">
        <f t="shared" si="58"/>
        <v>0</v>
      </c>
    </row>
    <row r="395" spans="4:23" ht="15" customHeight="1">
      <c r="D395" s="85" t="str">
        <f xml:space="preserve"> '2.1 Model setup'!K79</f>
        <v>4.2 Omkostninger vedrørende nettab i ledningsnettet</v>
      </c>
      <c r="K395" s="5" t="s">
        <v>4</v>
      </c>
      <c r="L395" s="264">
        <f t="shared" si="57"/>
        <v>0</v>
      </c>
      <c r="O395" s="202"/>
      <c r="P395" s="202"/>
      <c r="Q395" s="202"/>
      <c r="R395" s="181">
        <f xml:space="preserve"> IF( $N361 = '2.1 Model setup'!$K$55, R208, 0 )</f>
        <v>0</v>
      </c>
      <c r="S395" s="181">
        <f xml:space="preserve"> IF( $N361 = '2.1 Model setup'!$K$55, S208, 0 )</f>
        <v>0</v>
      </c>
      <c r="T395" s="181">
        <f xml:space="preserve"> IF( $N361 = '2.1 Model setup'!$K$55, T208, 0 )</f>
        <v>0</v>
      </c>
      <c r="U395" s="181">
        <f xml:space="preserve"> IF( $N361 = '2.1 Model setup'!$K$55, U208, 0 )</f>
        <v>0</v>
      </c>
      <c r="V395" s="181">
        <f xml:space="preserve"> IF( $N361 = '2.1 Model setup'!$K$55, V208, 0 )</f>
        <v>0</v>
      </c>
      <c r="W395" s="198">
        <f t="shared" si="58"/>
        <v>0</v>
      </c>
    </row>
    <row r="396" spans="4:23" ht="15" customHeight="1">
      <c r="D396" s="85" t="str">
        <f xml:space="preserve"> '2.1 Model setup'!K80</f>
        <v>5.1 Omkostninger til overliggende net ifm. forbrug</v>
      </c>
      <c r="K396" s="5" t="s">
        <v>4</v>
      </c>
      <c r="L396" s="264">
        <f xml:space="preserve"> -- ( IF( COUNTIF( R396:V396, "&lt;&gt;0" ) = 0, 0, ROUND( SUM( R396:V396 ), 5 ) &lt;&gt; 100% ) )</f>
        <v>0</v>
      </c>
      <c r="O396" s="202"/>
      <c r="P396" s="202"/>
      <c r="Q396" s="202"/>
      <c r="R396" s="181">
        <f xml:space="preserve"> IF( $N362 = '2.1 Model setup'!$K$55, R209, 0 )</f>
        <v>0</v>
      </c>
      <c r="S396" s="181">
        <f xml:space="preserve"> IF( $N362 = '2.1 Model setup'!$K$55, S209, 0 )</f>
        <v>0</v>
      </c>
      <c r="T396" s="181">
        <f xml:space="preserve"> IF( $N362 = '2.1 Model setup'!$K$55, T209, 0 )</f>
        <v>0</v>
      </c>
      <c r="U396" s="181">
        <f xml:space="preserve"> IF( $N362 = '2.1 Model setup'!$K$55, U209, 0 )</f>
        <v>0</v>
      </c>
      <c r="V396" s="181">
        <f xml:space="preserve"> IF( $N362 = '2.1 Model setup'!$K$55, V209, 0 )</f>
        <v>0</v>
      </c>
      <c r="W396" s="198">
        <f xml:space="preserve"> SUM( R396:V396 )</f>
        <v>0</v>
      </c>
    </row>
    <row r="397" spans="4:23" ht="15" customHeight="1">
      <c r="D397" s="85" t="str">
        <f xml:space="preserve"> '2.1 Model setup'!K81</f>
        <v>5.2 Øvrige omkostninger</v>
      </c>
      <c r="K397" s="5" t="s">
        <v>4</v>
      </c>
      <c r="L397" s="264">
        <f t="shared" si="57"/>
        <v>0</v>
      </c>
      <c r="O397" s="202"/>
      <c r="P397" s="202"/>
      <c r="Q397" s="202"/>
      <c r="R397" s="181">
        <f xml:space="preserve"> IF( $N363 = '2.1 Model setup'!$K$55, R210, 0 )</f>
        <v>0</v>
      </c>
      <c r="S397" s="181">
        <f xml:space="preserve"> IF( $N363 = '2.1 Model setup'!$K$55, S210, 0 )</f>
        <v>0</v>
      </c>
      <c r="T397" s="181">
        <f xml:space="preserve"> IF( $N363 = '2.1 Model setup'!$K$55, T210, 0 )</f>
        <v>0</v>
      </c>
      <c r="U397" s="181">
        <f xml:space="preserve"> IF( $N363 = '2.1 Model setup'!$K$55, U210, 0 )</f>
        <v>0</v>
      </c>
      <c r="V397" s="181">
        <f xml:space="preserve"> IF( $N363 = '2.1 Model setup'!$K$55, V210, 0 )</f>
        <v>0</v>
      </c>
      <c r="W397" s="198">
        <f t="shared" si="58"/>
        <v>0</v>
      </c>
    </row>
    <row r="398" spans="4:23" ht="15" customHeight="1">
      <c r="D398" s="85" t="str">
        <f xml:space="preserve"> '2.1 Model setup'!K82</f>
        <v>6.1 Afskrivninger på transformerstationer</v>
      </c>
      <c r="K398" s="5" t="s">
        <v>4</v>
      </c>
      <c r="L398" s="202"/>
      <c r="O398" s="202"/>
      <c r="P398" s="202"/>
      <c r="Q398" s="202"/>
      <c r="R398" s="181">
        <f xml:space="preserve"> IF( $N364 = '2.1 Model setup'!$K$55, R211, 0 )</f>
        <v>0</v>
      </c>
      <c r="S398" s="181">
        <f xml:space="preserve"> IF( $N364 = '2.1 Model setup'!$K$55, S211, 0 )</f>
        <v>0</v>
      </c>
      <c r="T398" s="181">
        <f xml:space="preserve"> IF( $N364 = '2.1 Model setup'!$K$55, T211, 0 )</f>
        <v>0</v>
      </c>
      <c r="U398" s="181">
        <f xml:space="preserve"> IF( $N364 = '2.1 Model setup'!$K$55, U211, 0 )</f>
        <v>0</v>
      </c>
      <c r="V398" s="181">
        <f xml:space="preserve"> IF( $N364 = '2.1 Model setup'!$K$55, V211, 0 )</f>
        <v>0</v>
      </c>
      <c r="W398" s="198">
        <f t="shared" si="58"/>
        <v>0</v>
      </c>
    </row>
    <row r="399" spans="4:23" ht="15" customHeight="1">
      <c r="D399" s="85" t="str">
        <f xml:space="preserve"> '2.1 Model setup'!K83</f>
        <v>6.2 Afskrivninger på netaktiver ekskl. målere og transformerstationer</v>
      </c>
      <c r="K399" s="5" t="s">
        <v>4</v>
      </c>
      <c r="L399" s="202"/>
      <c r="O399" s="202"/>
      <c r="P399" s="202"/>
      <c r="Q399" s="202"/>
      <c r="R399" s="181">
        <f xml:space="preserve"> IF( $N365 = '2.1 Model setup'!$K$55, R212, 0 )</f>
        <v>0</v>
      </c>
      <c r="S399" s="181">
        <f xml:space="preserve"> IF( $N365 = '2.1 Model setup'!$K$55, S212, 0 )</f>
        <v>0</v>
      </c>
      <c r="T399" s="181">
        <f xml:space="preserve"> IF( $N365 = '2.1 Model setup'!$K$55, T212, 0 )</f>
        <v>0</v>
      </c>
      <c r="U399" s="181">
        <f xml:space="preserve"> IF( $N365 = '2.1 Model setup'!$K$55, U212, 0 )</f>
        <v>0</v>
      </c>
      <c r="V399" s="181">
        <f xml:space="preserve"> IF( $N365 = '2.1 Model setup'!$K$55, V212, 0 )</f>
        <v>0</v>
      </c>
      <c r="W399" s="198">
        <f t="shared" si="58"/>
        <v>0</v>
      </c>
    </row>
    <row r="400" spans="4:23" ht="15" customHeight="1">
      <c r="D400" s="99" t="str">
        <f xml:space="preserve"> '2.1 Model setup'!K84</f>
        <v>6.3 Afskrivninger på målere</v>
      </c>
      <c r="E400" s="27"/>
      <c r="F400" s="27"/>
      <c r="G400" s="27"/>
      <c r="H400" s="27"/>
      <c r="I400" s="27"/>
      <c r="J400" s="27"/>
      <c r="K400" s="32" t="s">
        <v>4</v>
      </c>
      <c r="L400" s="265">
        <f xml:space="preserve"> -- ( IF( COUNTIF( R400:V400, "&lt;&gt;0" ) = 0, 0, ROUND( SUM( R400:V400 ), 5 ) &lt;&gt; 100% ) )</f>
        <v>0</v>
      </c>
      <c r="M400" s="27"/>
      <c r="N400" s="27"/>
      <c r="O400" s="269"/>
      <c r="P400" s="269"/>
      <c r="Q400" s="269"/>
      <c r="R400" s="182">
        <f xml:space="preserve"> IF( $N366 = '2.1 Model setup'!$K$55, R213, 0 )</f>
        <v>0</v>
      </c>
      <c r="S400" s="182">
        <f xml:space="preserve"> IF( $N366 = '2.1 Model setup'!$K$55, S213, 0 )</f>
        <v>0</v>
      </c>
      <c r="T400" s="182">
        <f xml:space="preserve"> IF( $N366 = '2.1 Model setup'!$K$55, T213, 0 )</f>
        <v>0</v>
      </c>
      <c r="U400" s="182">
        <f xml:space="preserve"> IF( $N366 = '2.1 Model setup'!$K$55, U213, 0 )</f>
        <v>0</v>
      </c>
      <c r="V400" s="182">
        <f xml:space="preserve"> IF( $N366 = '2.1 Model setup'!$K$55, V213, 0 )</f>
        <v>0</v>
      </c>
      <c r="W400" s="199">
        <f t="shared" si="58"/>
        <v>0</v>
      </c>
    </row>
    <row r="401" spans="4:23" ht="15" customHeight="1">
      <c r="L401" s="231"/>
    </row>
    <row r="402" spans="4:23" ht="15" customHeight="1">
      <c r="D402" s="4" t="s">
        <v>468</v>
      </c>
      <c r="L402" s="231"/>
      <c r="W402" s="185" t="s">
        <v>16</v>
      </c>
    </row>
    <row r="403" spans="4:23" ht="15" customHeight="1">
      <c r="D403" s="123" t="str">
        <f xml:space="preserve"> '2.1 Model setup'!K70</f>
        <v>1.1 Drift og vedligeholdelse af transformerstationer</v>
      </c>
      <c r="E403" s="15"/>
      <c r="F403" s="15"/>
      <c r="G403" s="15"/>
      <c r="H403" s="15"/>
      <c r="I403" s="15"/>
      <c r="J403" s="15"/>
      <c r="K403" s="19" t="s">
        <v>4</v>
      </c>
      <c r="L403" s="263">
        <f xml:space="preserve"> -- ( IF( COUNTIF( R403:V403, "&lt;&gt;0" ) = 0, 0, ROUND( SUM( R403:V403 ), 5 ) &lt;&gt; 100% ) )</f>
        <v>0</v>
      </c>
      <c r="M403" s="15"/>
      <c r="N403" s="15"/>
      <c r="O403" s="274"/>
      <c r="P403" s="274"/>
      <c r="Q403" s="274"/>
      <c r="R403" s="180">
        <f xml:space="preserve"> IF( $N352 = '2.1 Model setup'!$K$56, R216, 0 )</f>
        <v>0</v>
      </c>
      <c r="S403" s="180">
        <f xml:space="preserve"> IF( $N352 = '2.1 Model setup'!$K$56, S216, 0 )</f>
        <v>0</v>
      </c>
      <c r="T403" s="180">
        <f xml:space="preserve"> IF( $N352 = '2.1 Model setup'!$K$56, T216, 0 )</f>
        <v>0</v>
      </c>
      <c r="U403" s="180">
        <f xml:space="preserve"> IF( $N352 = '2.1 Model setup'!$K$56, U216, 0 )</f>
        <v>0</v>
      </c>
      <c r="V403" s="180">
        <f xml:space="preserve"> IF( $N352 = '2.1 Model setup'!$K$56, V216, 0 )</f>
        <v>0</v>
      </c>
      <c r="W403" s="354">
        <f xml:space="preserve"> SUM( R403:V403 )</f>
        <v>0</v>
      </c>
    </row>
    <row r="404" spans="4:23" ht="15" customHeight="1">
      <c r="D404" s="85" t="str">
        <f xml:space="preserve"> '2.1 Model setup'!K71</f>
        <v>1.2 Drift og vedligeholdelse af ledningsnet</v>
      </c>
      <c r="K404" s="5" t="s">
        <v>4</v>
      </c>
      <c r="L404" s="264">
        <f t="shared" ref="L404:L414" si="59" xml:space="preserve"> -- ( IF( COUNTIF( R404:V404, "&lt;&gt;0" ) = 0, 0, ROUND( SUM( R404:V404 ), 5 ) &lt;&gt; 100% ) )</f>
        <v>0</v>
      </c>
      <c r="O404" s="202"/>
      <c r="P404" s="202"/>
      <c r="Q404" s="202"/>
      <c r="R404" s="181">
        <f xml:space="preserve"> IF( $N353 = '2.1 Model setup'!$K$56, R217, 0 )</f>
        <v>0</v>
      </c>
      <c r="S404" s="181">
        <f xml:space="preserve"> IF( $N353 = '2.1 Model setup'!$K$56, S217, 0 )</f>
        <v>0</v>
      </c>
      <c r="T404" s="181">
        <f xml:space="preserve"> IF( $N353 = '2.1 Model setup'!$K$56, T217, 0 )</f>
        <v>0</v>
      </c>
      <c r="U404" s="181">
        <f xml:space="preserve"> IF( $N353 = '2.1 Model setup'!$K$56, U217, 0 )</f>
        <v>0</v>
      </c>
      <c r="V404" s="181">
        <f xml:space="preserve"> IF( $N353 = '2.1 Model setup'!$K$56, V217, 0 )</f>
        <v>0</v>
      </c>
      <c r="W404" s="198">
        <f t="shared" ref="W404:W417" si="60" xml:space="preserve"> SUM( R404:V404 )</f>
        <v>0</v>
      </c>
    </row>
    <row r="405" spans="4:23" ht="15" customHeight="1">
      <c r="D405" s="85" t="str">
        <f xml:space="preserve"> '2.1 Model setup'!K72</f>
        <v>1.3 Øvrige omkostninger til drift, styring og kontrol af elnettet</v>
      </c>
      <c r="K405" s="5" t="s">
        <v>4</v>
      </c>
      <c r="L405" s="264">
        <f t="shared" si="59"/>
        <v>0</v>
      </c>
      <c r="O405" s="202"/>
      <c r="P405" s="202"/>
      <c r="Q405" s="202"/>
      <c r="R405" s="181">
        <f xml:space="preserve"> IF( $N354 = '2.1 Model setup'!$K$56, R218, 0 )</f>
        <v>0</v>
      </c>
      <c r="S405" s="181">
        <f xml:space="preserve"> IF( $N354 = '2.1 Model setup'!$K$56, S218, 0 )</f>
        <v>0</v>
      </c>
      <c r="T405" s="181">
        <f xml:space="preserve"> IF( $N354 = '2.1 Model setup'!$K$56, T218, 0 )</f>
        <v>0</v>
      </c>
      <c r="U405" s="181">
        <f xml:space="preserve"> IF( $N354 = '2.1 Model setup'!$K$56, U218, 0 )</f>
        <v>0</v>
      </c>
      <c r="V405" s="181">
        <f xml:space="preserve"> IF( $N354 = '2.1 Model setup'!$K$56, V218, 0 )</f>
        <v>0</v>
      </c>
      <c r="W405" s="198">
        <f t="shared" si="60"/>
        <v>0</v>
      </c>
    </row>
    <row r="406" spans="4:23" ht="15" customHeight="1">
      <c r="D406" s="85" t="str">
        <f xml:space="preserve"> '2.1 Model setup'!K73</f>
        <v>1.4 Omkostninger vedrørende 132-150/30-60 kV-stationer</v>
      </c>
      <c r="K406" s="5" t="s">
        <v>4</v>
      </c>
      <c r="L406" s="264">
        <f xml:space="preserve"> -- ( IF( COUNTIF( R406:V406, "&lt;&gt;0" ) = 0, 0, ROUND( SUM( R406:V406 ), 5 ) &lt;&gt; 100% ) )</f>
        <v>0</v>
      </c>
      <c r="O406" s="202"/>
      <c r="P406" s="202"/>
      <c r="Q406" s="202"/>
      <c r="R406" s="181">
        <f xml:space="preserve"> IF( $N355 = '2.1 Model setup'!$K$56, R219, 0 )</f>
        <v>0</v>
      </c>
      <c r="S406" s="181">
        <f xml:space="preserve"> IF( $N355 = '2.1 Model setup'!$K$56, S219, 0 )</f>
        <v>0</v>
      </c>
      <c r="T406" s="181">
        <f xml:space="preserve"> IF( $N355 = '2.1 Model setup'!$K$56, T219, 0 )</f>
        <v>0</v>
      </c>
      <c r="U406" s="181">
        <f xml:space="preserve"> IF( $N355 = '2.1 Model setup'!$K$56, U219, 0 )</f>
        <v>0</v>
      </c>
      <c r="V406" s="181">
        <f xml:space="preserve"> IF( $N355 = '2.1 Model setup'!$K$56, V219, 0 )</f>
        <v>0</v>
      </c>
      <c r="W406" s="198">
        <f xml:space="preserve"> SUM( R406:V406 )</f>
        <v>0</v>
      </c>
    </row>
    <row r="407" spans="4:23" ht="15" customHeight="1">
      <c r="D407" s="85" t="str">
        <f xml:space="preserve"> '2.1 Model setup'!K74</f>
        <v>2.1 Drift og vedligeholdelse af målere</v>
      </c>
      <c r="K407" s="5" t="s">
        <v>4</v>
      </c>
      <c r="L407" s="264">
        <f t="shared" si="59"/>
        <v>0</v>
      </c>
      <c r="O407" s="202"/>
      <c r="P407" s="202"/>
      <c r="Q407" s="202"/>
      <c r="R407" s="181">
        <f xml:space="preserve"> IF( $N356 = '2.1 Model setup'!$K$56, R220, 0 )</f>
        <v>0</v>
      </c>
      <c r="S407" s="181">
        <f xml:space="preserve"> IF( $N356 = '2.1 Model setup'!$K$56, S220, 0 )</f>
        <v>0</v>
      </c>
      <c r="T407" s="181">
        <f xml:space="preserve"> IF( $N356 = '2.1 Model setup'!$K$56, T220, 0 )</f>
        <v>0</v>
      </c>
      <c r="U407" s="181">
        <f xml:space="preserve"> IF( $N356 = '2.1 Model setup'!$K$56, U220, 0 )</f>
        <v>0</v>
      </c>
      <c r="V407" s="181">
        <f xml:space="preserve"> IF( $N356 = '2.1 Model setup'!$K$56, V220, 0 )</f>
        <v>0</v>
      </c>
      <c r="W407" s="198">
        <f t="shared" si="60"/>
        <v>0</v>
      </c>
    </row>
    <row r="408" spans="4:23" ht="15" customHeight="1">
      <c r="D408" s="85" t="str">
        <f xml:space="preserve"> '2.1 Model setup'!K75</f>
        <v>2.2 Indhentning og validering af målerdata</v>
      </c>
      <c r="K408" s="5" t="s">
        <v>4</v>
      </c>
      <c r="L408" s="264">
        <f t="shared" si="59"/>
        <v>0</v>
      </c>
      <c r="O408" s="202"/>
      <c r="P408" s="202"/>
      <c r="Q408" s="202"/>
      <c r="R408" s="181">
        <f xml:space="preserve"> IF( $N357 = '2.1 Model setup'!$K$56, R221, 0 )</f>
        <v>0</v>
      </c>
      <c r="S408" s="181">
        <f xml:space="preserve"> IF( $N357 = '2.1 Model setup'!$K$56, S221, 0 )</f>
        <v>0</v>
      </c>
      <c r="T408" s="181">
        <f xml:space="preserve"> IF( $N357 = '2.1 Model setup'!$K$56, T221, 0 )</f>
        <v>0</v>
      </c>
      <c r="U408" s="181">
        <f xml:space="preserve"> IF( $N357 = '2.1 Model setup'!$K$56, U221, 0 )</f>
        <v>0</v>
      </c>
      <c r="V408" s="181">
        <f xml:space="preserve"> IF( $N357 = '2.1 Model setup'!$K$56, V221, 0 )</f>
        <v>0</v>
      </c>
      <c r="W408" s="198">
        <f xml:space="preserve"> SUM( R408:V408 )</f>
        <v>0</v>
      </c>
    </row>
    <row r="409" spans="4:23" ht="15" customHeight="1">
      <c r="D409" s="85" t="str">
        <f xml:space="preserve"> '2.1 Model setup'!K76</f>
        <v>2.3 Måleradministration og kundehåndtering</v>
      </c>
      <c r="K409" s="5" t="s">
        <v>4</v>
      </c>
      <c r="L409" s="264">
        <f t="shared" si="59"/>
        <v>0</v>
      </c>
      <c r="O409" s="202"/>
      <c r="P409" s="202"/>
      <c r="Q409" s="202"/>
      <c r="R409" s="181">
        <f xml:space="preserve"> IF( $N358 = '2.1 Model setup'!$K$56, R222, 0 )</f>
        <v>0</v>
      </c>
      <c r="S409" s="181">
        <f xml:space="preserve"> IF( $N358 = '2.1 Model setup'!$K$56, S222, 0 )</f>
        <v>0</v>
      </c>
      <c r="T409" s="181">
        <f xml:space="preserve"> IF( $N358 = '2.1 Model setup'!$K$56, T222, 0 )</f>
        <v>0</v>
      </c>
      <c r="U409" s="181">
        <f xml:space="preserve"> IF( $N358 = '2.1 Model setup'!$K$56, U222, 0 )</f>
        <v>0</v>
      </c>
      <c r="V409" s="181">
        <f xml:space="preserve"> IF( $N358 = '2.1 Model setup'!$K$56, V222, 0 )</f>
        <v>0</v>
      </c>
      <c r="W409" s="198">
        <f t="shared" si="60"/>
        <v>0</v>
      </c>
    </row>
    <row r="410" spans="4:23" ht="15" customHeight="1">
      <c r="D410" s="85" t="str">
        <f xml:space="preserve"> '2.1 Model setup'!K77</f>
        <v>3.1 Generel administration</v>
      </c>
      <c r="K410" s="5" t="s">
        <v>4</v>
      </c>
      <c r="L410" s="264">
        <f t="shared" si="59"/>
        <v>0</v>
      </c>
      <c r="O410" s="202"/>
      <c r="P410" s="202"/>
      <c r="Q410" s="202"/>
      <c r="R410" s="181">
        <f xml:space="preserve"> IF( $N359 = '2.1 Model setup'!$K$56, R223, 0 )</f>
        <v>0</v>
      </c>
      <c r="S410" s="181">
        <f xml:space="preserve"> IF( $N359 = '2.1 Model setup'!$K$56, S223, 0 )</f>
        <v>0</v>
      </c>
      <c r="T410" s="181">
        <f xml:space="preserve"> IF( $N359 = '2.1 Model setup'!$K$56, T223, 0 )</f>
        <v>0</v>
      </c>
      <c r="U410" s="181">
        <f xml:space="preserve"> IF( $N359 = '2.1 Model setup'!$K$56, U223, 0 )</f>
        <v>0</v>
      </c>
      <c r="V410" s="181">
        <f xml:space="preserve"> IF( $N359 = '2.1 Model setup'!$K$56, V223, 0 )</f>
        <v>0</v>
      </c>
      <c r="W410" s="198">
        <f t="shared" si="60"/>
        <v>0</v>
      </c>
    </row>
    <row r="411" spans="4:23" ht="15" customHeight="1">
      <c r="D411" s="85" t="str">
        <f xml:space="preserve"> '2.1 Model setup'!K78</f>
        <v>4.1 Omkostninger vedrørende nettab i transformerstationer</v>
      </c>
      <c r="K411" s="5" t="s">
        <v>4</v>
      </c>
      <c r="L411" s="264">
        <f t="shared" si="59"/>
        <v>0</v>
      </c>
      <c r="O411" s="202"/>
      <c r="P411" s="202"/>
      <c r="Q411" s="202"/>
      <c r="R411" s="181">
        <f xml:space="preserve"> IF( $N360 = '2.1 Model setup'!$K$56, R224, 0 )</f>
        <v>0</v>
      </c>
      <c r="S411" s="181">
        <f xml:space="preserve"> IF( $N360 = '2.1 Model setup'!$K$56, S224, 0 )</f>
        <v>0</v>
      </c>
      <c r="T411" s="181">
        <f xml:space="preserve"> IF( $N360 = '2.1 Model setup'!$K$56, T224, 0 )</f>
        <v>0</v>
      </c>
      <c r="U411" s="181">
        <f xml:space="preserve"> IF( $N360 = '2.1 Model setup'!$K$56, U224, 0 )</f>
        <v>0</v>
      </c>
      <c r="V411" s="181">
        <f xml:space="preserve"> IF( $N360 = '2.1 Model setup'!$K$56, V224, 0 )</f>
        <v>0</v>
      </c>
      <c r="W411" s="198">
        <f t="shared" si="60"/>
        <v>0</v>
      </c>
    </row>
    <row r="412" spans="4:23" ht="15" customHeight="1">
      <c r="D412" s="85" t="str">
        <f xml:space="preserve"> '2.1 Model setup'!K79</f>
        <v>4.2 Omkostninger vedrørende nettab i ledningsnettet</v>
      </c>
      <c r="K412" s="5" t="s">
        <v>4</v>
      </c>
      <c r="L412" s="264">
        <f t="shared" si="59"/>
        <v>0</v>
      </c>
      <c r="O412" s="202"/>
      <c r="P412" s="202"/>
      <c r="Q412" s="202"/>
      <c r="R412" s="181">
        <f xml:space="preserve"> IF( $N361 = '2.1 Model setup'!$K$56, R225, 0 )</f>
        <v>0</v>
      </c>
      <c r="S412" s="181">
        <f xml:space="preserve"> IF( $N361 = '2.1 Model setup'!$K$56, S225, 0 )</f>
        <v>0</v>
      </c>
      <c r="T412" s="181">
        <f xml:space="preserve"> IF( $N361 = '2.1 Model setup'!$K$56, T225, 0 )</f>
        <v>0</v>
      </c>
      <c r="U412" s="181">
        <f xml:space="preserve"> IF( $N361 = '2.1 Model setup'!$K$56, U225, 0 )</f>
        <v>0</v>
      </c>
      <c r="V412" s="181">
        <f xml:space="preserve"> IF( $N361 = '2.1 Model setup'!$K$56, V225, 0 )</f>
        <v>0</v>
      </c>
      <c r="W412" s="198">
        <f t="shared" si="60"/>
        <v>0</v>
      </c>
    </row>
    <row r="413" spans="4:23" ht="15" customHeight="1">
      <c r="D413" s="85" t="str">
        <f xml:space="preserve"> '2.1 Model setup'!K80</f>
        <v>5.1 Omkostninger til overliggende net ifm. forbrug</v>
      </c>
      <c r="K413" s="5" t="s">
        <v>4</v>
      </c>
      <c r="L413" s="264">
        <f xml:space="preserve"> -- ( IF( COUNTIF( R413:V413, "&lt;&gt;0" ) = 0, 0, ROUND( SUM( R413:V413 ), 5 ) &lt;&gt; 100% ) )</f>
        <v>0</v>
      </c>
      <c r="O413" s="202"/>
      <c r="P413" s="202"/>
      <c r="Q413" s="202"/>
      <c r="R413" s="181">
        <f xml:space="preserve"> IF( $N362 = '2.1 Model setup'!$K$56, R226, 0 )</f>
        <v>0</v>
      </c>
      <c r="S413" s="181">
        <f xml:space="preserve"> IF( $N362 = '2.1 Model setup'!$K$56, S226, 0 )</f>
        <v>0</v>
      </c>
      <c r="T413" s="181">
        <f xml:space="preserve"> IF( $N362 = '2.1 Model setup'!$K$56, T226, 0 )</f>
        <v>0</v>
      </c>
      <c r="U413" s="181">
        <f xml:space="preserve"> IF( $N362 = '2.1 Model setup'!$K$56, U226, 0 )</f>
        <v>0</v>
      </c>
      <c r="V413" s="181">
        <f xml:space="preserve"> IF( $N362 = '2.1 Model setup'!$K$56, V226, 0 )</f>
        <v>0</v>
      </c>
      <c r="W413" s="198">
        <f xml:space="preserve"> SUM( R413:V413 )</f>
        <v>0</v>
      </c>
    </row>
    <row r="414" spans="4:23" ht="15" customHeight="1">
      <c r="D414" s="85" t="str">
        <f xml:space="preserve"> '2.1 Model setup'!K81</f>
        <v>5.2 Øvrige omkostninger</v>
      </c>
      <c r="K414" s="5" t="s">
        <v>4</v>
      </c>
      <c r="L414" s="264">
        <f t="shared" si="59"/>
        <v>0</v>
      </c>
      <c r="O414" s="202"/>
      <c r="P414" s="202"/>
      <c r="Q414" s="202"/>
      <c r="R414" s="181">
        <f xml:space="preserve"> IF( $N363 = '2.1 Model setup'!$K$56, R227, 0 )</f>
        <v>0</v>
      </c>
      <c r="S414" s="181">
        <f xml:space="preserve"> IF( $N363 = '2.1 Model setup'!$K$56, S227, 0 )</f>
        <v>0</v>
      </c>
      <c r="T414" s="181">
        <f xml:space="preserve"> IF( $N363 = '2.1 Model setup'!$K$56, T227, 0 )</f>
        <v>0</v>
      </c>
      <c r="U414" s="181">
        <f xml:space="preserve"> IF( $N363 = '2.1 Model setup'!$K$56, U227, 0 )</f>
        <v>0</v>
      </c>
      <c r="V414" s="181">
        <f xml:space="preserve"> IF( $N363 = '2.1 Model setup'!$K$56, V227, 0 )</f>
        <v>0</v>
      </c>
      <c r="W414" s="198">
        <f t="shared" si="60"/>
        <v>0</v>
      </c>
    </row>
    <row r="415" spans="4:23" ht="15" customHeight="1">
      <c r="D415" s="85" t="str">
        <f xml:space="preserve"> '2.1 Model setup'!K82</f>
        <v>6.1 Afskrivninger på transformerstationer</v>
      </c>
      <c r="K415" s="5" t="s">
        <v>4</v>
      </c>
      <c r="L415" s="202"/>
      <c r="O415" s="202"/>
      <c r="P415" s="202"/>
      <c r="Q415" s="202"/>
      <c r="R415" s="181">
        <f xml:space="preserve"> IF( $N364 = '2.1 Model setup'!$K$56, R228, 0 )</f>
        <v>0</v>
      </c>
      <c r="S415" s="181">
        <f xml:space="preserve"> IF( $N364 = '2.1 Model setup'!$K$56, S228, 0 )</f>
        <v>0</v>
      </c>
      <c r="T415" s="181">
        <f xml:space="preserve"> IF( $N364 = '2.1 Model setup'!$K$56, T228, 0 )</f>
        <v>0</v>
      </c>
      <c r="U415" s="181">
        <f xml:space="preserve"> IF( $N364 = '2.1 Model setup'!$K$56, U228, 0 )</f>
        <v>0</v>
      </c>
      <c r="V415" s="181">
        <f xml:space="preserve"> IF( $N364 = '2.1 Model setup'!$K$56, V228, 0 )</f>
        <v>0</v>
      </c>
      <c r="W415" s="198">
        <f t="shared" si="60"/>
        <v>0</v>
      </c>
    </row>
    <row r="416" spans="4:23" ht="15" customHeight="1">
      <c r="D416" s="85" t="str">
        <f xml:space="preserve"> '2.1 Model setup'!K83</f>
        <v>6.2 Afskrivninger på netaktiver ekskl. målere og transformerstationer</v>
      </c>
      <c r="K416" s="5" t="s">
        <v>4</v>
      </c>
      <c r="L416" s="202"/>
      <c r="O416" s="202"/>
      <c r="P416" s="202"/>
      <c r="Q416" s="202"/>
      <c r="R416" s="181">
        <f xml:space="preserve"> IF( $N365 = '2.1 Model setup'!$K$56, R229, 0 )</f>
        <v>0</v>
      </c>
      <c r="S416" s="181">
        <f xml:space="preserve"> IF( $N365 = '2.1 Model setup'!$K$56, S229, 0 )</f>
        <v>0</v>
      </c>
      <c r="T416" s="181">
        <f xml:space="preserve"> IF( $N365 = '2.1 Model setup'!$K$56, T229, 0 )</f>
        <v>0</v>
      </c>
      <c r="U416" s="181">
        <f xml:space="preserve"> IF( $N365 = '2.1 Model setup'!$K$56, U229, 0 )</f>
        <v>0</v>
      </c>
      <c r="V416" s="181">
        <f xml:space="preserve"> IF( $N365 = '2.1 Model setup'!$K$56, V229, 0 )</f>
        <v>0</v>
      </c>
      <c r="W416" s="198">
        <f t="shared" si="60"/>
        <v>0</v>
      </c>
    </row>
    <row r="417" spans="4:23" ht="15" customHeight="1">
      <c r="D417" s="99" t="str">
        <f xml:space="preserve"> '2.1 Model setup'!K84</f>
        <v>6.3 Afskrivninger på målere</v>
      </c>
      <c r="E417" s="27"/>
      <c r="F417" s="27"/>
      <c r="G417" s="27"/>
      <c r="H417" s="27"/>
      <c r="I417" s="27"/>
      <c r="J417" s="27"/>
      <c r="K417" s="32" t="s">
        <v>4</v>
      </c>
      <c r="L417" s="265">
        <f xml:space="preserve"> -- ( IF( COUNTIF( R417:V417, "&lt;&gt;0" ) = 0, 0, ROUND( SUM( R417:V417 ), 5 ) &lt;&gt; 100% ) )</f>
        <v>0</v>
      </c>
      <c r="M417" s="27"/>
      <c r="N417" s="27"/>
      <c r="O417" s="269"/>
      <c r="P417" s="269"/>
      <c r="Q417" s="269"/>
      <c r="R417" s="182">
        <f xml:space="preserve"> IF( $N366 = '2.1 Model setup'!$K$56, R230, 0 )</f>
        <v>0</v>
      </c>
      <c r="S417" s="182">
        <f xml:space="preserve"> IF( $N366 = '2.1 Model setup'!$K$56, S230, 0 )</f>
        <v>0</v>
      </c>
      <c r="T417" s="182">
        <f xml:space="preserve"> IF( $N366 = '2.1 Model setup'!$K$56, T230, 0 )</f>
        <v>0</v>
      </c>
      <c r="U417" s="182">
        <f xml:space="preserve"> IF( $N366 = '2.1 Model setup'!$K$56, U230, 0 )</f>
        <v>0</v>
      </c>
      <c r="V417" s="182">
        <f xml:space="preserve"> IF( $N366 = '2.1 Model setup'!$K$56, V230, 0 )</f>
        <v>0</v>
      </c>
      <c r="W417" s="199">
        <f t="shared" si="60"/>
        <v>0</v>
      </c>
    </row>
    <row r="418" spans="4:23" ht="15" customHeight="1">
      <c r="L418" s="231"/>
    </row>
    <row r="419" spans="4:23" ht="15" customHeight="1">
      <c r="D419" s="4" t="s">
        <v>461</v>
      </c>
      <c r="L419" s="231"/>
      <c r="W419" s="185" t="s">
        <v>16</v>
      </c>
    </row>
    <row r="420" spans="4:23" ht="15" customHeight="1">
      <c r="D420" s="123" t="str">
        <f xml:space="preserve"> '2.1 Model setup'!K70</f>
        <v>1.1 Drift og vedligeholdelse af transformerstationer</v>
      </c>
      <c r="E420" s="15"/>
      <c r="F420" s="15"/>
      <c r="G420" s="15"/>
      <c r="H420" s="15"/>
      <c r="I420" s="15"/>
      <c r="J420" s="15"/>
      <c r="K420" s="19" t="s">
        <v>4</v>
      </c>
      <c r="L420" s="263">
        <f xml:space="preserve"> -- ( IF( COUNTIF( R420:V420, "&lt;&gt;0" ) = 0, 0, ROUND( SUM( R420:V420 ), 5 ) &lt;&gt; 100% ) )</f>
        <v>0</v>
      </c>
      <c r="M420" s="15"/>
      <c r="N420" s="15"/>
      <c r="O420" s="274"/>
      <c r="P420" s="274"/>
      <c r="Q420" s="274"/>
      <c r="R420" s="180">
        <f xml:space="preserve"> IF( $N352 = '2.1 Model setup'!$K$57, R233, 0 )</f>
        <v>0</v>
      </c>
      <c r="S420" s="180">
        <f xml:space="preserve"> IF( $N352 = '2.1 Model setup'!$K$57, S233, 0 )</f>
        <v>0</v>
      </c>
      <c r="T420" s="180">
        <f xml:space="preserve"> IF( $N352 = '2.1 Model setup'!$K$57, T233, 0 )</f>
        <v>0</v>
      </c>
      <c r="U420" s="180">
        <f xml:space="preserve"> IF( $N352 = '2.1 Model setup'!$K$57, U233, 0 )</f>
        <v>0</v>
      </c>
      <c r="V420" s="180">
        <f xml:space="preserve"> IF( $N352 = '2.1 Model setup'!$K$57, V233, 0 )</f>
        <v>0</v>
      </c>
      <c r="W420" s="354">
        <f xml:space="preserve"> SUM( R420:V420 )</f>
        <v>0</v>
      </c>
    </row>
    <row r="421" spans="4:23" ht="15" customHeight="1">
      <c r="D421" s="85" t="str">
        <f xml:space="preserve"> '2.1 Model setup'!K71</f>
        <v>1.2 Drift og vedligeholdelse af ledningsnet</v>
      </c>
      <c r="K421" s="5" t="s">
        <v>4</v>
      </c>
      <c r="L421" s="264">
        <f t="shared" ref="L421:L431" si="61" xml:space="preserve"> -- ( IF( COUNTIF( R421:V421, "&lt;&gt;0" ) = 0, 0, ROUND( SUM( R421:V421 ), 5 ) &lt;&gt; 100% ) )</f>
        <v>0</v>
      </c>
      <c r="O421" s="202"/>
      <c r="P421" s="202"/>
      <c r="Q421" s="202"/>
      <c r="R421" s="181">
        <f xml:space="preserve"> IF( $N353 = '2.1 Model setup'!$K$57, R234, 0 )</f>
        <v>0</v>
      </c>
      <c r="S421" s="181">
        <f xml:space="preserve"> IF( $N353 = '2.1 Model setup'!$K$57, S234, 0 )</f>
        <v>0</v>
      </c>
      <c r="T421" s="181">
        <f xml:space="preserve"> IF( $N353 = '2.1 Model setup'!$K$57, T234, 0 )</f>
        <v>0</v>
      </c>
      <c r="U421" s="181">
        <f xml:space="preserve"> IF( $N353 = '2.1 Model setup'!$K$57, U234, 0 )</f>
        <v>0</v>
      </c>
      <c r="V421" s="181">
        <f xml:space="preserve"> IF( $N353 = '2.1 Model setup'!$K$57, V234, 0 )</f>
        <v>0</v>
      </c>
      <c r="W421" s="198">
        <f t="shared" ref="W421:W434" si="62" xml:space="preserve"> SUM( R421:V421 )</f>
        <v>0</v>
      </c>
    </row>
    <row r="422" spans="4:23" ht="15" customHeight="1">
      <c r="D422" s="85" t="str">
        <f xml:space="preserve"> '2.1 Model setup'!K72</f>
        <v>1.3 Øvrige omkostninger til drift, styring og kontrol af elnettet</v>
      </c>
      <c r="K422" s="5" t="s">
        <v>4</v>
      </c>
      <c r="L422" s="264">
        <f t="shared" si="61"/>
        <v>0</v>
      </c>
      <c r="O422" s="202"/>
      <c r="P422" s="202"/>
      <c r="Q422" s="202"/>
      <c r="R422" s="181">
        <f xml:space="preserve"> IF( $N354 = '2.1 Model setup'!$K$57, R235, 0 )</f>
        <v>0</v>
      </c>
      <c r="S422" s="181">
        <f xml:space="preserve"> IF( $N354 = '2.1 Model setup'!$K$57, S235, 0 )</f>
        <v>0</v>
      </c>
      <c r="T422" s="181">
        <f xml:space="preserve"> IF( $N354 = '2.1 Model setup'!$K$57, T235, 0 )</f>
        <v>0</v>
      </c>
      <c r="U422" s="181">
        <f xml:space="preserve"> IF( $N354 = '2.1 Model setup'!$K$57, U235, 0 )</f>
        <v>0</v>
      </c>
      <c r="V422" s="181">
        <f xml:space="preserve"> IF( $N354 = '2.1 Model setup'!$K$57, V235, 0 )</f>
        <v>0</v>
      </c>
      <c r="W422" s="198">
        <f t="shared" si="62"/>
        <v>0</v>
      </c>
    </row>
    <row r="423" spans="4:23" ht="15" customHeight="1">
      <c r="D423" s="85" t="str">
        <f xml:space="preserve"> '2.1 Model setup'!K73</f>
        <v>1.4 Omkostninger vedrørende 132-150/30-60 kV-stationer</v>
      </c>
      <c r="K423" s="5" t="s">
        <v>4</v>
      </c>
      <c r="L423" s="264">
        <f xml:space="preserve"> -- ( IF( COUNTIF( R423:V423, "&lt;&gt;0" ) = 0, 0, ROUND( SUM( R423:V423 ), 5 ) &lt;&gt; 100% ) )</f>
        <v>0</v>
      </c>
      <c r="O423" s="202"/>
      <c r="P423" s="202"/>
      <c r="Q423" s="202"/>
      <c r="R423" s="181">
        <f xml:space="preserve"> IF( $N355 = '2.1 Model setup'!$K$57, R236, 0 )</f>
        <v>0</v>
      </c>
      <c r="S423" s="181">
        <f xml:space="preserve"> IF( $N355 = '2.1 Model setup'!$K$57, S236, 0 )</f>
        <v>0</v>
      </c>
      <c r="T423" s="181">
        <f xml:space="preserve"> IF( $N355 = '2.1 Model setup'!$K$57, T236, 0 )</f>
        <v>0</v>
      </c>
      <c r="U423" s="181">
        <f xml:space="preserve"> IF( $N355 = '2.1 Model setup'!$K$57, U236, 0 )</f>
        <v>0</v>
      </c>
      <c r="V423" s="181">
        <f xml:space="preserve"> IF( $N355 = '2.1 Model setup'!$K$57, V236, 0 )</f>
        <v>0</v>
      </c>
      <c r="W423" s="198">
        <f xml:space="preserve"> SUM( R423:V423 )</f>
        <v>0</v>
      </c>
    </row>
    <row r="424" spans="4:23" ht="15" customHeight="1">
      <c r="D424" s="85" t="str">
        <f xml:space="preserve"> '2.1 Model setup'!K74</f>
        <v>2.1 Drift og vedligeholdelse af målere</v>
      </c>
      <c r="K424" s="5" t="s">
        <v>4</v>
      </c>
      <c r="L424" s="264">
        <f t="shared" si="61"/>
        <v>0</v>
      </c>
      <c r="O424" s="202"/>
      <c r="P424" s="202"/>
      <c r="Q424" s="202"/>
      <c r="R424" s="181">
        <f xml:space="preserve"> IF( $N356 = '2.1 Model setup'!$K$57, R237, 0 )</f>
        <v>0</v>
      </c>
      <c r="S424" s="181">
        <f xml:space="preserve"> IF( $N356 = '2.1 Model setup'!$K$57, S237, 0 )</f>
        <v>0</v>
      </c>
      <c r="T424" s="181">
        <f xml:space="preserve"> IF( $N356 = '2.1 Model setup'!$K$57, T237, 0 )</f>
        <v>0</v>
      </c>
      <c r="U424" s="181">
        <f xml:space="preserve"> IF( $N356 = '2.1 Model setup'!$K$57, U237, 0 )</f>
        <v>0</v>
      </c>
      <c r="V424" s="181">
        <f xml:space="preserve"> IF( $N356 = '2.1 Model setup'!$K$57, V237, 0 )</f>
        <v>0</v>
      </c>
      <c r="W424" s="198">
        <f t="shared" si="62"/>
        <v>0</v>
      </c>
    </row>
    <row r="425" spans="4:23" ht="15" customHeight="1">
      <c r="D425" s="85" t="str">
        <f xml:space="preserve"> '2.1 Model setup'!K75</f>
        <v>2.2 Indhentning og validering af målerdata</v>
      </c>
      <c r="K425" s="5" t="s">
        <v>4</v>
      </c>
      <c r="L425" s="264">
        <f t="shared" si="61"/>
        <v>0</v>
      </c>
      <c r="O425" s="202"/>
      <c r="P425" s="202"/>
      <c r="Q425" s="202"/>
      <c r="R425" s="181">
        <f xml:space="preserve"> IF( $N357 = '2.1 Model setup'!$K$57, R238, 0 )</f>
        <v>0</v>
      </c>
      <c r="S425" s="181">
        <f xml:space="preserve"> IF( $N357 = '2.1 Model setup'!$K$57, S238, 0 )</f>
        <v>0</v>
      </c>
      <c r="T425" s="181">
        <f xml:space="preserve"> IF( $N357 = '2.1 Model setup'!$K$57, T238, 0 )</f>
        <v>0</v>
      </c>
      <c r="U425" s="181">
        <f xml:space="preserve"> IF( $N357 = '2.1 Model setup'!$K$57, U238, 0 )</f>
        <v>0</v>
      </c>
      <c r="V425" s="181">
        <f xml:space="preserve"> IF( $N357 = '2.1 Model setup'!$K$57, V238, 0 )</f>
        <v>0</v>
      </c>
      <c r="W425" s="198">
        <f t="shared" si="62"/>
        <v>0</v>
      </c>
    </row>
    <row r="426" spans="4:23" ht="15" customHeight="1">
      <c r="D426" s="85" t="str">
        <f xml:space="preserve"> '2.1 Model setup'!K76</f>
        <v>2.3 Måleradministration og kundehåndtering</v>
      </c>
      <c r="K426" s="5" t="s">
        <v>4</v>
      </c>
      <c r="L426" s="264">
        <f t="shared" si="61"/>
        <v>0</v>
      </c>
      <c r="O426" s="202"/>
      <c r="P426" s="202"/>
      <c r="Q426" s="202"/>
      <c r="R426" s="181">
        <f xml:space="preserve"> IF( $N358 = '2.1 Model setup'!$K$57, R239, 0 )</f>
        <v>0</v>
      </c>
      <c r="S426" s="181">
        <f xml:space="preserve"> IF( $N358 = '2.1 Model setup'!$K$57, S239, 0 )</f>
        <v>0</v>
      </c>
      <c r="T426" s="181">
        <f xml:space="preserve"> IF( $N358 = '2.1 Model setup'!$K$57, T239, 0 )</f>
        <v>0</v>
      </c>
      <c r="U426" s="181">
        <f xml:space="preserve"> IF( $N358 = '2.1 Model setup'!$K$57, U239, 0 )</f>
        <v>0</v>
      </c>
      <c r="V426" s="181">
        <f xml:space="preserve"> IF( $N358 = '2.1 Model setup'!$K$57, V239, 0 )</f>
        <v>0</v>
      </c>
      <c r="W426" s="198">
        <f t="shared" si="62"/>
        <v>0</v>
      </c>
    </row>
    <row r="427" spans="4:23" ht="15" customHeight="1">
      <c r="D427" s="85" t="str">
        <f xml:space="preserve"> '2.1 Model setup'!K77</f>
        <v>3.1 Generel administration</v>
      </c>
      <c r="K427" s="5" t="s">
        <v>4</v>
      </c>
      <c r="L427" s="264">
        <f t="shared" si="61"/>
        <v>0</v>
      </c>
      <c r="O427" s="202"/>
      <c r="P427" s="202"/>
      <c r="Q427" s="202"/>
      <c r="R427" s="181">
        <f xml:space="preserve"> IF( $N359 = '2.1 Model setup'!$K$57, R240, 0 )</f>
        <v>0</v>
      </c>
      <c r="S427" s="181">
        <f xml:space="preserve"> IF( $N359 = '2.1 Model setup'!$K$57, S240, 0 )</f>
        <v>0</v>
      </c>
      <c r="T427" s="181">
        <f xml:space="preserve"> IF( $N359 = '2.1 Model setup'!$K$57, T240, 0 )</f>
        <v>0</v>
      </c>
      <c r="U427" s="181">
        <f xml:space="preserve"> IF( $N359 = '2.1 Model setup'!$K$57, U240, 0 )</f>
        <v>0</v>
      </c>
      <c r="V427" s="181">
        <f xml:space="preserve"> IF( $N359 = '2.1 Model setup'!$K$57, V240, 0 )</f>
        <v>0</v>
      </c>
      <c r="W427" s="198">
        <f t="shared" si="62"/>
        <v>0</v>
      </c>
    </row>
    <row r="428" spans="4:23" ht="15" customHeight="1">
      <c r="D428" s="85" t="str">
        <f xml:space="preserve"> '2.1 Model setup'!K78</f>
        <v>4.1 Omkostninger vedrørende nettab i transformerstationer</v>
      </c>
      <c r="K428" s="5" t="s">
        <v>4</v>
      </c>
      <c r="L428" s="264">
        <f t="shared" si="61"/>
        <v>0</v>
      </c>
      <c r="O428" s="202"/>
      <c r="P428" s="202"/>
      <c r="Q428" s="202"/>
      <c r="R428" s="181">
        <f xml:space="preserve"> IF( $N360 = '2.1 Model setup'!$K$57, R241, 0 )</f>
        <v>0</v>
      </c>
      <c r="S428" s="181">
        <f xml:space="preserve"> IF( $N360 = '2.1 Model setup'!$K$57, S241, 0 )</f>
        <v>0</v>
      </c>
      <c r="T428" s="181">
        <f xml:space="preserve"> IF( $N360 = '2.1 Model setup'!$K$57, T241, 0 )</f>
        <v>0</v>
      </c>
      <c r="U428" s="181">
        <f xml:space="preserve"> IF( $N360 = '2.1 Model setup'!$K$57, U241, 0 )</f>
        <v>0</v>
      </c>
      <c r="V428" s="181">
        <f xml:space="preserve"> IF( $N360 = '2.1 Model setup'!$K$57, V241, 0 )</f>
        <v>0</v>
      </c>
      <c r="W428" s="198">
        <f t="shared" si="62"/>
        <v>0</v>
      </c>
    </row>
    <row r="429" spans="4:23" ht="15" customHeight="1">
      <c r="D429" s="85" t="str">
        <f xml:space="preserve"> '2.1 Model setup'!K79</f>
        <v>4.2 Omkostninger vedrørende nettab i ledningsnettet</v>
      </c>
      <c r="K429" s="5" t="s">
        <v>4</v>
      </c>
      <c r="L429" s="264">
        <f t="shared" si="61"/>
        <v>0</v>
      </c>
      <c r="O429" s="202"/>
      <c r="P429" s="202"/>
      <c r="Q429" s="202"/>
      <c r="R429" s="181">
        <f xml:space="preserve"> IF( $N361 = '2.1 Model setup'!$K$57, R242, 0 )</f>
        <v>0</v>
      </c>
      <c r="S429" s="181">
        <f xml:space="preserve"> IF( $N361 = '2.1 Model setup'!$K$57, S242, 0 )</f>
        <v>0</v>
      </c>
      <c r="T429" s="181">
        <f xml:space="preserve"> IF( $N361 = '2.1 Model setup'!$K$57, T242, 0 )</f>
        <v>0</v>
      </c>
      <c r="U429" s="181">
        <f xml:space="preserve"> IF( $N361 = '2.1 Model setup'!$K$57, U242, 0 )</f>
        <v>0</v>
      </c>
      <c r="V429" s="181">
        <f xml:space="preserve"> IF( $N361 = '2.1 Model setup'!$K$57, V242, 0 )</f>
        <v>0</v>
      </c>
      <c r="W429" s="198">
        <f t="shared" si="62"/>
        <v>0</v>
      </c>
    </row>
    <row r="430" spans="4:23" ht="15" customHeight="1">
      <c r="D430" s="85" t="str">
        <f xml:space="preserve"> '2.1 Model setup'!K80</f>
        <v>5.1 Omkostninger til overliggende net ifm. forbrug</v>
      </c>
      <c r="K430" s="5" t="s">
        <v>4</v>
      </c>
      <c r="L430" s="264">
        <f xml:space="preserve"> -- ( IF( COUNTIF( R430:V430, "&lt;&gt;0" ) = 0, 0, ROUND( SUM( R430:V430 ), 5 ) &lt;&gt; 100% ) )</f>
        <v>0</v>
      </c>
      <c r="O430" s="202"/>
      <c r="P430" s="202"/>
      <c r="Q430" s="202"/>
      <c r="R430" s="181">
        <f xml:space="preserve"> IF( $N362 = '2.1 Model setup'!$K$57, R243, 0 )</f>
        <v>0</v>
      </c>
      <c r="S430" s="181">
        <f xml:space="preserve"> IF( $N362 = '2.1 Model setup'!$K$57, S243, 0 )</f>
        <v>0</v>
      </c>
      <c r="T430" s="181">
        <f xml:space="preserve"> IF( $N362 = '2.1 Model setup'!$K$57, T243, 0 )</f>
        <v>0</v>
      </c>
      <c r="U430" s="181">
        <f xml:space="preserve"> IF( $N362 = '2.1 Model setup'!$K$57, U243, 0 )</f>
        <v>0</v>
      </c>
      <c r="V430" s="181">
        <f xml:space="preserve"> IF( $N362 = '2.1 Model setup'!$K$57, V243, 0 )</f>
        <v>0</v>
      </c>
      <c r="W430" s="198">
        <f xml:space="preserve"> SUM( R430:V430 )</f>
        <v>0</v>
      </c>
    </row>
    <row r="431" spans="4:23" ht="15" customHeight="1">
      <c r="D431" s="85" t="str">
        <f xml:space="preserve"> '2.1 Model setup'!K81</f>
        <v>5.2 Øvrige omkostninger</v>
      </c>
      <c r="K431" s="5" t="s">
        <v>4</v>
      </c>
      <c r="L431" s="264">
        <f t="shared" si="61"/>
        <v>0</v>
      </c>
      <c r="O431" s="202"/>
      <c r="P431" s="202"/>
      <c r="Q431" s="202"/>
      <c r="R431" s="181">
        <f xml:space="preserve"> IF( $N363 = '2.1 Model setup'!$K$57, R244, 0 )</f>
        <v>0</v>
      </c>
      <c r="S431" s="181">
        <f xml:space="preserve"> IF( $N363 = '2.1 Model setup'!$K$57, S244, 0 )</f>
        <v>0</v>
      </c>
      <c r="T431" s="181">
        <f xml:space="preserve"> IF( $N363 = '2.1 Model setup'!$K$57, T244, 0 )</f>
        <v>0</v>
      </c>
      <c r="U431" s="181">
        <f xml:space="preserve"> IF( $N363 = '2.1 Model setup'!$K$57, U244, 0 )</f>
        <v>0</v>
      </c>
      <c r="V431" s="181">
        <f xml:space="preserve"> IF( $N363 = '2.1 Model setup'!$K$57, V244, 0 )</f>
        <v>0</v>
      </c>
      <c r="W431" s="198">
        <f t="shared" si="62"/>
        <v>0</v>
      </c>
    </row>
    <row r="432" spans="4:23" ht="15" customHeight="1">
      <c r="D432" s="85" t="str">
        <f xml:space="preserve"> '2.1 Model setup'!K82</f>
        <v>6.1 Afskrivninger på transformerstationer</v>
      </c>
      <c r="K432" s="5" t="s">
        <v>4</v>
      </c>
      <c r="L432" s="202"/>
      <c r="O432" s="202"/>
      <c r="P432" s="202"/>
      <c r="Q432" s="202"/>
      <c r="R432" s="181">
        <f xml:space="preserve"> IF( $N364 = '2.1 Model setup'!$K$57, R245, 0 )</f>
        <v>0</v>
      </c>
      <c r="S432" s="181">
        <f xml:space="preserve"> IF( $N364 = '2.1 Model setup'!$K$57, S245, 0 )</f>
        <v>0</v>
      </c>
      <c r="T432" s="181">
        <f xml:space="preserve"> IF( $N364 = '2.1 Model setup'!$K$57, T245, 0 )</f>
        <v>0</v>
      </c>
      <c r="U432" s="181">
        <f xml:space="preserve"> IF( $N364 = '2.1 Model setup'!$K$57, U245, 0 )</f>
        <v>0</v>
      </c>
      <c r="V432" s="181">
        <f xml:space="preserve"> IF( $N364 = '2.1 Model setup'!$K$57, V245, 0 )</f>
        <v>0</v>
      </c>
      <c r="W432" s="198">
        <f t="shared" si="62"/>
        <v>0</v>
      </c>
    </row>
    <row r="433" spans="4:23" ht="15" customHeight="1">
      <c r="D433" s="85" t="str">
        <f xml:space="preserve"> '2.1 Model setup'!K83</f>
        <v>6.2 Afskrivninger på netaktiver ekskl. målere og transformerstationer</v>
      </c>
      <c r="K433" s="5" t="s">
        <v>4</v>
      </c>
      <c r="L433" s="202"/>
      <c r="O433" s="202"/>
      <c r="P433" s="202"/>
      <c r="Q433" s="202"/>
      <c r="R433" s="181">
        <f xml:space="preserve"> IF( $N365 = '2.1 Model setup'!$K$57, R246, 0 )</f>
        <v>0</v>
      </c>
      <c r="S433" s="181">
        <f xml:space="preserve"> IF( $N365 = '2.1 Model setup'!$K$57, S246, 0 )</f>
        <v>0</v>
      </c>
      <c r="T433" s="181">
        <f xml:space="preserve"> IF( $N365 = '2.1 Model setup'!$K$57, T246, 0 )</f>
        <v>0</v>
      </c>
      <c r="U433" s="181">
        <f xml:space="preserve"> IF( $N365 = '2.1 Model setup'!$K$57, U246, 0 )</f>
        <v>0</v>
      </c>
      <c r="V433" s="181">
        <f xml:space="preserve"> IF( $N365 = '2.1 Model setup'!$K$57, V246, 0 )</f>
        <v>0</v>
      </c>
      <c r="W433" s="198">
        <f t="shared" si="62"/>
        <v>0</v>
      </c>
    </row>
    <row r="434" spans="4:23" ht="15" customHeight="1">
      <c r="D434" s="99" t="str">
        <f xml:space="preserve"> '2.1 Model setup'!K84</f>
        <v>6.3 Afskrivninger på målere</v>
      </c>
      <c r="E434" s="27"/>
      <c r="F434" s="27"/>
      <c r="G434" s="27"/>
      <c r="H434" s="27"/>
      <c r="I434" s="27"/>
      <c r="J434" s="27"/>
      <c r="K434" s="32" t="s">
        <v>4</v>
      </c>
      <c r="L434" s="265">
        <f xml:space="preserve"> -- ( IF( COUNTIF( R434:V434, "&lt;&gt;0" ) = 0, 0, ROUND( SUM( R434:V434 ), 5 ) &lt;&gt; 100% ) )</f>
        <v>0</v>
      </c>
      <c r="M434" s="27"/>
      <c r="N434" s="27"/>
      <c r="O434" s="269"/>
      <c r="P434" s="269"/>
      <c r="Q434" s="269"/>
      <c r="R434" s="182">
        <f xml:space="preserve"> IF( $N366 = '2.1 Model setup'!$K$57, R247, 0 )</f>
        <v>0</v>
      </c>
      <c r="S434" s="182">
        <f xml:space="preserve"> IF( $N366 = '2.1 Model setup'!$K$57, S247, 0 )</f>
        <v>0</v>
      </c>
      <c r="T434" s="182">
        <f xml:space="preserve"> IF( $N366 = '2.1 Model setup'!$K$57, T247, 0 )</f>
        <v>0</v>
      </c>
      <c r="U434" s="182">
        <f xml:space="preserve"> IF( $N366 = '2.1 Model setup'!$K$57, U247, 0 )</f>
        <v>0</v>
      </c>
      <c r="V434" s="182">
        <f xml:space="preserve"> IF( $N366 = '2.1 Model setup'!$K$57, V247, 0 )</f>
        <v>0</v>
      </c>
      <c r="W434" s="199">
        <f t="shared" si="62"/>
        <v>0</v>
      </c>
    </row>
    <row r="435" spans="4:23" ht="15" customHeight="1">
      <c r="L435" s="231"/>
    </row>
    <row r="436" spans="4:23" ht="15" customHeight="1">
      <c r="D436" s="4" t="s">
        <v>489</v>
      </c>
      <c r="L436" s="231"/>
      <c r="W436" s="185" t="s">
        <v>16</v>
      </c>
    </row>
    <row r="437" spans="4:23" ht="15" customHeight="1">
      <c r="D437" s="123" t="str">
        <f xml:space="preserve"> '2.1 Model setup'!K70</f>
        <v>1.1 Drift og vedligeholdelse af transformerstationer</v>
      </c>
      <c r="E437" s="15"/>
      <c r="F437" s="15"/>
      <c r="G437" s="15"/>
      <c r="H437" s="15"/>
      <c r="I437" s="15"/>
      <c r="J437" s="15"/>
      <c r="K437" s="19" t="s">
        <v>4</v>
      </c>
      <c r="L437" s="263">
        <f xml:space="preserve"> -- ( IF( COUNTIF( R437:V437, "&lt;&gt;0" ) = 0, 0, ROUND( SUM( R437:V437 ), 5 ) &lt;&gt; 100% ) )</f>
        <v>0</v>
      </c>
      <c r="M437" s="15"/>
      <c r="N437" s="15"/>
      <c r="O437" s="274"/>
      <c r="P437" s="274"/>
      <c r="Q437" s="274"/>
      <c r="R437" s="180">
        <f xml:space="preserve"> IF( $N352 = '2.1 Model setup'!$K$58, R250, 0 )</f>
        <v>0</v>
      </c>
      <c r="S437" s="180">
        <f xml:space="preserve"> IF( $N352 = '2.1 Model setup'!$K$58, S250, 0 )</f>
        <v>0</v>
      </c>
      <c r="T437" s="180">
        <f xml:space="preserve"> IF( $N352 = '2.1 Model setup'!$K$58, T250, 0 )</f>
        <v>0</v>
      </c>
      <c r="U437" s="180">
        <f xml:space="preserve"> IF( $N352 = '2.1 Model setup'!$K$58, U250, 0 )</f>
        <v>0</v>
      </c>
      <c r="V437" s="180">
        <f xml:space="preserve"> IF( $N352 = '2.1 Model setup'!$K$58, V250, 0 )</f>
        <v>0</v>
      </c>
      <c r="W437" s="354">
        <f xml:space="preserve"> SUM( R437:V437 )</f>
        <v>0</v>
      </c>
    </row>
    <row r="438" spans="4:23" ht="15" customHeight="1">
      <c r="D438" s="85" t="str">
        <f xml:space="preserve"> '2.1 Model setup'!K71</f>
        <v>1.2 Drift og vedligeholdelse af ledningsnet</v>
      </c>
      <c r="K438" s="5" t="s">
        <v>4</v>
      </c>
      <c r="L438" s="264">
        <f t="shared" ref="L438:L448" si="63" xml:space="preserve"> -- ( IF( COUNTIF( R438:V438, "&lt;&gt;0" ) = 0, 0, ROUND( SUM( R438:V438 ), 5 ) &lt;&gt; 100% ) )</f>
        <v>0</v>
      </c>
      <c r="O438" s="202"/>
      <c r="P438" s="202"/>
      <c r="Q438" s="202"/>
      <c r="R438" s="181">
        <f xml:space="preserve"> IF( $N353 = '2.1 Model setup'!$K$58, R251, 0 )</f>
        <v>0</v>
      </c>
      <c r="S438" s="181">
        <f xml:space="preserve"> IF( $N353 = '2.1 Model setup'!$K$58, S251, 0 )</f>
        <v>0</v>
      </c>
      <c r="T438" s="181">
        <f xml:space="preserve"> IF( $N353 = '2.1 Model setup'!$K$58, T251, 0 )</f>
        <v>0</v>
      </c>
      <c r="U438" s="181">
        <f xml:space="preserve"> IF( $N353 = '2.1 Model setup'!$K$58, U251, 0 )</f>
        <v>0</v>
      </c>
      <c r="V438" s="181">
        <f xml:space="preserve"> IF( $N353 = '2.1 Model setup'!$K$58, V251, 0 )</f>
        <v>0</v>
      </c>
      <c r="W438" s="198">
        <f t="shared" ref="W438:W451" si="64" xml:space="preserve"> SUM( R438:V438 )</f>
        <v>0</v>
      </c>
    </row>
    <row r="439" spans="4:23" ht="15" customHeight="1">
      <c r="D439" s="85" t="str">
        <f xml:space="preserve"> '2.1 Model setup'!K72</f>
        <v>1.3 Øvrige omkostninger til drift, styring og kontrol af elnettet</v>
      </c>
      <c r="K439" s="5" t="s">
        <v>4</v>
      </c>
      <c r="L439" s="264">
        <f t="shared" si="63"/>
        <v>0</v>
      </c>
      <c r="O439" s="202"/>
      <c r="P439" s="202"/>
      <c r="Q439" s="202"/>
      <c r="R439" s="181">
        <f xml:space="preserve"> IF( $N354 = '2.1 Model setup'!$K$58, R252, 0 )</f>
        <v>0</v>
      </c>
      <c r="S439" s="181">
        <f xml:space="preserve"> IF( $N354 = '2.1 Model setup'!$K$58, S252, 0 )</f>
        <v>0</v>
      </c>
      <c r="T439" s="181">
        <f xml:space="preserve"> IF( $N354 = '2.1 Model setup'!$K$58, T252, 0 )</f>
        <v>0</v>
      </c>
      <c r="U439" s="181">
        <f xml:space="preserve"> IF( $N354 = '2.1 Model setup'!$K$58, U252, 0 )</f>
        <v>0</v>
      </c>
      <c r="V439" s="181">
        <f xml:space="preserve"> IF( $N354 = '2.1 Model setup'!$K$58, V252, 0 )</f>
        <v>0</v>
      </c>
      <c r="W439" s="198">
        <f t="shared" si="64"/>
        <v>0</v>
      </c>
    </row>
    <row r="440" spans="4:23" ht="15" customHeight="1">
      <c r="D440" s="85" t="str">
        <f xml:space="preserve"> '2.1 Model setup'!K73</f>
        <v>1.4 Omkostninger vedrørende 132-150/30-60 kV-stationer</v>
      </c>
      <c r="K440" s="5" t="s">
        <v>4</v>
      </c>
      <c r="L440" s="264">
        <f xml:space="preserve"> -- ( IF( COUNTIF( R440:V440, "&lt;&gt;0" ) = 0, 0, ROUND( SUM( R440:V440 ), 5 ) &lt;&gt; 100% ) )</f>
        <v>0</v>
      </c>
      <c r="O440" s="202"/>
      <c r="P440" s="202"/>
      <c r="Q440" s="202"/>
      <c r="R440" s="181">
        <f xml:space="preserve"> IF( $N355 = '2.1 Model setup'!$K$58, R253, 0 )</f>
        <v>0</v>
      </c>
      <c r="S440" s="181">
        <f xml:space="preserve"> IF( $N355 = '2.1 Model setup'!$K$58, S253, 0 )</f>
        <v>0</v>
      </c>
      <c r="T440" s="181">
        <f xml:space="preserve"> IF( $N355 = '2.1 Model setup'!$K$58, T253, 0 )</f>
        <v>0</v>
      </c>
      <c r="U440" s="181">
        <f xml:space="preserve"> IF( $N355 = '2.1 Model setup'!$K$58, U253, 0 )</f>
        <v>0</v>
      </c>
      <c r="V440" s="181">
        <f xml:space="preserve"> IF( $N355 = '2.1 Model setup'!$K$58, V253, 0 )</f>
        <v>0</v>
      </c>
      <c r="W440" s="198">
        <f xml:space="preserve"> SUM( R440:V440 )</f>
        <v>0</v>
      </c>
    </row>
    <row r="441" spans="4:23" ht="15" customHeight="1">
      <c r="D441" s="85" t="str">
        <f xml:space="preserve"> '2.1 Model setup'!K74</f>
        <v>2.1 Drift og vedligeholdelse af målere</v>
      </c>
      <c r="K441" s="5" t="s">
        <v>4</v>
      </c>
      <c r="L441" s="264">
        <f t="shared" si="63"/>
        <v>0</v>
      </c>
      <c r="O441" s="202"/>
      <c r="P441" s="202"/>
      <c r="Q441" s="202"/>
      <c r="R441" s="181">
        <f xml:space="preserve"> IF( $N356 = '2.1 Model setup'!$K$58, R254, 0 )</f>
        <v>0</v>
      </c>
      <c r="S441" s="181">
        <f xml:space="preserve"> IF( $N356 = '2.1 Model setup'!$K$58, S254, 0 )</f>
        <v>0</v>
      </c>
      <c r="T441" s="181">
        <f xml:space="preserve"> IF( $N356 = '2.1 Model setup'!$K$58, T254, 0 )</f>
        <v>0</v>
      </c>
      <c r="U441" s="181">
        <f xml:space="preserve"> IF( $N356 = '2.1 Model setup'!$K$58, U254, 0 )</f>
        <v>0</v>
      </c>
      <c r="V441" s="181">
        <f xml:space="preserve"> IF( $N356 = '2.1 Model setup'!$K$58, V254, 0 )</f>
        <v>0</v>
      </c>
      <c r="W441" s="198">
        <f t="shared" si="64"/>
        <v>0</v>
      </c>
    </row>
    <row r="442" spans="4:23" ht="15" customHeight="1">
      <c r="D442" s="85" t="str">
        <f xml:space="preserve"> '2.1 Model setup'!K75</f>
        <v>2.2 Indhentning og validering af målerdata</v>
      </c>
      <c r="K442" s="5" t="s">
        <v>4</v>
      </c>
      <c r="L442" s="264">
        <f t="shared" si="63"/>
        <v>0</v>
      </c>
      <c r="O442" s="202"/>
      <c r="P442" s="202"/>
      <c r="Q442" s="202"/>
      <c r="R442" s="181">
        <f xml:space="preserve"> IF( $N357 = '2.1 Model setup'!$K$58, R255, 0 )</f>
        <v>0</v>
      </c>
      <c r="S442" s="181">
        <f xml:space="preserve"> IF( $N357 = '2.1 Model setup'!$K$58, S255, 0 )</f>
        <v>0</v>
      </c>
      <c r="T442" s="181">
        <f xml:space="preserve"> IF( $N357 = '2.1 Model setup'!$K$58, T255, 0 )</f>
        <v>0</v>
      </c>
      <c r="U442" s="181">
        <f xml:space="preserve"> IF( $N357 = '2.1 Model setup'!$K$58, U255, 0 )</f>
        <v>0</v>
      </c>
      <c r="V442" s="181">
        <f xml:space="preserve"> IF( $N357 = '2.1 Model setup'!$K$58, V255, 0 )</f>
        <v>0</v>
      </c>
      <c r="W442" s="198">
        <f t="shared" si="64"/>
        <v>0</v>
      </c>
    </row>
    <row r="443" spans="4:23" ht="15" customHeight="1">
      <c r="D443" s="85" t="str">
        <f xml:space="preserve"> '2.1 Model setup'!K76</f>
        <v>2.3 Måleradministration og kundehåndtering</v>
      </c>
      <c r="K443" s="5" t="s">
        <v>4</v>
      </c>
      <c r="L443" s="264">
        <f t="shared" si="63"/>
        <v>0</v>
      </c>
      <c r="O443" s="202"/>
      <c r="P443" s="202"/>
      <c r="Q443" s="202"/>
      <c r="R443" s="181">
        <f xml:space="preserve"> IF( $N358 = '2.1 Model setup'!$K$58, R256, 0 )</f>
        <v>0</v>
      </c>
      <c r="S443" s="181">
        <f xml:space="preserve"> IF( $N358 = '2.1 Model setup'!$K$58, S256, 0 )</f>
        <v>0</v>
      </c>
      <c r="T443" s="181">
        <f xml:space="preserve"> IF( $N358 = '2.1 Model setup'!$K$58, T256, 0 )</f>
        <v>0</v>
      </c>
      <c r="U443" s="181">
        <f xml:space="preserve"> IF( $N358 = '2.1 Model setup'!$K$58, U256, 0 )</f>
        <v>0</v>
      </c>
      <c r="V443" s="181">
        <f xml:space="preserve"> IF( $N358 = '2.1 Model setup'!$K$58, V256, 0 )</f>
        <v>0</v>
      </c>
      <c r="W443" s="198">
        <f t="shared" si="64"/>
        <v>0</v>
      </c>
    </row>
    <row r="444" spans="4:23" ht="15" customHeight="1">
      <c r="D444" s="85" t="str">
        <f xml:space="preserve"> '2.1 Model setup'!K77</f>
        <v>3.1 Generel administration</v>
      </c>
      <c r="K444" s="5" t="s">
        <v>4</v>
      </c>
      <c r="L444" s="264">
        <f t="shared" si="63"/>
        <v>0</v>
      </c>
      <c r="O444" s="202"/>
      <c r="P444" s="202"/>
      <c r="Q444" s="202"/>
      <c r="R444" s="181">
        <f xml:space="preserve"> IF( $N359 = '2.1 Model setup'!$K$58, R257, 0 )</f>
        <v>0</v>
      </c>
      <c r="S444" s="181">
        <f xml:space="preserve"> IF( $N359 = '2.1 Model setup'!$K$58, S257, 0 )</f>
        <v>0</v>
      </c>
      <c r="T444" s="181">
        <f xml:space="preserve"> IF( $N359 = '2.1 Model setup'!$K$58, T257, 0 )</f>
        <v>0</v>
      </c>
      <c r="U444" s="181">
        <f xml:space="preserve"> IF( $N359 = '2.1 Model setup'!$K$58, U257, 0 )</f>
        <v>0</v>
      </c>
      <c r="V444" s="181">
        <f xml:space="preserve"> IF( $N359 = '2.1 Model setup'!$K$58, V257, 0 )</f>
        <v>0</v>
      </c>
      <c r="W444" s="198">
        <f t="shared" si="64"/>
        <v>0</v>
      </c>
    </row>
    <row r="445" spans="4:23" ht="15" customHeight="1">
      <c r="D445" s="85" t="str">
        <f xml:space="preserve"> '2.1 Model setup'!K78</f>
        <v>4.1 Omkostninger vedrørende nettab i transformerstationer</v>
      </c>
      <c r="K445" s="5" t="s">
        <v>4</v>
      </c>
      <c r="L445" s="264">
        <f t="shared" si="63"/>
        <v>0</v>
      </c>
      <c r="O445" s="202"/>
      <c r="P445" s="202"/>
      <c r="Q445" s="202"/>
      <c r="R445" s="181">
        <f xml:space="preserve"> IF( $N360 = '2.1 Model setup'!$K$58, R258, 0 )</f>
        <v>0</v>
      </c>
      <c r="S445" s="181">
        <f xml:space="preserve"> IF( $N360 = '2.1 Model setup'!$K$58, S258, 0 )</f>
        <v>0</v>
      </c>
      <c r="T445" s="181">
        <f xml:space="preserve"> IF( $N360 = '2.1 Model setup'!$K$58, T258, 0 )</f>
        <v>0</v>
      </c>
      <c r="U445" s="181">
        <f xml:space="preserve"> IF( $N360 = '2.1 Model setup'!$K$58, U258, 0 )</f>
        <v>0</v>
      </c>
      <c r="V445" s="181">
        <f xml:space="preserve"> IF( $N360 = '2.1 Model setup'!$K$58, V258, 0 )</f>
        <v>0</v>
      </c>
      <c r="W445" s="198">
        <f t="shared" si="64"/>
        <v>0</v>
      </c>
    </row>
    <row r="446" spans="4:23" ht="15" customHeight="1">
      <c r="D446" s="85" t="str">
        <f xml:space="preserve"> '2.1 Model setup'!K79</f>
        <v>4.2 Omkostninger vedrørende nettab i ledningsnettet</v>
      </c>
      <c r="K446" s="5" t="s">
        <v>4</v>
      </c>
      <c r="L446" s="264">
        <f t="shared" si="63"/>
        <v>0</v>
      </c>
      <c r="O446" s="202"/>
      <c r="P446" s="202"/>
      <c r="Q446" s="202"/>
      <c r="R446" s="181">
        <f xml:space="preserve"> IF( $N361 = '2.1 Model setup'!$K$58, R259, 0 )</f>
        <v>0</v>
      </c>
      <c r="S446" s="181">
        <f xml:space="preserve"> IF( $N361 = '2.1 Model setup'!$K$58, S259, 0 )</f>
        <v>0</v>
      </c>
      <c r="T446" s="181">
        <f xml:space="preserve"> IF( $N361 = '2.1 Model setup'!$K$58, T259, 0 )</f>
        <v>0</v>
      </c>
      <c r="U446" s="181">
        <f xml:space="preserve"> IF( $N361 = '2.1 Model setup'!$K$58, U259, 0 )</f>
        <v>0</v>
      </c>
      <c r="V446" s="181">
        <f xml:space="preserve"> IF( $N361 = '2.1 Model setup'!$K$58, V259, 0 )</f>
        <v>0</v>
      </c>
      <c r="W446" s="198">
        <f t="shared" si="64"/>
        <v>0</v>
      </c>
    </row>
    <row r="447" spans="4:23" ht="15" customHeight="1">
      <c r="D447" s="85" t="str">
        <f xml:space="preserve"> '2.1 Model setup'!K80</f>
        <v>5.1 Omkostninger til overliggende net ifm. forbrug</v>
      </c>
      <c r="K447" s="5" t="s">
        <v>4</v>
      </c>
      <c r="L447" s="264">
        <f xml:space="preserve"> -- ( IF( COUNTIF( R447:V447, "&lt;&gt;0" ) = 0, 0, ROUND( SUM( R447:V447 ), 5 ) &lt;&gt; 100% ) )</f>
        <v>0</v>
      </c>
      <c r="O447" s="202"/>
      <c r="P447" s="202"/>
      <c r="Q447" s="202"/>
      <c r="R447" s="181">
        <f xml:space="preserve"> IF( $N362 = '2.1 Model setup'!$K$58, R260, 0 )</f>
        <v>0</v>
      </c>
      <c r="S447" s="181">
        <f xml:space="preserve"> IF( $N362 = '2.1 Model setup'!$K$58, S260, 0 )</f>
        <v>0</v>
      </c>
      <c r="T447" s="181">
        <f xml:space="preserve"> IF( $N362 = '2.1 Model setup'!$K$58, T260, 0 )</f>
        <v>0</v>
      </c>
      <c r="U447" s="181">
        <f xml:space="preserve"> IF( $N362 = '2.1 Model setup'!$K$58, U260, 0 )</f>
        <v>0</v>
      </c>
      <c r="V447" s="181">
        <f xml:space="preserve"> IF( $N362 = '2.1 Model setup'!$K$58, V260, 0 )</f>
        <v>0</v>
      </c>
      <c r="W447" s="198">
        <f xml:space="preserve"> SUM( R447:V447 )</f>
        <v>0</v>
      </c>
    </row>
    <row r="448" spans="4:23" ht="15" customHeight="1">
      <c r="D448" s="85" t="str">
        <f xml:space="preserve"> '2.1 Model setup'!K81</f>
        <v>5.2 Øvrige omkostninger</v>
      </c>
      <c r="K448" s="5" t="s">
        <v>4</v>
      </c>
      <c r="L448" s="264">
        <f t="shared" si="63"/>
        <v>0</v>
      </c>
      <c r="O448" s="202"/>
      <c r="P448" s="202"/>
      <c r="Q448" s="202"/>
      <c r="R448" s="181">
        <f xml:space="preserve"> IF( $N363 = '2.1 Model setup'!$K$58, R261, 0 )</f>
        <v>0</v>
      </c>
      <c r="S448" s="181">
        <f xml:space="preserve"> IF( $N363 = '2.1 Model setup'!$K$58, S261, 0 )</f>
        <v>0</v>
      </c>
      <c r="T448" s="181">
        <f xml:space="preserve"> IF( $N363 = '2.1 Model setup'!$K$58, T261, 0 )</f>
        <v>0</v>
      </c>
      <c r="U448" s="181">
        <f xml:space="preserve"> IF( $N363 = '2.1 Model setup'!$K$58, U261, 0 )</f>
        <v>0</v>
      </c>
      <c r="V448" s="181">
        <f xml:space="preserve"> IF( $N363 = '2.1 Model setup'!$K$58, V261, 0 )</f>
        <v>0</v>
      </c>
      <c r="W448" s="198">
        <f t="shared" si="64"/>
        <v>0</v>
      </c>
    </row>
    <row r="449" spans="4:23" ht="15" customHeight="1">
      <c r="D449" s="85" t="str">
        <f xml:space="preserve"> '2.1 Model setup'!K82</f>
        <v>6.1 Afskrivninger på transformerstationer</v>
      </c>
      <c r="K449" s="5" t="s">
        <v>4</v>
      </c>
      <c r="L449" s="202"/>
      <c r="O449" s="202"/>
      <c r="P449" s="202"/>
      <c r="Q449" s="202"/>
      <c r="R449" s="181">
        <f xml:space="preserve"> IF( $N364 = '2.1 Model setup'!$K$58, R262, 0 )</f>
        <v>0</v>
      </c>
      <c r="S449" s="181">
        <f xml:space="preserve"> IF( $N364 = '2.1 Model setup'!$K$58, S262, 0 )</f>
        <v>0</v>
      </c>
      <c r="T449" s="181">
        <f xml:space="preserve"> IF( $N364 = '2.1 Model setup'!$K$58, T262, 0 )</f>
        <v>0</v>
      </c>
      <c r="U449" s="181">
        <f xml:space="preserve"> IF( $N364 = '2.1 Model setup'!$K$58, U262, 0 )</f>
        <v>0</v>
      </c>
      <c r="V449" s="181">
        <f xml:space="preserve"> IF( $N364 = '2.1 Model setup'!$K$58, V262, 0 )</f>
        <v>0</v>
      </c>
      <c r="W449" s="198">
        <f t="shared" si="64"/>
        <v>0</v>
      </c>
    </row>
    <row r="450" spans="4:23" ht="15" customHeight="1">
      <c r="D450" s="85" t="str">
        <f xml:space="preserve"> '2.1 Model setup'!K83</f>
        <v>6.2 Afskrivninger på netaktiver ekskl. målere og transformerstationer</v>
      </c>
      <c r="K450" s="5" t="s">
        <v>4</v>
      </c>
      <c r="L450" s="202"/>
      <c r="O450" s="202"/>
      <c r="P450" s="202"/>
      <c r="Q450" s="202"/>
      <c r="R450" s="181">
        <f xml:space="preserve"> IF( $N365 = '2.1 Model setup'!$K$58, R263, 0 )</f>
        <v>0</v>
      </c>
      <c r="S450" s="181">
        <f xml:space="preserve"> IF( $N365 = '2.1 Model setup'!$K$58, S263, 0 )</f>
        <v>0</v>
      </c>
      <c r="T450" s="181">
        <f xml:space="preserve"> IF( $N365 = '2.1 Model setup'!$K$58, T263, 0 )</f>
        <v>0</v>
      </c>
      <c r="U450" s="181">
        <f xml:space="preserve"> IF( $N365 = '2.1 Model setup'!$K$58, U263, 0 )</f>
        <v>0</v>
      </c>
      <c r="V450" s="181">
        <f xml:space="preserve"> IF( $N365 = '2.1 Model setup'!$K$58, V263, 0 )</f>
        <v>0</v>
      </c>
      <c r="W450" s="198">
        <f t="shared" si="64"/>
        <v>0</v>
      </c>
    </row>
    <row r="451" spans="4:23" ht="15" customHeight="1">
      <c r="D451" s="99" t="str">
        <f xml:space="preserve"> '2.1 Model setup'!K84</f>
        <v>6.3 Afskrivninger på målere</v>
      </c>
      <c r="E451" s="27"/>
      <c r="F451" s="27"/>
      <c r="G451" s="27"/>
      <c r="H451" s="27"/>
      <c r="I451" s="27"/>
      <c r="J451" s="27"/>
      <c r="K451" s="32" t="s">
        <v>4</v>
      </c>
      <c r="L451" s="265">
        <f xml:space="preserve"> -- ( IF( COUNTIF( R451:V451, "&lt;&gt;0" ) = 0, 0, ROUND( SUM( R451:V451 ), 5 ) &lt;&gt; 100% ) )</f>
        <v>0</v>
      </c>
      <c r="M451" s="27"/>
      <c r="N451" s="27"/>
      <c r="O451" s="269"/>
      <c r="P451" s="269"/>
      <c r="Q451" s="269"/>
      <c r="R451" s="182">
        <f xml:space="preserve"> IF( $N366 = '2.1 Model setup'!$K$58, R264, 0 )</f>
        <v>0</v>
      </c>
      <c r="S451" s="182">
        <f xml:space="preserve"> IF( $N366 = '2.1 Model setup'!$K$58, S264, 0 )</f>
        <v>0</v>
      </c>
      <c r="T451" s="182">
        <f xml:space="preserve"> IF( $N366 = '2.1 Model setup'!$K$58, T264, 0 )</f>
        <v>0</v>
      </c>
      <c r="U451" s="182">
        <f xml:space="preserve"> IF( $N366 = '2.1 Model setup'!$K$58, U264, 0 )</f>
        <v>0</v>
      </c>
      <c r="V451" s="182">
        <f xml:space="preserve"> IF( $N366 = '2.1 Model setup'!$K$58, V264, 0 )</f>
        <v>0</v>
      </c>
      <c r="W451" s="199">
        <f t="shared" si="64"/>
        <v>0</v>
      </c>
    </row>
    <row r="452" spans="4:23" ht="15" customHeight="1">
      <c r="L452" s="231"/>
    </row>
    <row r="453" spans="4:23" ht="15" customHeight="1">
      <c r="D453" s="4" t="s">
        <v>464</v>
      </c>
      <c r="L453" s="231"/>
      <c r="W453" s="185" t="s">
        <v>16</v>
      </c>
    </row>
    <row r="454" spans="4:23" ht="15" customHeight="1">
      <c r="D454" s="123" t="str">
        <f xml:space="preserve"> '2.1 Model setup'!K70</f>
        <v>1.1 Drift og vedligeholdelse af transformerstationer</v>
      </c>
      <c r="E454" s="15"/>
      <c r="F454" s="15"/>
      <c r="G454" s="15"/>
      <c r="H454" s="15"/>
      <c r="I454" s="15"/>
      <c r="J454" s="15"/>
      <c r="K454" s="19" t="s">
        <v>4</v>
      </c>
      <c r="L454" s="263">
        <f xml:space="preserve"> -- ( IF( COUNTIF( R454:V454, "&lt;&gt;0" ) = 0, 0, ROUND( SUM( R454:V454 ), 5 ) &lt;&gt; 100% ) )</f>
        <v>0</v>
      </c>
      <c r="M454" s="15"/>
      <c r="N454" s="15"/>
      <c r="O454" s="274"/>
      <c r="P454" s="274"/>
      <c r="Q454" s="274"/>
      <c r="R454" s="180">
        <f xml:space="preserve"> IF( $N352 = '2.1 Model setup'!$K$59, R267, 0 )</f>
        <v>0</v>
      </c>
      <c r="S454" s="180">
        <f xml:space="preserve"> IF( $N352 = '2.1 Model setup'!$K$59, S267, 0 )</f>
        <v>0</v>
      </c>
      <c r="T454" s="180">
        <f xml:space="preserve"> IF( $N352 = '2.1 Model setup'!$K$59, T267, 0 )</f>
        <v>0</v>
      </c>
      <c r="U454" s="180">
        <f xml:space="preserve"> IF( $N352 = '2.1 Model setup'!$K$59, U267, 0 )</f>
        <v>0</v>
      </c>
      <c r="V454" s="180">
        <f xml:space="preserve"> IF( $N352 = '2.1 Model setup'!$K$59, V267, 0 )</f>
        <v>0</v>
      </c>
      <c r="W454" s="354">
        <f xml:space="preserve"> SUM( R454:V454 )</f>
        <v>0</v>
      </c>
    </row>
    <row r="455" spans="4:23" ht="15" customHeight="1">
      <c r="D455" s="85" t="str">
        <f xml:space="preserve"> '2.1 Model setup'!K71</f>
        <v>1.2 Drift og vedligeholdelse af ledningsnet</v>
      </c>
      <c r="K455" s="5" t="s">
        <v>4</v>
      </c>
      <c r="L455" s="264">
        <f t="shared" ref="L455:L465" si="65" xml:space="preserve"> -- ( IF( COUNTIF( R455:V455, "&lt;&gt;0" ) = 0, 0, ROUND( SUM( R455:V455 ), 5 ) &lt;&gt; 100% ) )</f>
        <v>0</v>
      </c>
      <c r="O455" s="202"/>
      <c r="P455" s="202"/>
      <c r="Q455" s="202"/>
      <c r="R455" s="181">
        <f xml:space="preserve"> IF( $N353 = '2.1 Model setup'!$K$59, R268, 0 )</f>
        <v>0</v>
      </c>
      <c r="S455" s="181">
        <f xml:space="preserve"> IF( $N353 = '2.1 Model setup'!$K$59, S268, 0 )</f>
        <v>0</v>
      </c>
      <c r="T455" s="181">
        <f xml:space="preserve"> IF( $N353 = '2.1 Model setup'!$K$59, T268, 0 )</f>
        <v>0</v>
      </c>
      <c r="U455" s="181">
        <f xml:space="preserve"> IF( $N353 = '2.1 Model setup'!$K$59, U268, 0 )</f>
        <v>0</v>
      </c>
      <c r="V455" s="181">
        <f xml:space="preserve"> IF( $N353 = '2.1 Model setup'!$K$59, V268, 0 )</f>
        <v>0</v>
      </c>
      <c r="W455" s="198">
        <f t="shared" ref="W455:W468" si="66" xml:space="preserve"> SUM( R455:V455 )</f>
        <v>0</v>
      </c>
    </row>
    <row r="456" spans="4:23" ht="15" customHeight="1">
      <c r="D456" s="85" t="str">
        <f xml:space="preserve"> '2.1 Model setup'!K72</f>
        <v>1.3 Øvrige omkostninger til drift, styring og kontrol af elnettet</v>
      </c>
      <c r="K456" s="5" t="s">
        <v>4</v>
      </c>
      <c r="L456" s="264">
        <f t="shared" si="65"/>
        <v>0</v>
      </c>
      <c r="O456" s="202"/>
      <c r="P456" s="202"/>
      <c r="Q456" s="202"/>
      <c r="R456" s="181">
        <f xml:space="preserve"> IF( $N354 = '2.1 Model setup'!$K$59, R269, 0 )</f>
        <v>0</v>
      </c>
      <c r="S456" s="181">
        <f xml:space="preserve"> IF( $N354 = '2.1 Model setup'!$K$59, S269, 0 )</f>
        <v>0</v>
      </c>
      <c r="T456" s="181">
        <f xml:space="preserve"> IF( $N354 = '2.1 Model setup'!$K$59, T269, 0 )</f>
        <v>0</v>
      </c>
      <c r="U456" s="181">
        <f xml:space="preserve"> IF( $N354 = '2.1 Model setup'!$K$59, U269, 0 )</f>
        <v>0</v>
      </c>
      <c r="V456" s="181">
        <f xml:space="preserve"> IF( $N354 = '2.1 Model setup'!$K$59, V269, 0 )</f>
        <v>0</v>
      </c>
      <c r="W456" s="198">
        <f t="shared" si="66"/>
        <v>0</v>
      </c>
    </row>
    <row r="457" spans="4:23" ht="15" customHeight="1">
      <c r="D457" s="85" t="str">
        <f xml:space="preserve"> '2.1 Model setup'!K73</f>
        <v>1.4 Omkostninger vedrørende 132-150/30-60 kV-stationer</v>
      </c>
      <c r="K457" s="5" t="s">
        <v>4</v>
      </c>
      <c r="L457" s="264">
        <f xml:space="preserve"> -- ( IF( COUNTIF( R457:V457, "&lt;&gt;0" ) = 0, 0, ROUND( SUM( R457:V457 ), 5 ) &lt;&gt; 100% ) )</f>
        <v>0</v>
      </c>
      <c r="O457" s="202"/>
      <c r="P457" s="202"/>
      <c r="Q457" s="202"/>
      <c r="R457" s="181">
        <f xml:space="preserve"> IF( $N355 = '2.1 Model setup'!$K$59, R270, 0 )</f>
        <v>0</v>
      </c>
      <c r="S457" s="181">
        <f xml:space="preserve"> IF( $N355 = '2.1 Model setup'!$K$59, S270, 0 )</f>
        <v>0</v>
      </c>
      <c r="T457" s="181">
        <f xml:space="preserve"> IF( $N355 = '2.1 Model setup'!$K$59, T270, 0 )</f>
        <v>0</v>
      </c>
      <c r="U457" s="181">
        <f xml:space="preserve"> IF( $N355 = '2.1 Model setup'!$K$59, U270, 0 )</f>
        <v>0</v>
      </c>
      <c r="V457" s="181">
        <f xml:space="preserve"> IF( $N355 = '2.1 Model setup'!$K$59, V270, 0 )</f>
        <v>0</v>
      </c>
      <c r="W457" s="198">
        <f xml:space="preserve"> SUM( R457:V457 )</f>
        <v>0</v>
      </c>
    </row>
    <row r="458" spans="4:23" ht="15" customHeight="1">
      <c r="D458" s="85" t="str">
        <f xml:space="preserve"> '2.1 Model setup'!K74</f>
        <v>2.1 Drift og vedligeholdelse af målere</v>
      </c>
      <c r="K458" s="5" t="s">
        <v>4</v>
      </c>
      <c r="L458" s="264">
        <f t="shared" si="65"/>
        <v>0</v>
      </c>
      <c r="O458" s="202"/>
      <c r="P458" s="202"/>
      <c r="Q458" s="202"/>
      <c r="R458" s="181">
        <f xml:space="preserve"> IF( $N356 = '2.1 Model setup'!$K$59, R271, 0 )</f>
        <v>0</v>
      </c>
      <c r="S458" s="181">
        <f xml:space="preserve"> IF( $N356 = '2.1 Model setup'!$K$59, S271, 0 )</f>
        <v>0</v>
      </c>
      <c r="T458" s="181">
        <f xml:space="preserve"> IF( $N356 = '2.1 Model setup'!$K$59, T271, 0 )</f>
        <v>0</v>
      </c>
      <c r="U458" s="181">
        <f xml:space="preserve"> IF( $N356 = '2.1 Model setup'!$K$59, U271, 0 )</f>
        <v>0</v>
      </c>
      <c r="V458" s="181">
        <f xml:space="preserve"> IF( $N356 = '2.1 Model setup'!$K$59, V271, 0 )</f>
        <v>0</v>
      </c>
      <c r="W458" s="198">
        <f t="shared" si="66"/>
        <v>0</v>
      </c>
    </row>
    <row r="459" spans="4:23" ht="15" customHeight="1">
      <c r="D459" s="85" t="str">
        <f xml:space="preserve"> '2.1 Model setup'!K75</f>
        <v>2.2 Indhentning og validering af målerdata</v>
      </c>
      <c r="K459" s="5" t="s">
        <v>4</v>
      </c>
      <c r="L459" s="264">
        <f xml:space="preserve"> -- ( IF( COUNTIF( R459:V459, "&lt;&gt;0" ) = 0, 0, ROUND( SUM( R459:V459 ), 5 ) &lt;&gt; 100% ) )</f>
        <v>0</v>
      </c>
      <c r="O459" s="202"/>
      <c r="P459" s="202"/>
      <c r="Q459" s="202"/>
      <c r="R459" s="181">
        <f xml:space="preserve"> IF( $N357 = '2.1 Model setup'!$K$59, R272, 0 )</f>
        <v>0</v>
      </c>
      <c r="S459" s="181">
        <f xml:space="preserve"> IF( $N357 = '2.1 Model setup'!$K$59, S272, 0 )</f>
        <v>0</v>
      </c>
      <c r="T459" s="181">
        <f xml:space="preserve"> IF( $N357 = '2.1 Model setup'!$K$59, T272, 0 )</f>
        <v>0</v>
      </c>
      <c r="U459" s="181">
        <f xml:space="preserve"> IF( $N357 = '2.1 Model setup'!$K$59, U272, 0 )</f>
        <v>0</v>
      </c>
      <c r="V459" s="181">
        <f xml:space="preserve"> IF( $N357 = '2.1 Model setup'!$K$59, V272, 0 )</f>
        <v>0</v>
      </c>
      <c r="W459" s="198">
        <f t="shared" si="66"/>
        <v>0</v>
      </c>
    </row>
    <row r="460" spans="4:23" ht="15" customHeight="1">
      <c r="D460" s="85" t="str">
        <f xml:space="preserve"> '2.1 Model setup'!K76</f>
        <v>2.3 Måleradministration og kundehåndtering</v>
      </c>
      <c r="K460" s="5" t="s">
        <v>4</v>
      </c>
      <c r="L460" s="264">
        <f t="shared" si="65"/>
        <v>0</v>
      </c>
      <c r="O460" s="202"/>
      <c r="P460" s="202"/>
      <c r="Q460" s="202"/>
      <c r="R460" s="181">
        <f xml:space="preserve"> IF( $N358 = '2.1 Model setup'!$K$59, R273, 0 )</f>
        <v>0</v>
      </c>
      <c r="S460" s="181">
        <f xml:space="preserve"> IF( $N358 = '2.1 Model setup'!$K$59, S273, 0 )</f>
        <v>0</v>
      </c>
      <c r="T460" s="181">
        <f xml:space="preserve"> IF( $N358 = '2.1 Model setup'!$K$59, T273, 0 )</f>
        <v>0</v>
      </c>
      <c r="U460" s="181">
        <f xml:space="preserve"> IF( $N358 = '2.1 Model setup'!$K$59, U273, 0 )</f>
        <v>0</v>
      </c>
      <c r="V460" s="181">
        <f xml:space="preserve"> IF( $N358 = '2.1 Model setup'!$K$59, V273, 0 )</f>
        <v>0</v>
      </c>
      <c r="W460" s="198">
        <f t="shared" si="66"/>
        <v>0</v>
      </c>
    </row>
    <row r="461" spans="4:23" ht="15" customHeight="1">
      <c r="D461" s="85" t="str">
        <f xml:space="preserve"> '2.1 Model setup'!K77</f>
        <v>3.1 Generel administration</v>
      </c>
      <c r="K461" s="5" t="s">
        <v>4</v>
      </c>
      <c r="L461" s="264">
        <f t="shared" si="65"/>
        <v>0</v>
      </c>
      <c r="O461" s="202"/>
      <c r="P461" s="202"/>
      <c r="Q461" s="202"/>
      <c r="R461" s="181">
        <f xml:space="preserve"> IF( $N359 = '2.1 Model setup'!$K$59, R274, 0 )</f>
        <v>0</v>
      </c>
      <c r="S461" s="181">
        <f xml:space="preserve"> IF( $N359 = '2.1 Model setup'!$K$59, S274, 0 )</f>
        <v>0</v>
      </c>
      <c r="T461" s="181">
        <f xml:space="preserve"> IF( $N359 = '2.1 Model setup'!$K$59, T274, 0 )</f>
        <v>0</v>
      </c>
      <c r="U461" s="181">
        <f xml:space="preserve"> IF( $N359 = '2.1 Model setup'!$K$59, U274, 0 )</f>
        <v>0</v>
      </c>
      <c r="V461" s="181">
        <f xml:space="preserve"> IF( $N359 = '2.1 Model setup'!$K$59, V274, 0 )</f>
        <v>0</v>
      </c>
      <c r="W461" s="198">
        <f t="shared" si="66"/>
        <v>0</v>
      </c>
    </row>
    <row r="462" spans="4:23" ht="15" customHeight="1">
      <c r="D462" s="85" t="str">
        <f xml:space="preserve"> '2.1 Model setup'!K78</f>
        <v>4.1 Omkostninger vedrørende nettab i transformerstationer</v>
      </c>
      <c r="K462" s="5" t="s">
        <v>4</v>
      </c>
      <c r="L462" s="264">
        <f t="shared" si="65"/>
        <v>0</v>
      </c>
      <c r="O462" s="202"/>
      <c r="P462" s="202"/>
      <c r="Q462" s="202"/>
      <c r="R462" s="181">
        <f xml:space="preserve"> IF( $N360 = '2.1 Model setup'!$K$59, R275, 0 )</f>
        <v>0</v>
      </c>
      <c r="S462" s="181">
        <f xml:space="preserve"> IF( $N360 = '2.1 Model setup'!$K$59, S275, 0 )</f>
        <v>0</v>
      </c>
      <c r="T462" s="181">
        <f xml:space="preserve"> IF( $N360 = '2.1 Model setup'!$K$59, T275, 0 )</f>
        <v>0</v>
      </c>
      <c r="U462" s="181">
        <f xml:space="preserve"> IF( $N360 = '2.1 Model setup'!$K$59, U275, 0 )</f>
        <v>0</v>
      </c>
      <c r="V462" s="181">
        <f xml:space="preserve"> IF( $N360 = '2.1 Model setup'!$K$59, V275, 0 )</f>
        <v>0</v>
      </c>
      <c r="W462" s="198">
        <f t="shared" si="66"/>
        <v>0</v>
      </c>
    </row>
    <row r="463" spans="4:23" ht="15" customHeight="1">
      <c r="D463" s="85" t="str">
        <f xml:space="preserve"> '2.1 Model setup'!K79</f>
        <v>4.2 Omkostninger vedrørende nettab i ledningsnettet</v>
      </c>
      <c r="K463" s="5" t="s">
        <v>4</v>
      </c>
      <c r="L463" s="264">
        <f t="shared" si="65"/>
        <v>0</v>
      </c>
      <c r="O463" s="202"/>
      <c r="P463" s="202"/>
      <c r="Q463" s="202"/>
      <c r="R463" s="181">
        <f xml:space="preserve"> IF( $N361 = '2.1 Model setup'!$K$59, R276, 0 )</f>
        <v>0</v>
      </c>
      <c r="S463" s="181">
        <f xml:space="preserve"> IF( $N361 = '2.1 Model setup'!$K$59, S276, 0 )</f>
        <v>0</v>
      </c>
      <c r="T463" s="181">
        <f xml:space="preserve"> IF( $N361 = '2.1 Model setup'!$K$59, T276, 0 )</f>
        <v>0</v>
      </c>
      <c r="U463" s="181">
        <f xml:space="preserve"> IF( $N361 = '2.1 Model setup'!$K$59, U276, 0 )</f>
        <v>0</v>
      </c>
      <c r="V463" s="181">
        <f xml:space="preserve"> IF( $N361 = '2.1 Model setup'!$K$59, V276, 0 )</f>
        <v>0</v>
      </c>
      <c r="W463" s="198">
        <f t="shared" si="66"/>
        <v>0</v>
      </c>
    </row>
    <row r="464" spans="4:23" ht="15" customHeight="1">
      <c r="D464" s="85" t="str">
        <f xml:space="preserve"> '2.1 Model setup'!K80</f>
        <v>5.1 Omkostninger til overliggende net ifm. forbrug</v>
      </c>
      <c r="K464" s="5" t="s">
        <v>4</v>
      </c>
      <c r="L464" s="264">
        <f xml:space="preserve"> -- ( IF( COUNTIF( R464:V464, "&lt;&gt;0" ) = 0, 0, ROUND( SUM( R464:V464 ), 5 ) &lt;&gt; 100% ) )</f>
        <v>0</v>
      </c>
      <c r="O464" s="202"/>
      <c r="P464" s="202"/>
      <c r="Q464" s="202"/>
      <c r="R464" s="181">
        <f xml:space="preserve"> IF( $N362 = '2.1 Model setup'!$K$59, R277, 0 )</f>
        <v>0</v>
      </c>
      <c r="S464" s="181">
        <f xml:space="preserve"> IF( $N362 = '2.1 Model setup'!$K$59, S277, 0 )</f>
        <v>0</v>
      </c>
      <c r="T464" s="181">
        <f xml:space="preserve"> IF( $N362 = '2.1 Model setup'!$K$59, T277, 0 )</f>
        <v>0</v>
      </c>
      <c r="U464" s="181">
        <f xml:space="preserve"> IF( $N362 = '2.1 Model setup'!$K$59, U277, 0 )</f>
        <v>0</v>
      </c>
      <c r="V464" s="181">
        <f xml:space="preserve"> IF( $N362 = '2.1 Model setup'!$K$59, V277, 0 )</f>
        <v>0</v>
      </c>
      <c r="W464" s="198">
        <f xml:space="preserve"> SUM( R464:V464 )</f>
        <v>0</v>
      </c>
    </row>
    <row r="465" spans="4:23" ht="15" customHeight="1">
      <c r="D465" s="85" t="str">
        <f xml:space="preserve"> '2.1 Model setup'!K81</f>
        <v>5.2 Øvrige omkostninger</v>
      </c>
      <c r="K465" s="5" t="s">
        <v>4</v>
      </c>
      <c r="L465" s="264">
        <f t="shared" si="65"/>
        <v>0</v>
      </c>
      <c r="O465" s="202"/>
      <c r="P465" s="202"/>
      <c r="Q465" s="202"/>
      <c r="R465" s="181">
        <f xml:space="preserve"> IF( $N363 = '2.1 Model setup'!$K$59, R278, 0 )</f>
        <v>0</v>
      </c>
      <c r="S465" s="181">
        <f xml:space="preserve"> IF( $N363 = '2.1 Model setup'!$K$59, S278, 0 )</f>
        <v>0</v>
      </c>
      <c r="T465" s="181">
        <f xml:space="preserve"> IF( $N363 = '2.1 Model setup'!$K$59, T278, 0 )</f>
        <v>0</v>
      </c>
      <c r="U465" s="181">
        <f xml:space="preserve"> IF( $N363 = '2.1 Model setup'!$K$59, U278, 0 )</f>
        <v>0</v>
      </c>
      <c r="V465" s="181">
        <f xml:space="preserve"> IF( $N363 = '2.1 Model setup'!$K$59, V278, 0 )</f>
        <v>0</v>
      </c>
      <c r="W465" s="198">
        <f t="shared" si="66"/>
        <v>0</v>
      </c>
    </row>
    <row r="466" spans="4:23" ht="15" customHeight="1">
      <c r="D466" s="85" t="str">
        <f xml:space="preserve"> '2.1 Model setup'!K82</f>
        <v>6.1 Afskrivninger på transformerstationer</v>
      </c>
      <c r="K466" s="5" t="s">
        <v>4</v>
      </c>
      <c r="L466" s="202"/>
      <c r="O466" s="202"/>
      <c r="P466" s="202"/>
      <c r="Q466" s="202"/>
      <c r="R466" s="181">
        <f xml:space="preserve"> IF( $N364 = '2.1 Model setup'!$K$59, R279, 0 )</f>
        <v>0</v>
      </c>
      <c r="S466" s="181">
        <f xml:space="preserve"> IF( $N364 = '2.1 Model setup'!$K$59, S279, 0 )</f>
        <v>0</v>
      </c>
      <c r="T466" s="181">
        <f xml:space="preserve"> IF( $N364 = '2.1 Model setup'!$K$59, T279, 0 )</f>
        <v>0</v>
      </c>
      <c r="U466" s="181">
        <f xml:space="preserve"> IF( $N364 = '2.1 Model setup'!$K$59, U279, 0 )</f>
        <v>0</v>
      </c>
      <c r="V466" s="181">
        <f xml:space="preserve"> IF( $N364 = '2.1 Model setup'!$K$59, V279, 0 )</f>
        <v>0</v>
      </c>
      <c r="W466" s="198">
        <f t="shared" si="66"/>
        <v>0</v>
      </c>
    </row>
    <row r="467" spans="4:23" ht="15" customHeight="1">
      <c r="D467" s="85" t="str">
        <f xml:space="preserve"> '2.1 Model setup'!K83</f>
        <v>6.2 Afskrivninger på netaktiver ekskl. målere og transformerstationer</v>
      </c>
      <c r="K467" s="5" t="s">
        <v>4</v>
      </c>
      <c r="L467" s="202"/>
      <c r="O467" s="202"/>
      <c r="P467" s="202"/>
      <c r="Q467" s="202"/>
      <c r="R467" s="181">
        <f xml:space="preserve"> IF( $N365 = '2.1 Model setup'!$K$59, R280, 0 )</f>
        <v>0</v>
      </c>
      <c r="S467" s="181">
        <f xml:space="preserve"> IF( $N365 = '2.1 Model setup'!$K$59, S280, 0 )</f>
        <v>0</v>
      </c>
      <c r="T467" s="181">
        <f xml:space="preserve"> IF( $N365 = '2.1 Model setup'!$K$59, T280, 0 )</f>
        <v>0</v>
      </c>
      <c r="U467" s="181">
        <f xml:space="preserve"> IF( $N365 = '2.1 Model setup'!$K$59, U280, 0 )</f>
        <v>0</v>
      </c>
      <c r="V467" s="181">
        <f xml:space="preserve"> IF( $N365 = '2.1 Model setup'!$K$59, V280, 0 )</f>
        <v>0</v>
      </c>
      <c r="W467" s="198">
        <f t="shared" si="66"/>
        <v>0</v>
      </c>
    </row>
    <row r="468" spans="4:23" ht="15" customHeight="1">
      <c r="D468" s="99" t="str">
        <f xml:space="preserve"> '2.1 Model setup'!K84</f>
        <v>6.3 Afskrivninger på målere</v>
      </c>
      <c r="E468" s="27"/>
      <c r="F468" s="27"/>
      <c r="G468" s="27"/>
      <c r="H468" s="27"/>
      <c r="I468" s="27"/>
      <c r="J468" s="27"/>
      <c r="K468" s="32" t="s">
        <v>4</v>
      </c>
      <c r="L468" s="265">
        <f xml:space="preserve"> -- ( IF( COUNTIF( R468:V468, "&lt;&gt;0" ) = 0, 0, ROUND( SUM( R468:V468 ), 5 ) &lt;&gt; 100% ) )</f>
        <v>0</v>
      </c>
      <c r="M468" s="27"/>
      <c r="N468" s="27"/>
      <c r="O468" s="269"/>
      <c r="P468" s="269"/>
      <c r="Q468" s="269"/>
      <c r="R468" s="182">
        <f xml:space="preserve"> IF( $N366 = '2.1 Model setup'!$K$59, R281, 0 )</f>
        <v>0</v>
      </c>
      <c r="S468" s="182">
        <f xml:space="preserve"> IF( $N366 = '2.1 Model setup'!$K$59, S281, 0 )</f>
        <v>0</v>
      </c>
      <c r="T468" s="182">
        <f xml:space="preserve"> IF( $N366 = '2.1 Model setup'!$K$59, T281, 0 )</f>
        <v>0</v>
      </c>
      <c r="U468" s="182">
        <f xml:space="preserve"> IF( $N366 = '2.1 Model setup'!$K$59, U281, 0 )</f>
        <v>0</v>
      </c>
      <c r="V468" s="182">
        <f xml:space="preserve"> IF( $N366 = '2.1 Model setup'!$K$59, V281, 0 )</f>
        <v>0</v>
      </c>
      <c r="W468" s="199">
        <f t="shared" si="66"/>
        <v>0</v>
      </c>
    </row>
    <row r="469" spans="4:23" ht="15" customHeight="1">
      <c r="L469" s="231"/>
    </row>
    <row r="470" spans="4:23" ht="15" customHeight="1">
      <c r="D470" s="4" t="s">
        <v>462</v>
      </c>
      <c r="L470" s="231"/>
      <c r="W470" s="185" t="s">
        <v>16</v>
      </c>
    </row>
    <row r="471" spans="4:23" ht="15" customHeight="1">
      <c r="D471" s="123" t="str">
        <f xml:space="preserve"> '2.1 Model setup'!K70</f>
        <v>1.1 Drift og vedligeholdelse af transformerstationer</v>
      </c>
      <c r="E471" s="15"/>
      <c r="F471" s="15"/>
      <c r="G471" s="15"/>
      <c r="H471" s="15"/>
      <c r="I471" s="15"/>
      <c r="J471" s="15"/>
      <c r="K471" s="19" t="s">
        <v>4</v>
      </c>
      <c r="L471" s="263">
        <f xml:space="preserve"> -- ( IF( COUNTIF( R471:V471, "&lt;&gt;0" ) = 0, 0, ROUND( SUM( R471:V471 ), 5 ) &lt;&gt; 100% ) )</f>
        <v>0</v>
      </c>
      <c r="M471" s="15"/>
      <c r="N471" s="15"/>
      <c r="O471" s="274"/>
      <c r="P471" s="274"/>
      <c r="Q471" s="274"/>
      <c r="R471" s="180">
        <f t="shared" ref="R471:V485" si="67" xml:space="preserve"> IF( OR( R386 &lt;&gt; 0, R403 &lt;&gt; 0, R420 &lt;&gt; 0, R437 &lt;&gt; 0, R454 &lt;&gt; 0 ), R386 + R403 + R420 + R437 + R454, R369 )</f>
        <v>0</v>
      </c>
      <c r="S471" s="180">
        <f t="shared" si="67"/>
        <v>0</v>
      </c>
      <c r="T471" s="180">
        <f t="shared" si="67"/>
        <v>0</v>
      </c>
      <c r="U471" s="180">
        <f t="shared" si="67"/>
        <v>0</v>
      </c>
      <c r="V471" s="180">
        <f t="shared" si="67"/>
        <v>0</v>
      </c>
      <c r="W471" s="354">
        <f xml:space="preserve"> SUM( R471:V471 )</f>
        <v>0</v>
      </c>
    </row>
    <row r="472" spans="4:23" ht="15" customHeight="1">
      <c r="D472" s="85" t="str">
        <f xml:space="preserve"> '2.1 Model setup'!K71</f>
        <v>1.2 Drift og vedligeholdelse af ledningsnet</v>
      </c>
      <c r="K472" s="5" t="s">
        <v>4</v>
      </c>
      <c r="L472" s="264">
        <f t="shared" ref="L472:L482" si="68" xml:space="preserve"> -- ( IF( COUNTIF( R472:V472, "&lt;&gt;0" ) = 0, 0, ROUND( SUM( R472:V472 ), 5 ) &lt;&gt; 100% ) )</f>
        <v>0</v>
      </c>
      <c r="O472" s="202"/>
      <c r="P472" s="202"/>
      <c r="Q472" s="202"/>
      <c r="R472" s="181">
        <f t="shared" si="67"/>
        <v>0</v>
      </c>
      <c r="S472" s="181">
        <f t="shared" si="67"/>
        <v>0</v>
      </c>
      <c r="T472" s="181">
        <f t="shared" si="67"/>
        <v>0</v>
      </c>
      <c r="U472" s="181">
        <f t="shared" si="67"/>
        <v>0</v>
      </c>
      <c r="V472" s="181">
        <f t="shared" si="67"/>
        <v>0</v>
      </c>
      <c r="W472" s="198">
        <f t="shared" ref="W472:W485" si="69" xml:space="preserve"> SUM( R472:V472 )</f>
        <v>0</v>
      </c>
    </row>
    <row r="473" spans="4:23" ht="15" customHeight="1">
      <c r="D473" s="85" t="str">
        <f xml:space="preserve"> '2.1 Model setup'!K72</f>
        <v>1.3 Øvrige omkostninger til drift, styring og kontrol af elnettet</v>
      </c>
      <c r="K473" s="5" t="s">
        <v>4</v>
      </c>
      <c r="L473" s="264">
        <f t="shared" si="68"/>
        <v>0</v>
      </c>
      <c r="O473" s="202"/>
      <c r="P473" s="202"/>
      <c r="Q473" s="202"/>
      <c r="R473" s="181">
        <f t="shared" si="67"/>
        <v>0</v>
      </c>
      <c r="S473" s="181">
        <f t="shared" si="67"/>
        <v>0</v>
      </c>
      <c r="T473" s="181">
        <f t="shared" si="67"/>
        <v>0</v>
      </c>
      <c r="U473" s="181">
        <f t="shared" si="67"/>
        <v>0</v>
      </c>
      <c r="V473" s="181">
        <f t="shared" si="67"/>
        <v>0</v>
      </c>
      <c r="W473" s="198">
        <f t="shared" si="69"/>
        <v>0</v>
      </c>
    </row>
    <row r="474" spans="4:23" ht="15" customHeight="1">
      <c r="D474" s="85" t="str">
        <f xml:space="preserve"> '2.1 Model setup'!K73</f>
        <v>1.4 Omkostninger vedrørende 132-150/30-60 kV-stationer</v>
      </c>
      <c r="K474" s="5" t="s">
        <v>4</v>
      </c>
      <c r="L474" s="264">
        <f xml:space="preserve"> -- ( IF( COUNTIF( R474:V474, "&lt;&gt;0" ) = 0, 0, ROUND( SUM( R474:V474 ), 5 ) &lt;&gt; 100% ) )</f>
        <v>0</v>
      </c>
      <c r="O474" s="202"/>
      <c r="P474" s="202"/>
      <c r="Q474" s="202"/>
      <c r="R474" s="181">
        <f t="shared" si="67"/>
        <v>0</v>
      </c>
      <c r="S474" s="181">
        <f t="shared" si="67"/>
        <v>0</v>
      </c>
      <c r="T474" s="181">
        <f t="shared" si="67"/>
        <v>0</v>
      </c>
      <c r="U474" s="181">
        <f t="shared" si="67"/>
        <v>0</v>
      </c>
      <c r="V474" s="181">
        <f t="shared" si="67"/>
        <v>0</v>
      </c>
      <c r="W474" s="198">
        <f xml:space="preserve"> SUM( R474:V474 )</f>
        <v>0</v>
      </c>
    </row>
    <row r="475" spans="4:23" ht="15" customHeight="1">
      <c r="D475" s="85" t="str">
        <f xml:space="preserve"> '2.1 Model setup'!K74</f>
        <v>2.1 Drift og vedligeholdelse af målere</v>
      </c>
      <c r="K475" s="5" t="s">
        <v>4</v>
      </c>
      <c r="L475" s="264">
        <f t="shared" si="68"/>
        <v>0</v>
      </c>
      <c r="O475" s="202"/>
      <c r="P475" s="202"/>
      <c r="Q475" s="202"/>
      <c r="R475" s="181">
        <f t="shared" si="67"/>
        <v>0</v>
      </c>
      <c r="S475" s="181">
        <f t="shared" si="67"/>
        <v>0</v>
      </c>
      <c r="T475" s="181">
        <f t="shared" si="67"/>
        <v>0</v>
      </c>
      <c r="U475" s="181">
        <f t="shared" si="67"/>
        <v>0</v>
      </c>
      <c r="V475" s="181">
        <f t="shared" si="67"/>
        <v>0</v>
      </c>
      <c r="W475" s="198">
        <f t="shared" si="69"/>
        <v>0</v>
      </c>
    </row>
    <row r="476" spans="4:23" ht="15" customHeight="1">
      <c r="D476" s="85" t="str">
        <f xml:space="preserve"> '2.1 Model setup'!K75</f>
        <v>2.2 Indhentning og validering af målerdata</v>
      </c>
      <c r="K476" s="5" t="s">
        <v>4</v>
      </c>
      <c r="L476" s="264">
        <f t="shared" si="68"/>
        <v>0</v>
      </c>
      <c r="O476" s="202"/>
      <c r="P476" s="202"/>
      <c r="Q476" s="202"/>
      <c r="R476" s="181">
        <f t="shared" si="67"/>
        <v>0</v>
      </c>
      <c r="S476" s="181">
        <f t="shared" si="67"/>
        <v>0</v>
      </c>
      <c r="T476" s="181">
        <f t="shared" si="67"/>
        <v>0</v>
      </c>
      <c r="U476" s="181">
        <f t="shared" si="67"/>
        <v>0</v>
      </c>
      <c r="V476" s="181">
        <f t="shared" si="67"/>
        <v>0</v>
      </c>
      <c r="W476" s="198">
        <f t="shared" si="69"/>
        <v>0</v>
      </c>
    </row>
    <row r="477" spans="4:23" ht="15" customHeight="1">
      <c r="D477" s="85" t="str">
        <f xml:space="preserve"> '2.1 Model setup'!K76</f>
        <v>2.3 Måleradministration og kundehåndtering</v>
      </c>
      <c r="K477" s="5" t="s">
        <v>4</v>
      </c>
      <c r="L477" s="264">
        <f t="shared" si="68"/>
        <v>0</v>
      </c>
      <c r="O477" s="202"/>
      <c r="P477" s="202"/>
      <c r="Q477" s="202"/>
      <c r="R477" s="181">
        <f t="shared" si="67"/>
        <v>0</v>
      </c>
      <c r="S477" s="181">
        <f t="shared" si="67"/>
        <v>0</v>
      </c>
      <c r="T477" s="181">
        <f t="shared" si="67"/>
        <v>0</v>
      </c>
      <c r="U477" s="181">
        <f t="shared" si="67"/>
        <v>0</v>
      </c>
      <c r="V477" s="181">
        <f t="shared" si="67"/>
        <v>0</v>
      </c>
      <c r="W477" s="198">
        <f t="shared" si="69"/>
        <v>0</v>
      </c>
    </row>
    <row r="478" spans="4:23" ht="15" customHeight="1">
      <c r="D478" s="85" t="str">
        <f xml:space="preserve"> '2.1 Model setup'!K77</f>
        <v>3.1 Generel administration</v>
      </c>
      <c r="K478" s="5" t="s">
        <v>4</v>
      </c>
      <c r="L478" s="264">
        <f t="shared" si="68"/>
        <v>0</v>
      </c>
      <c r="O478" s="202"/>
      <c r="P478" s="202"/>
      <c r="Q478" s="202"/>
      <c r="R478" s="181">
        <f t="shared" si="67"/>
        <v>0</v>
      </c>
      <c r="S478" s="181">
        <f t="shared" si="67"/>
        <v>0</v>
      </c>
      <c r="T478" s="181">
        <f t="shared" si="67"/>
        <v>0</v>
      </c>
      <c r="U478" s="181">
        <f t="shared" si="67"/>
        <v>0</v>
      </c>
      <c r="V478" s="181">
        <f t="shared" si="67"/>
        <v>0</v>
      </c>
      <c r="W478" s="198">
        <f t="shared" si="69"/>
        <v>0</v>
      </c>
    </row>
    <row r="479" spans="4:23" ht="15" customHeight="1">
      <c r="D479" s="85" t="str">
        <f xml:space="preserve"> '2.1 Model setup'!K78</f>
        <v>4.1 Omkostninger vedrørende nettab i transformerstationer</v>
      </c>
      <c r="K479" s="5" t="s">
        <v>4</v>
      </c>
      <c r="L479" s="264">
        <f t="shared" si="68"/>
        <v>0</v>
      </c>
      <c r="O479" s="202"/>
      <c r="P479" s="202"/>
      <c r="Q479" s="202"/>
      <c r="R479" s="181">
        <f t="shared" si="67"/>
        <v>0</v>
      </c>
      <c r="S479" s="181">
        <f t="shared" si="67"/>
        <v>0</v>
      </c>
      <c r="T479" s="181">
        <f t="shared" si="67"/>
        <v>0</v>
      </c>
      <c r="U479" s="181">
        <f t="shared" si="67"/>
        <v>0</v>
      </c>
      <c r="V479" s="181">
        <f t="shared" si="67"/>
        <v>0</v>
      </c>
      <c r="W479" s="198">
        <f t="shared" si="69"/>
        <v>0</v>
      </c>
    </row>
    <row r="480" spans="4:23" ht="15" customHeight="1">
      <c r="D480" s="85" t="str">
        <f xml:space="preserve"> '2.1 Model setup'!K79</f>
        <v>4.2 Omkostninger vedrørende nettab i ledningsnettet</v>
      </c>
      <c r="K480" s="5" t="s">
        <v>4</v>
      </c>
      <c r="L480" s="264">
        <f t="shared" si="68"/>
        <v>0</v>
      </c>
      <c r="O480" s="202"/>
      <c r="P480" s="202"/>
      <c r="Q480" s="202"/>
      <c r="R480" s="181">
        <f t="shared" si="67"/>
        <v>0</v>
      </c>
      <c r="S480" s="181">
        <f t="shared" si="67"/>
        <v>0</v>
      </c>
      <c r="T480" s="181">
        <f t="shared" si="67"/>
        <v>0</v>
      </c>
      <c r="U480" s="181">
        <f t="shared" si="67"/>
        <v>0</v>
      </c>
      <c r="V480" s="181">
        <f t="shared" si="67"/>
        <v>0</v>
      </c>
      <c r="W480" s="198">
        <f t="shared" si="69"/>
        <v>0</v>
      </c>
    </row>
    <row r="481" spans="4:23" ht="15" customHeight="1">
      <c r="D481" s="85" t="str">
        <f xml:space="preserve"> '2.1 Model setup'!K80</f>
        <v>5.1 Omkostninger til overliggende net ifm. forbrug</v>
      </c>
      <c r="K481" s="5" t="s">
        <v>4</v>
      </c>
      <c r="L481" s="264">
        <f xml:space="preserve"> -- ( IF( COUNTIF( R481:V481, "&lt;&gt;0" ) = 0, 0, ROUND( SUM( R481:V481 ), 5 ) &lt;&gt; 100% ) )</f>
        <v>0</v>
      </c>
      <c r="O481" s="202"/>
      <c r="P481" s="202"/>
      <c r="Q481" s="202"/>
      <c r="R481" s="181">
        <f t="shared" si="67"/>
        <v>0</v>
      </c>
      <c r="S481" s="181">
        <f t="shared" si="67"/>
        <v>0</v>
      </c>
      <c r="T481" s="181">
        <f t="shared" si="67"/>
        <v>0</v>
      </c>
      <c r="U481" s="181">
        <f t="shared" si="67"/>
        <v>0</v>
      </c>
      <c r="V481" s="181">
        <f t="shared" si="67"/>
        <v>0</v>
      </c>
      <c r="W481" s="198">
        <f xml:space="preserve"> SUM( R481:V481 )</f>
        <v>0</v>
      </c>
    </row>
    <row r="482" spans="4:23" ht="15" customHeight="1">
      <c r="D482" s="85" t="str">
        <f xml:space="preserve"> '2.1 Model setup'!K81</f>
        <v>5.2 Øvrige omkostninger</v>
      </c>
      <c r="K482" s="5" t="s">
        <v>4</v>
      </c>
      <c r="L482" s="264">
        <f t="shared" si="68"/>
        <v>0</v>
      </c>
      <c r="O482" s="202"/>
      <c r="P482" s="202"/>
      <c r="Q482" s="202"/>
      <c r="R482" s="181">
        <f t="shared" si="67"/>
        <v>0</v>
      </c>
      <c r="S482" s="181">
        <f t="shared" si="67"/>
        <v>0</v>
      </c>
      <c r="T482" s="181">
        <f t="shared" si="67"/>
        <v>0</v>
      </c>
      <c r="U482" s="181">
        <f t="shared" si="67"/>
        <v>0</v>
      </c>
      <c r="V482" s="181">
        <f t="shared" si="67"/>
        <v>0</v>
      </c>
      <c r="W482" s="198">
        <f t="shared" si="69"/>
        <v>0</v>
      </c>
    </row>
    <row r="483" spans="4:23" ht="15" customHeight="1">
      <c r="D483" s="85" t="str">
        <f xml:space="preserve"> '2.1 Model setup'!K82</f>
        <v>6.1 Afskrivninger på transformerstationer</v>
      </c>
      <c r="K483" s="5" t="s">
        <v>4</v>
      </c>
      <c r="L483" s="202"/>
      <c r="O483" s="202"/>
      <c r="P483" s="202"/>
      <c r="Q483" s="202"/>
      <c r="R483" s="181">
        <f t="shared" si="67"/>
        <v>0</v>
      </c>
      <c r="S483" s="181">
        <f t="shared" si="67"/>
        <v>0</v>
      </c>
      <c r="T483" s="181">
        <f t="shared" si="67"/>
        <v>0</v>
      </c>
      <c r="U483" s="181">
        <f t="shared" si="67"/>
        <v>0</v>
      </c>
      <c r="V483" s="181">
        <f t="shared" si="67"/>
        <v>0</v>
      </c>
      <c r="W483" s="198">
        <f t="shared" si="69"/>
        <v>0</v>
      </c>
    </row>
    <row r="484" spans="4:23" ht="15" customHeight="1">
      <c r="D484" s="85" t="str">
        <f xml:space="preserve"> '2.1 Model setup'!K83</f>
        <v>6.2 Afskrivninger på netaktiver ekskl. målere og transformerstationer</v>
      </c>
      <c r="K484" s="5" t="s">
        <v>4</v>
      </c>
      <c r="L484" s="202"/>
      <c r="O484" s="202"/>
      <c r="P484" s="202"/>
      <c r="Q484" s="202"/>
      <c r="R484" s="181">
        <f t="shared" si="67"/>
        <v>0</v>
      </c>
      <c r="S484" s="181">
        <f t="shared" si="67"/>
        <v>0</v>
      </c>
      <c r="T484" s="181">
        <f t="shared" si="67"/>
        <v>0</v>
      </c>
      <c r="U484" s="181">
        <f t="shared" si="67"/>
        <v>0</v>
      </c>
      <c r="V484" s="181">
        <f t="shared" si="67"/>
        <v>0</v>
      </c>
      <c r="W484" s="198">
        <f t="shared" si="69"/>
        <v>0</v>
      </c>
    </row>
    <row r="485" spans="4:23" ht="15" customHeight="1">
      <c r="D485" s="99" t="str">
        <f xml:space="preserve"> '2.1 Model setup'!K84</f>
        <v>6.3 Afskrivninger på målere</v>
      </c>
      <c r="E485" s="27"/>
      <c r="F485" s="27"/>
      <c r="G485" s="27"/>
      <c r="H485" s="27"/>
      <c r="I485" s="27"/>
      <c r="J485" s="27"/>
      <c r="K485" s="32" t="s">
        <v>4</v>
      </c>
      <c r="L485" s="265">
        <f xml:space="preserve"> -- ( IF( COUNTIF( R485:V485, "&lt;&gt;0" ) = 0, 0, ROUND( SUM( R485:V485 ), 5 ) &lt;&gt; 100% ) )</f>
        <v>0</v>
      </c>
      <c r="M485" s="27"/>
      <c r="N485" s="27"/>
      <c r="O485" s="269"/>
      <c r="P485" s="269"/>
      <c r="Q485" s="269"/>
      <c r="R485" s="182">
        <f t="shared" si="67"/>
        <v>0</v>
      </c>
      <c r="S485" s="182">
        <f t="shared" si="67"/>
        <v>0</v>
      </c>
      <c r="T485" s="182">
        <f t="shared" si="67"/>
        <v>0</v>
      </c>
      <c r="U485" s="182">
        <f t="shared" si="67"/>
        <v>0</v>
      </c>
      <c r="V485" s="182">
        <f t="shared" si="67"/>
        <v>0</v>
      </c>
      <c r="W485" s="199">
        <f t="shared" si="69"/>
        <v>0</v>
      </c>
    </row>
    <row r="486" spans="4:23" ht="15" customHeight="1">
      <c r="L486" s="231"/>
    </row>
    <row r="487" spans="4:23" ht="15" customHeight="1">
      <c r="D487" s="35" t="s">
        <v>85</v>
      </c>
      <c r="E487" s="27"/>
      <c r="F487" s="27"/>
      <c r="G487" s="27"/>
      <c r="H487" s="27"/>
      <c r="I487" s="27"/>
      <c r="J487" s="27"/>
      <c r="K487" s="32"/>
      <c r="L487" s="231"/>
      <c r="M487" s="27"/>
      <c r="N487" s="27"/>
      <c r="O487" s="27"/>
      <c r="P487" s="27"/>
      <c r="Q487" s="27"/>
      <c r="R487" s="27"/>
      <c r="S487" s="27"/>
      <c r="T487" s="27"/>
      <c r="U487" s="27"/>
      <c r="V487" s="27"/>
      <c r="W487" s="185" t="s">
        <v>16</v>
      </c>
    </row>
    <row r="488" spans="4:23" ht="15" customHeight="1">
      <c r="D488" s="85" t="str">
        <f xml:space="preserve"> '2.1 Model setup'!K70</f>
        <v>1.1 Drift og vedligeholdelse af transformerstationer</v>
      </c>
      <c r="K488" s="5" t="str">
        <f t="shared" ref="K488:K502" si="70" xml:space="preserve"> Model.Units</f>
        <v>DKKt</v>
      </c>
      <c r="L488" s="263">
        <f xml:space="preserve"> -- ( IF( '2.3 Selskabsspecifikke input'!N51 = 0, 0, ROUND( W488, 5 ) &lt;&gt; ROUND( W334, 5 ) ) )</f>
        <v>0</v>
      </c>
      <c r="O488" s="202"/>
      <c r="P488" s="202"/>
      <c r="Q488" s="202"/>
      <c r="R488" s="1">
        <f t="shared" ref="R488:V489" si="71" xml:space="preserve"> R471 * $W334</f>
        <v>0</v>
      </c>
      <c r="S488" s="1">
        <f t="shared" si="71"/>
        <v>0</v>
      </c>
      <c r="T488" s="1">
        <f t="shared" si="71"/>
        <v>0</v>
      </c>
      <c r="U488" s="1">
        <f t="shared" si="71"/>
        <v>0</v>
      </c>
      <c r="V488" s="1">
        <f t="shared" si="71"/>
        <v>0</v>
      </c>
      <c r="W488" s="4">
        <f t="shared" ref="W488:W502" si="72" xml:space="preserve"> SUM( R488:V488 )</f>
        <v>0</v>
      </c>
    </row>
    <row r="489" spans="4:23" ht="15" customHeight="1">
      <c r="D489" s="85" t="str">
        <f xml:space="preserve"> '2.1 Model setup'!K71</f>
        <v>1.2 Drift og vedligeholdelse af ledningsnet</v>
      </c>
      <c r="K489" s="578" t="str">
        <f t="shared" si="70"/>
        <v>DKKt</v>
      </c>
      <c r="L489" s="264">
        <f xml:space="preserve"> -- ( IF( '2.3 Selskabsspecifikke input'!N51 = 0, 0, ROUND( W489, 5 ) &lt;&gt; ROUND( W335, 5 ) ) )</f>
        <v>0</v>
      </c>
      <c r="O489" s="202"/>
      <c r="P489" s="202"/>
      <c r="Q489" s="202"/>
      <c r="R489" s="1">
        <f t="shared" si="71"/>
        <v>0</v>
      </c>
      <c r="S489" s="1">
        <f t="shared" si="71"/>
        <v>0</v>
      </c>
      <c r="T489" s="1">
        <f t="shared" si="71"/>
        <v>0</v>
      </c>
      <c r="U489" s="1">
        <f t="shared" si="71"/>
        <v>0</v>
      </c>
      <c r="V489" s="1">
        <f t="shared" si="71"/>
        <v>0</v>
      </c>
      <c r="W489" s="4">
        <f t="shared" si="72"/>
        <v>0</v>
      </c>
    </row>
    <row r="490" spans="4:23" ht="15" customHeight="1">
      <c r="D490" s="85" t="str">
        <f xml:space="preserve"> '2.1 Model setup'!K72</f>
        <v>1.3 Øvrige omkostninger til drift, styring og kontrol af elnettet</v>
      </c>
      <c r="K490" s="578" t="str">
        <f t="shared" si="70"/>
        <v>DKKt</v>
      </c>
      <c r="L490" s="264">
        <f xml:space="preserve"> -- ( IF( '2.3 Selskabsspecifikke input'!N51 = 0, 0, ROUND( W490, 5 ) &lt;&gt; ROUND( W336, 5 ) ) )</f>
        <v>0</v>
      </c>
      <c r="O490" s="202"/>
      <c r="P490" s="202"/>
      <c r="Q490" s="202"/>
      <c r="R490" s="1">
        <f t="shared" ref="R490:V491" si="73" xml:space="preserve"> R473 * $W336</f>
        <v>0</v>
      </c>
      <c r="S490" s="1">
        <f t="shared" si="73"/>
        <v>0</v>
      </c>
      <c r="T490" s="1">
        <f t="shared" si="73"/>
        <v>0</v>
      </c>
      <c r="U490" s="1">
        <f t="shared" si="73"/>
        <v>0</v>
      </c>
      <c r="V490" s="1">
        <f t="shared" si="73"/>
        <v>0</v>
      </c>
      <c r="W490" s="4">
        <f t="shared" si="72"/>
        <v>0</v>
      </c>
    </row>
    <row r="491" spans="4:23" ht="15" customHeight="1">
      <c r="D491" s="85" t="str">
        <f xml:space="preserve"> '2.1 Model setup'!K73</f>
        <v>1.4 Omkostninger vedrørende 132-150/30-60 kV-stationer</v>
      </c>
      <c r="K491" s="578" t="str">
        <f t="shared" si="70"/>
        <v>DKKt</v>
      </c>
      <c r="L491" s="264">
        <f xml:space="preserve"> -- ( IF( '2.3 Selskabsspecifikke input'!N51 = 0, 0, ROUND( W491, 5 ) &lt;&gt; ROUND( W337, 5 ) ) )</f>
        <v>0</v>
      </c>
      <c r="O491" s="202"/>
      <c r="P491" s="202"/>
      <c r="Q491" s="202"/>
      <c r="R491" s="1">
        <f t="shared" si="73"/>
        <v>0</v>
      </c>
      <c r="S491" s="1">
        <f t="shared" si="73"/>
        <v>0</v>
      </c>
      <c r="T491" s="1">
        <f t="shared" si="73"/>
        <v>0</v>
      </c>
      <c r="U491" s="1">
        <f t="shared" si="73"/>
        <v>0</v>
      </c>
      <c r="V491" s="1">
        <f t="shared" si="73"/>
        <v>0</v>
      </c>
      <c r="W491" s="4">
        <f xml:space="preserve"> SUM( R491:V491 )</f>
        <v>0</v>
      </c>
    </row>
    <row r="492" spans="4:23" ht="15" customHeight="1">
      <c r="D492" s="85" t="str">
        <f xml:space="preserve"> '2.1 Model setup'!K74</f>
        <v>2.1 Drift og vedligeholdelse af målere</v>
      </c>
      <c r="K492" s="578" t="str">
        <f t="shared" si="70"/>
        <v>DKKt</v>
      </c>
      <c r="L492" s="264">
        <f xml:space="preserve"> -- ( IF( '2.3 Selskabsspecifikke input'!N51 = 0, 0, ROUND( W492, 5 ) &lt;&gt; ROUND( W338, 5 ) ) )</f>
        <v>0</v>
      </c>
      <c r="O492" s="202"/>
      <c r="P492" s="202"/>
      <c r="Q492" s="202"/>
      <c r="R492" s="1">
        <f t="shared" ref="R492:V502" si="74" xml:space="preserve"> R475 * $W338</f>
        <v>0</v>
      </c>
      <c r="S492" s="1">
        <f t="shared" si="74"/>
        <v>0</v>
      </c>
      <c r="T492" s="1">
        <f t="shared" si="74"/>
        <v>0</v>
      </c>
      <c r="U492" s="1">
        <f t="shared" si="74"/>
        <v>0</v>
      </c>
      <c r="V492" s="1">
        <f t="shared" si="74"/>
        <v>0</v>
      </c>
      <c r="W492" s="4">
        <f t="shared" si="72"/>
        <v>0</v>
      </c>
    </row>
    <row r="493" spans="4:23" ht="15" customHeight="1">
      <c r="D493" s="85" t="str">
        <f xml:space="preserve"> '2.1 Model setup'!K75</f>
        <v>2.2 Indhentning og validering af målerdata</v>
      </c>
      <c r="K493" s="578" t="str">
        <f t="shared" si="70"/>
        <v>DKKt</v>
      </c>
      <c r="L493" s="264">
        <f xml:space="preserve"> -- ( IF( '2.3 Selskabsspecifikke input'!N51 = 0, 0, ROUND( W493, 5 ) &lt;&gt; ROUND( W339, 5 ) ) )</f>
        <v>0</v>
      </c>
      <c r="O493" s="202"/>
      <c r="P493" s="202"/>
      <c r="Q493" s="202"/>
      <c r="R493" s="1">
        <f t="shared" si="74"/>
        <v>0</v>
      </c>
      <c r="S493" s="1">
        <f t="shared" si="74"/>
        <v>0</v>
      </c>
      <c r="T493" s="1">
        <f t="shared" si="74"/>
        <v>0</v>
      </c>
      <c r="U493" s="1">
        <f t="shared" si="74"/>
        <v>0</v>
      </c>
      <c r="V493" s="1">
        <f t="shared" si="74"/>
        <v>0</v>
      </c>
      <c r="W493" s="4">
        <f t="shared" si="72"/>
        <v>0</v>
      </c>
    </row>
    <row r="494" spans="4:23" ht="15" customHeight="1">
      <c r="D494" s="85" t="str">
        <f xml:space="preserve"> '2.1 Model setup'!K76</f>
        <v>2.3 Måleradministration og kundehåndtering</v>
      </c>
      <c r="K494" s="578" t="str">
        <f t="shared" si="70"/>
        <v>DKKt</v>
      </c>
      <c r="L494" s="264">
        <f xml:space="preserve"> -- ( IF( '2.3 Selskabsspecifikke input'!N51 = 0, 0, ROUND( W494, 5 ) &lt;&gt; ROUND( W340, 5 ) ) )</f>
        <v>0</v>
      </c>
      <c r="O494" s="202"/>
      <c r="P494" s="202"/>
      <c r="Q494" s="202"/>
      <c r="R494" s="1">
        <f t="shared" si="74"/>
        <v>0</v>
      </c>
      <c r="S494" s="1">
        <f t="shared" si="74"/>
        <v>0</v>
      </c>
      <c r="T494" s="1">
        <f t="shared" si="74"/>
        <v>0</v>
      </c>
      <c r="U494" s="1">
        <f t="shared" si="74"/>
        <v>0</v>
      </c>
      <c r="V494" s="1">
        <f t="shared" si="74"/>
        <v>0</v>
      </c>
      <c r="W494" s="4">
        <f t="shared" si="72"/>
        <v>0</v>
      </c>
    </row>
    <row r="495" spans="4:23" ht="15" customHeight="1">
      <c r="D495" s="85" t="str">
        <f xml:space="preserve"> '2.1 Model setup'!K77</f>
        <v>3.1 Generel administration</v>
      </c>
      <c r="K495" s="578" t="str">
        <f t="shared" si="70"/>
        <v>DKKt</v>
      </c>
      <c r="L495" s="264">
        <f xml:space="preserve"> -- ( IF( '2.3 Selskabsspecifikke input'!N51 = 0, 0, ROUND( W495, 5 ) &lt;&gt; ROUND( W341, 5 ) ) )</f>
        <v>0</v>
      </c>
      <c r="O495" s="202"/>
      <c r="P495" s="202"/>
      <c r="Q495" s="202"/>
      <c r="R495" s="1">
        <f t="shared" si="74"/>
        <v>0</v>
      </c>
      <c r="S495" s="1">
        <f t="shared" si="74"/>
        <v>0</v>
      </c>
      <c r="T495" s="1">
        <f t="shared" si="74"/>
        <v>0</v>
      </c>
      <c r="U495" s="1">
        <f t="shared" si="74"/>
        <v>0</v>
      </c>
      <c r="V495" s="1">
        <f t="shared" si="74"/>
        <v>0</v>
      </c>
      <c r="W495" s="4">
        <f t="shared" si="72"/>
        <v>0</v>
      </c>
    </row>
    <row r="496" spans="4:23" ht="15" customHeight="1">
      <c r="D496" s="85" t="str">
        <f xml:space="preserve"> '2.1 Model setup'!K78</f>
        <v>4.1 Omkostninger vedrørende nettab i transformerstationer</v>
      </c>
      <c r="K496" s="578" t="str">
        <f t="shared" si="70"/>
        <v>DKKt</v>
      </c>
      <c r="L496" s="264">
        <f xml:space="preserve"> -- ( IF( '2.3 Selskabsspecifikke input'!N51 = 0, 0, ROUND( W496, 5 ) &lt;&gt; ROUND( W342, 5 ) ) )</f>
        <v>0</v>
      </c>
      <c r="O496" s="202"/>
      <c r="P496" s="202"/>
      <c r="Q496" s="202"/>
      <c r="R496" s="1">
        <f t="shared" si="74"/>
        <v>0</v>
      </c>
      <c r="S496" s="1">
        <f t="shared" si="74"/>
        <v>0</v>
      </c>
      <c r="T496" s="1">
        <f t="shared" si="74"/>
        <v>0</v>
      </c>
      <c r="U496" s="1">
        <f t="shared" si="74"/>
        <v>0</v>
      </c>
      <c r="V496" s="1">
        <f t="shared" si="74"/>
        <v>0</v>
      </c>
      <c r="W496" s="4">
        <f t="shared" si="72"/>
        <v>0</v>
      </c>
    </row>
    <row r="497" spans="4:23" ht="15" customHeight="1">
      <c r="D497" s="85" t="str">
        <f xml:space="preserve"> '2.1 Model setup'!K79</f>
        <v>4.2 Omkostninger vedrørende nettab i ledningsnettet</v>
      </c>
      <c r="K497" s="578" t="str">
        <f t="shared" si="70"/>
        <v>DKKt</v>
      </c>
      <c r="L497" s="264">
        <f xml:space="preserve"> -- ( IF( '2.3 Selskabsspecifikke input'!N51 = 0, 0, ROUND( W497, 5 ) &lt;&gt; ROUND( W343, 5 ) ) )</f>
        <v>0</v>
      </c>
      <c r="O497" s="202"/>
      <c r="P497" s="202"/>
      <c r="Q497" s="202"/>
      <c r="R497" s="1">
        <f t="shared" si="74"/>
        <v>0</v>
      </c>
      <c r="S497" s="1">
        <f t="shared" si="74"/>
        <v>0</v>
      </c>
      <c r="T497" s="1">
        <f t="shared" si="74"/>
        <v>0</v>
      </c>
      <c r="U497" s="1">
        <f t="shared" si="74"/>
        <v>0</v>
      </c>
      <c r="V497" s="1">
        <f t="shared" si="74"/>
        <v>0</v>
      </c>
      <c r="W497" s="4">
        <f t="shared" si="72"/>
        <v>0</v>
      </c>
    </row>
    <row r="498" spans="4:23" ht="15" customHeight="1">
      <c r="D498" s="85" t="str">
        <f xml:space="preserve"> '2.1 Model setup'!K80</f>
        <v>5.1 Omkostninger til overliggende net ifm. forbrug</v>
      </c>
      <c r="K498" s="578" t="str">
        <f t="shared" si="70"/>
        <v>DKKt</v>
      </c>
      <c r="L498" s="264">
        <f xml:space="preserve"> -- ( IF( '2.3 Selskabsspecifikke input'!N51 = 0, 0, ROUND( W498, 5 ) &lt;&gt; ROUND( W344, 5 ) ) )</f>
        <v>0</v>
      </c>
      <c r="O498" s="202"/>
      <c r="P498" s="202"/>
      <c r="Q498" s="202"/>
      <c r="R498" s="1">
        <f t="shared" si="74"/>
        <v>0</v>
      </c>
      <c r="S498" s="1">
        <f t="shared" si="74"/>
        <v>0</v>
      </c>
      <c r="T498" s="1">
        <f t="shared" si="74"/>
        <v>0</v>
      </c>
      <c r="U498" s="1">
        <f t="shared" si="74"/>
        <v>0</v>
      </c>
      <c r="V498" s="1">
        <f t="shared" si="74"/>
        <v>0</v>
      </c>
      <c r="W498" s="4">
        <f xml:space="preserve"> SUM( R498:V498 )</f>
        <v>0</v>
      </c>
    </row>
    <row r="499" spans="4:23" ht="15" customHeight="1">
      <c r="D499" s="85" t="str">
        <f xml:space="preserve"> '2.1 Model setup'!K81</f>
        <v>5.2 Øvrige omkostninger</v>
      </c>
      <c r="K499" s="578" t="str">
        <f t="shared" si="70"/>
        <v>DKKt</v>
      </c>
      <c r="L499" s="264">
        <f xml:space="preserve"> -- ( IF( '2.3 Selskabsspecifikke input'!N51 = 0, 0, ROUND( W499, 5 ) &lt;&gt; ROUND( W345, 5 ) ) )</f>
        <v>0</v>
      </c>
      <c r="O499" s="202"/>
      <c r="P499" s="202"/>
      <c r="Q499" s="202"/>
      <c r="R499" s="1">
        <f t="shared" si="74"/>
        <v>0</v>
      </c>
      <c r="S499" s="1">
        <f t="shared" si="74"/>
        <v>0</v>
      </c>
      <c r="T499" s="1">
        <f t="shared" si="74"/>
        <v>0</v>
      </c>
      <c r="U499" s="1">
        <f t="shared" si="74"/>
        <v>0</v>
      </c>
      <c r="V499" s="1">
        <f t="shared" si="74"/>
        <v>0</v>
      </c>
      <c r="W499" s="4">
        <f t="shared" si="72"/>
        <v>0</v>
      </c>
    </row>
    <row r="500" spans="4:23" ht="15" customHeight="1">
      <c r="D500" s="85" t="str">
        <f xml:space="preserve"> '2.1 Model setup'!K82</f>
        <v>6.1 Afskrivninger på transformerstationer</v>
      </c>
      <c r="K500" s="578" t="str">
        <f t="shared" si="70"/>
        <v>DKKt</v>
      </c>
      <c r="L500" s="264">
        <f xml:space="preserve"> -- ( IF( '2.3 Selskabsspecifikke input'!N51 = 0, 0, ROUND( W500, 5 ) &lt;&gt; ROUND( W346, 5 ) ) )</f>
        <v>0</v>
      </c>
      <c r="O500" s="202"/>
      <c r="P500" s="202"/>
      <c r="Q500" s="202"/>
      <c r="R500" s="1">
        <f t="shared" si="74"/>
        <v>0</v>
      </c>
      <c r="S500" s="1">
        <f t="shared" si="74"/>
        <v>0</v>
      </c>
      <c r="T500" s="1">
        <f t="shared" si="74"/>
        <v>0</v>
      </c>
      <c r="U500" s="1">
        <f t="shared" si="74"/>
        <v>0</v>
      </c>
      <c r="V500" s="1">
        <f t="shared" si="74"/>
        <v>0</v>
      </c>
      <c r="W500" s="4">
        <f t="shared" si="72"/>
        <v>0</v>
      </c>
    </row>
    <row r="501" spans="4:23" ht="15" customHeight="1">
      <c r="D501" s="85" t="str">
        <f xml:space="preserve"> '2.1 Model setup'!K83</f>
        <v>6.2 Afskrivninger på netaktiver ekskl. målere og transformerstationer</v>
      </c>
      <c r="K501" s="578" t="str">
        <f t="shared" si="70"/>
        <v>DKKt</v>
      </c>
      <c r="L501" s="264">
        <f xml:space="preserve"> -- ( IF( '2.3 Selskabsspecifikke input'!N51 = 0, 0, ROUND( W501, 5 ) &lt;&gt; ROUND( W347, 5 ) ) )</f>
        <v>0</v>
      </c>
      <c r="O501" s="202"/>
      <c r="P501" s="202"/>
      <c r="Q501" s="202"/>
      <c r="R501" s="1">
        <f t="shared" si="74"/>
        <v>0</v>
      </c>
      <c r="S501" s="1">
        <f t="shared" si="74"/>
        <v>0</v>
      </c>
      <c r="T501" s="1">
        <f t="shared" si="74"/>
        <v>0</v>
      </c>
      <c r="U501" s="1">
        <f t="shared" si="74"/>
        <v>0</v>
      </c>
      <c r="V501" s="1">
        <f t="shared" si="74"/>
        <v>0</v>
      </c>
      <c r="W501" s="4">
        <f t="shared" si="72"/>
        <v>0</v>
      </c>
    </row>
    <row r="502" spans="4:23" ht="15" customHeight="1">
      <c r="D502" s="85" t="str">
        <f xml:space="preserve"> '2.1 Model setup'!K84</f>
        <v>6.3 Afskrivninger på målere</v>
      </c>
      <c r="K502" s="578" t="str">
        <f t="shared" si="70"/>
        <v>DKKt</v>
      </c>
      <c r="L502" s="264">
        <f xml:space="preserve"> -- ( IF( '2.3 Selskabsspecifikke input'!N51 = 0, 0, ROUND( W502, 5 ) &lt;&gt; ROUND( W348, 5 ) ) )</f>
        <v>0</v>
      </c>
      <c r="O502" s="202"/>
      <c r="P502" s="202"/>
      <c r="Q502" s="202"/>
      <c r="R502" s="1">
        <f t="shared" si="74"/>
        <v>0</v>
      </c>
      <c r="S502" s="1">
        <f t="shared" si="74"/>
        <v>0</v>
      </c>
      <c r="T502" s="1">
        <f t="shared" si="74"/>
        <v>0</v>
      </c>
      <c r="U502" s="1">
        <f t="shared" si="74"/>
        <v>0</v>
      </c>
      <c r="V502" s="1">
        <f t="shared" si="74"/>
        <v>0</v>
      </c>
      <c r="W502" s="4">
        <f t="shared" si="72"/>
        <v>0</v>
      </c>
    </row>
    <row r="503" spans="4:23" ht="15" customHeight="1">
      <c r="D503" s="186" t="s">
        <v>16</v>
      </c>
      <c r="E503" s="33"/>
      <c r="F503" s="33"/>
      <c r="G503" s="33"/>
      <c r="H503" s="33"/>
      <c r="I503" s="33"/>
      <c r="J503" s="33"/>
      <c r="K503" s="579" t="str">
        <f xml:space="preserve"> Model.Units</f>
        <v>DKKt</v>
      </c>
      <c r="L503" s="334">
        <f xml:space="preserve"> -- ( IF( '2.3 Selskabsspecifikke input'!N51 = 0, 0, ROUND( W503, 5 ) &lt;&gt; ROUND( W349, 5 ) ) )</f>
        <v>0</v>
      </c>
      <c r="M503" s="33"/>
      <c r="N503" s="33"/>
      <c r="O503" s="271"/>
      <c r="P503" s="271"/>
      <c r="Q503" s="271"/>
      <c r="R503" s="186">
        <f t="shared" ref="R503:W503" si="75" xml:space="preserve"> SUM( R488:R502 )</f>
        <v>0</v>
      </c>
      <c r="S503" s="186">
        <f t="shared" si="75"/>
        <v>0</v>
      </c>
      <c r="T503" s="186">
        <f t="shared" si="75"/>
        <v>0</v>
      </c>
      <c r="U503" s="186">
        <f t="shared" si="75"/>
        <v>0</v>
      </c>
      <c r="V503" s="186">
        <f t="shared" si="75"/>
        <v>0</v>
      </c>
      <c r="W503" s="186">
        <f t="shared" si="75"/>
        <v>0</v>
      </c>
    </row>
    <row r="504" spans="4:23" ht="15" customHeight="1">
      <c r="L504" s="231"/>
    </row>
    <row r="505" spans="4:23" ht="15" customHeight="1">
      <c r="D505" s="35" t="s">
        <v>286</v>
      </c>
      <c r="E505" s="27"/>
      <c r="F505" s="27"/>
      <c r="G505" s="27"/>
      <c r="H505" s="27"/>
      <c r="I505" s="27"/>
      <c r="J505" s="27"/>
      <c r="K505" s="32"/>
      <c r="L505" s="510"/>
      <c r="M505" s="27"/>
      <c r="N505" s="27"/>
      <c r="O505" s="27"/>
      <c r="P505" s="27"/>
      <c r="Q505" s="27"/>
      <c r="R505" s="27"/>
      <c r="S505" s="27"/>
      <c r="T505" s="27"/>
      <c r="U505" s="27"/>
      <c r="V505" s="27"/>
      <c r="W505" s="185" t="s">
        <v>16</v>
      </c>
    </row>
    <row r="506" spans="4:23" ht="15" customHeight="1">
      <c r="D506" s="85" t="str">
        <f xml:space="preserve"> '2.1 Model setup'!K70</f>
        <v>1.1 Drift og vedligeholdelse af transformerstationer</v>
      </c>
      <c r="K506" s="5" t="str">
        <f t="shared" ref="K506:K521" si="76" xml:space="preserve"> Model.Units</f>
        <v>DKKt</v>
      </c>
      <c r="L506" s="264">
        <f xml:space="preserve"> -- ( IF( '2.3 Selskabsspecifikke input'!N51 = 0, 0, ROUND( W506, 5 ) &lt;&gt; ROUND( N334, 5 ) ) )</f>
        <v>0</v>
      </c>
      <c r="O506" s="202"/>
      <c r="P506" s="202"/>
      <c r="Q506" s="202"/>
      <c r="R506" s="1">
        <f t="shared" ref="R506:V507" si="77" xml:space="preserve"> R488 + R334</f>
        <v>0</v>
      </c>
      <c r="S506" s="1">
        <f t="shared" si="77"/>
        <v>0</v>
      </c>
      <c r="T506" s="1">
        <f t="shared" si="77"/>
        <v>0</v>
      </c>
      <c r="U506" s="1">
        <f t="shared" si="77"/>
        <v>0</v>
      </c>
      <c r="V506" s="1">
        <f t="shared" si="77"/>
        <v>0</v>
      </c>
      <c r="W506" s="4">
        <f t="shared" ref="W506:W520" si="78" xml:space="preserve"> SUM( R506:V506 )</f>
        <v>0</v>
      </c>
    </row>
    <row r="507" spans="4:23" ht="15" customHeight="1">
      <c r="D507" s="85" t="str">
        <f xml:space="preserve"> '2.1 Model setup'!K71</f>
        <v>1.2 Drift og vedligeholdelse af ledningsnet</v>
      </c>
      <c r="K507" s="578" t="str">
        <f t="shared" si="76"/>
        <v>DKKt</v>
      </c>
      <c r="L507" s="264">
        <f xml:space="preserve"> -- ( IF( '2.3 Selskabsspecifikke input'!N51 = 0, 0, ROUND( W507, 5 ) &lt;&gt; ROUND( N335, 5 ) ) )</f>
        <v>0</v>
      </c>
      <c r="O507" s="202"/>
      <c r="P507" s="202"/>
      <c r="Q507" s="202"/>
      <c r="R507" s="1">
        <f t="shared" si="77"/>
        <v>0</v>
      </c>
      <c r="S507" s="1">
        <f t="shared" si="77"/>
        <v>0</v>
      </c>
      <c r="T507" s="1">
        <f t="shared" si="77"/>
        <v>0</v>
      </c>
      <c r="U507" s="1">
        <f t="shared" si="77"/>
        <v>0</v>
      </c>
      <c r="V507" s="1">
        <f t="shared" si="77"/>
        <v>0</v>
      </c>
      <c r="W507" s="4">
        <f t="shared" si="78"/>
        <v>0</v>
      </c>
    </row>
    <row r="508" spans="4:23" ht="15" customHeight="1">
      <c r="D508" s="85" t="str">
        <f xml:space="preserve"> '2.1 Model setup'!K72</f>
        <v>1.3 Øvrige omkostninger til drift, styring og kontrol af elnettet</v>
      </c>
      <c r="K508" s="578" t="str">
        <f t="shared" si="76"/>
        <v>DKKt</v>
      </c>
      <c r="L508" s="264">
        <f xml:space="preserve"> -- ( IF( '2.3 Selskabsspecifikke input'!N51 = 0, 0, ROUND( W508, 5 ) &lt;&gt; ROUND( N336, 5 ) ) )</f>
        <v>0</v>
      </c>
      <c r="O508" s="202"/>
      <c r="P508" s="202"/>
      <c r="Q508" s="202"/>
      <c r="R508" s="1">
        <f t="shared" ref="R508:V509" si="79" xml:space="preserve"> R490 + R336</f>
        <v>0</v>
      </c>
      <c r="S508" s="1">
        <f t="shared" si="79"/>
        <v>0</v>
      </c>
      <c r="T508" s="1">
        <f t="shared" si="79"/>
        <v>0</v>
      </c>
      <c r="U508" s="1">
        <f t="shared" si="79"/>
        <v>0</v>
      </c>
      <c r="V508" s="1">
        <f t="shared" si="79"/>
        <v>0</v>
      </c>
      <c r="W508" s="4">
        <f t="shared" si="78"/>
        <v>0</v>
      </c>
    </row>
    <row r="509" spans="4:23" ht="15" customHeight="1">
      <c r="D509" s="85" t="str">
        <f xml:space="preserve"> '2.1 Model setup'!K73</f>
        <v>1.4 Omkostninger vedrørende 132-150/30-60 kV-stationer</v>
      </c>
      <c r="K509" s="578" t="str">
        <f t="shared" si="76"/>
        <v>DKKt</v>
      </c>
      <c r="L509" s="264">
        <f xml:space="preserve"> -- ( IF( '2.3 Selskabsspecifikke input'!N51 = 0, 0, ROUND( W509, 5 ) &lt;&gt; ROUND( N337, 5 ) ) )</f>
        <v>0</v>
      </c>
      <c r="O509" s="202"/>
      <c r="P509" s="202"/>
      <c r="Q509" s="202"/>
      <c r="R509" s="1">
        <f t="shared" si="79"/>
        <v>0</v>
      </c>
      <c r="S509" s="1">
        <f t="shared" si="79"/>
        <v>0</v>
      </c>
      <c r="T509" s="1">
        <f t="shared" si="79"/>
        <v>0</v>
      </c>
      <c r="U509" s="1">
        <f t="shared" si="79"/>
        <v>0</v>
      </c>
      <c r="V509" s="1">
        <f t="shared" si="79"/>
        <v>0</v>
      </c>
      <c r="W509" s="4">
        <f xml:space="preserve"> SUM( R509:V509 )</f>
        <v>0</v>
      </c>
    </row>
    <row r="510" spans="4:23" ht="15" customHeight="1">
      <c r="D510" s="85" t="str">
        <f xml:space="preserve"> '2.1 Model setup'!K74</f>
        <v>2.1 Drift og vedligeholdelse af målere</v>
      </c>
      <c r="K510" s="578" t="str">
        <f t="shared" si="76"/>
        <v>DKKt</v>
      </c>
      <c r="L510" s="264">
        <f xml:space="preserve"> -- ( IF( '2.3 Selskabsspecifikke input'!N51 = 0, 0, ROUND( W510, 5 ) &lt;&gt; ROUND( N338, 5 ) ) )</f>
        <v>0</v>
      </c>
      <c r="O510" s="202"/>
      <c r="P510" s="202"/>
      <c r="Q510" s="202"/>
      <c r="R510" s="1">
        <f t="shared" ref="R510:V520" si="80" xml:space="preserve"> R492 + R338</f>
        <v>0</v>
      </c>
      <c r="S510" s="1">
        <f t="shared" si="80"/>
        <v>0</v>
      </c>
      <c r="T510" s="1">
        <f t="shared" si="80"/>
        <v>0</v>
      </c>
      <c r="U510" s="1">
        <f t="shared" si="80"/>
        <v>0</v>
      </c>
      <c r="V510" s="1">
        <f t="shared" si="80"/>
        <v>0</v>
      </c>
      <c r="W510" s="4">
        <f t="shared" si="78"/>
        <v>0</v>
      </c>
    </row>
    <row r="511" spans="4:23" ht="15" customHeight="1">
      <c r="D511" s="85" t="str">
        <f xml:space="preserve"> '2.1 Model setup'!K75</f>
        <v>2.2 Indhentning og validering af målerdata</v>
      </c>
      <c r="K511" s="578" t="str">
        <f t="shared" si="76"/>
        <v>DKKt</v>
      </c>
      <c r="L511" s="264">
        <f xml:space="preserve"> -- ( IF( '2.3 Selskabsspecifikke input'!N51 = 0, 0, ROUND( W511, 5 ) &lt;&gt; ROUND( N339, 5 ) ) )</f>
        <v>0</v>
      </c>
      <c r="O511" s="202"/>
      <c r="P511" s="202"/>
      <c r="Q511" s="202"/>
      <c r="R511" s="1">
        <f t="shared" si="80"/>
        <v>0</v>
      </c>
      <c r="S511" s="1">
        <f t="shared" si="80"/>
        <v>0</v>
      </c>
      <c r="T511" s="1">
        <f t="shared" si="80"/>
        <v>0</v>
      </c>
      <c r="U511" s="1">
        <f t="shared" si="80"/>
        <v>0</v>
      </c>
      <c r="V511" s="1">
        <f t="shared" si="80"/>
        <v>0</v>
      </c>
      <c r="W511" s="4">
        <f t="shared" si="78"/>
        <v>0</v>
      </c>
    </row>
    <row r="512" spans="4:23" ht="15" customHeight="1">
      <c r="D512" s="85" t="str">
        <f xml:space="preserve"> '2.1 Model setup'!K76</f>
        <v>2.3 Måleradministration og kundehåndtering</v>
      </c>
      <c r="K512" s="578" t="str">
        <f t="shared" si="76"/>
        <v>DKKt</v>
      </c>
      <c r="L512" s="264">
        <f xml:space="preserve"> -- ( IF( '2.3 Selskabsspecifikke input'!N51 = 0, 0, ROUND( W512, 5 ) &lt;&gt; ROUND( N340, 5 ) ) )</f>
        <v>0</v>
      </c>
      <c r="O512" s="202"/>
      <c r="P512" s="202"/>
      <c r="Q512" s="202"/>
      <c r="R512" s="1">
        <f t="shared" si="80"/>
        <v>0</v>
      </c>
      <c r="S512" s="1">
        <f t="shared" si="80"/>
        <v>0</v>
      </c>
      <c r="T512" s="1">
        <f t="shared" si="80"/>
        <v>0</v>
      </c>
      <c r="U512" s="1">
        <f t="shared" si="80"/>
        <v>0</v>
      </c>
      <c r="V512" s="1">
        <f t="shared" si="80"/>
        <v>0</v>
      </c>
      <c r="W512" s="4">
        <f t="shared" si="78"/>
        <v>0</v>
      </c>
    </row>
    <row r="513" spans="1:23" ht="15" customHeight="1">
      <c r="D513" s="85" t="str">
        <f xml:space="preserve"> '2.1 Model setup'!K77</f>
        <v>3.1 Generel administration</v>
      </c>
      <c r="K513" s="578" t="str">
        <f t="shared" si="76"/>
        <v>DKKt</v>
      </c>
      <c r="L513" s="264">
        <f xml:space="preserve"> -- ( IF( '2.3 Selskabsspecifikke input'!N51 = 0, 0, ROUND( W513, 5 ) &lt;&gt; ROUND( N341, 5 ) ) )</f>
        <v>0</v>
      </c>
      <c r="O513" s="202"/>
      <c r="P513" s="202"/>
      <c r="Q513" s="202"/>
      <c r="R513" s="1">
        <f t="shared" si="80"/>
        <v>0</v>
      </c>
      <c r="S513" s="1">
        <f t="shared" si="80"/>
        <v>0</v>
      </c>
      <c r="T513" s="1">
        <f t="shared" si="80"/>
        <v>0</v>
      </c>
      <c r="U513" s="1">
        <f t="shared" si="80"/>
        <v>0</v>
      </c>
      <c r="V513" s="1">
        <f t="shared" si="80"/>
        <v>0</v>
      </c>
      <c r="W513" s="4">
        <f t="shared" si="78"/>
        <v>0</v>
      </c>
    </row>
    <row r="514" spans="1:23" ht="15" customHeight="1">
      <c r="D514" s="85" t="str">
        <f xml:space="preserve"> '2.1 Model setup'!K78</f>
        <v>4.1 Omkostninger vedrørende nettab i transformerstationer</v>
      </c>
      <c r="K514" s="578" t="str">
        <f t="shared" si="76"/>
        <v>DKKt</v>
      </c>
      <c r="L514" s="264">
        <f xml:space="preserve"> -- ( IF( '2.3 Selskabsspecifikke input'!N51 = 0, 0, ROUND( W514, 5 ) &lt;&gt; ROUND( N342, 5 ) ) )</f>
        <v>0</v>
      </c>
      <c r="O514" s="202"/>
      <c r="P514" s="202"/>
      <c r="Q514" s="202"/>
      <c r="R514" s="1">
        <f t="shared" si="80"/>
        <v>0</v>
      </c>
      <c r="S514" s="1">
        <f t="shared" si="80"/>
        <v>0</v>
      </c>
      <c r="T514" s="1">
        <f t="shared" si="80"/>
        <v>0</v>
      </c>
      <c r="U514" s="1">
        <f t="shared" si="80"/>
        <v>0</v>
      </c>
      <c r="V514" s="1">
        <f t="shared" si="80"/>
        <v>0</v>
      </c>
      <c r="W514" s="4">
        <f t="shared" si="78"/>
        <v>0</v>
      </c>
    </row>
    <row r="515" spans="1:23" ht="15" customHeight="1">
      <c r="D515" s="85" t="str">
        <f xml:space="preserve"> '2.1 Model setup'!K79</f>
        <v>4.2 Omkostninger vedrørende nettab i ledningsnettet</v>
      </c>
      <c r="K515" s="578" t="str">
        <f t="shared" si="76"/>
        <v>DKKt</v>
      </c>
      <c r="L515" s="264">
        <f xml:space="preserve"> -- ( IF( '2.3 Selskabsspecifikke input'!N51 = 0, 0, ROUND( W515, 5 ) &lt;&gt; ROUND( N343, 5 ) ) )</f>
        <v>0</v>
      </c>
      <c r="O515" s="202"/>
      <c r="P515" s="202"/>
      <c r="Q515" s="202"/>
      <c r="R515" s="1">
        <f t="shared" si="80"/>
        <v>0</v>
      </c>
      <c r="S515" s="1">
        <f t="shared" si="80"/>
        <v>0</v>
      </c>
      <c r="T515" s="1">
        <f t="shared" si="80"/>
        <v>0</v>
      </c>
      <c r="U515" s="1">
        <f t="shared" si="80"/>
        <v>0</v>
      </c>
      <c r="V515" s="1">
        <f t="shared" si="80"/>
        <v>0</v>
      </c>
      <c r="W515" s="4">
        <f t="shared" si="78"/>
        <v>0</v>
      </c>
    </row>
    <row r="516" spans="1:23" ht="15" customHeight="1">
      <c r="D516" s="85" t="str">
        <f xml:space="preserve"> '2.1 Model setup'!K80</f>
        <v>5.1 Omkostninger til overliggende net ifm. forbrug</v>
      </c>
      <c r="K516" s="578" t="str">
        <f t="shared" si="76"/>
        <v>DKKt</v>
      </c>
      <c r="L516" s="264">
        <f xml:space="preserve"> -- ( IF( '2.3 Selskabsspecifikke input'!N51 = 0, 0, ROUND( W516, 5 ) &lt;&gt; ROUND( N344, 5 ) ) )</f>
        <v>0</v>
      </c>
      <c r="O516" s="202"/>
      <c r="P516" s="202"/>
      <c r="Q516" s="202"/>
      <c r="R516" s="1">
        <f t="shared" si="80"/>
        <v>0</v>
      </c>
      <c r="S516" s="1">
        <f t="shared" si="80"/>
        <v>0</v>
      </c>
      <c r="T516" s="1">
        <f t="shared" si="80"/>
        <v>0</v>
      </c>
      <c r="U516" s="1">
        <f t="shared" si="80"/>
        <v>0</v>
      </c>
      <c r="V516" s="1">
        <f t="shared" si="80"/>
        <v>0</v>
      </c>
      <c r="W516" s="4">
        <f xml:space="preserve"> SUM( R516:V516 )</f>
        <v>0</v>
      </c>
    </row>
    <row r="517" spans="1:23" ht="15" customHeight="1">
      <c r="D517" s="85" t="str">
        <f xml:space="preserve"> '2.1 Model setup'!K81</f>
        <v>5.2 Øvrige omkostninger</v>
      </c>
      <c r="K517" s="578" t="str">
        <f t="shared" si="76"/>
        <v>DKKt</v>
      </c>
      <c r="L517" s="264">
        <f xml:space="preserve"> -- ( IF( '2.3 Selskabsspecifikke input'!N51 = 0, 0, ROUND( W517, 5 ) &lt;&gt; ROUND( N345, 5 ) ) )</f>
        <v>0</v>
      </c>
      <c r="O517" s="202"/>
      <c r="P517" s="202"/>
      <c r="Q517" s="202"/>
      <c r="R517" s="1">
        <f t="shared" si="80"/>
        <v>0</v>
      </c>
      <c r="S517" s="1">
        <f t="shared" si="80"/>
        <v>0</v>
      </c>
      <c r="T517" s="1">
        <f t="shared" si="80"/>
        <v>0</v>
      </c>
      <c r="U517" s="1">
        <f t="shared" si="80"/>
        <v>0</v>
      </c>
      <c r="V517" s="1">
        <f t="shared" si="80"/>
        <v>0</v>
      </c>
      <c r="W517" s="4">
        <f t="shared" si="78"/>
        <v>0</v>
      </c>
    </row>
    <row r="518" spans="1:23" ht="15" customHeight="1">
      <c r="D518" s="85" t="str">
        <f xml:space="preserve"> '2.1 Model setup'!K82</f>
        <v>6.1 Afskrivninger på transformerstationer</v>
      </c>
      <c r="K518" s="578" t="str">
        <f t="shared" si="76"/>
        <v>DKKt</v>
      </c>
      <c r="L518" s="264">
        <f xml:space="preserve"> -- ( IF( '2.3 Selskabsspecifikke input'!N51 = 0, 0, ROUND( W518, 5 ) &lt;&gt; ROUND( N346, 5 ) ) )</f>
        <v>0</v>
      </c>
      <c r="O518" s="202"/>
      <c r="P518" s="202"/>
      <c r="Q518" s="202"/>
      <c r="R518" s="1">
        <f t="shared" si="80"/>
        <v>0</v>
      </c>
      <c r="S518" s="1">
        <f t="shared" si="80"/>
        <v>0</v>
      </c>
      <c r="T518" s="1">
        <f t="shared" si="80"/>
        <v>0</v>
      </c>
      <c r="U518" s="1">
        <f t="shared" si="80"/>
        <v>0</v>
      </c>
      <c r="V518" s="1">
        <f t="shared" si="80"/>
        <v>0</v>
      </c>
      <c r="W518" s="4">
        <f t="shared" si="78"/>
        <v>0</v>
      </c>
    </row>
    <row r="519" spans="1:23" ht="15" customHeight="1">
      <c r="D519" s="85" t="str">
        <f xml:space="preserve"> '2.1 Model setup'!K83</f>
        <v>6.2 Afskrivninger på netaktiver ekskl. målere og transformerstationer</v>
      </c>
      <c r="K519" s="578" t="str">
        <f t="shared" si="76"/>
        <v>DKKt</v>
      </c>
      <c r="L519" s="264">
        <f xml:space="preserve"> -- ( IF( '2.3 Selskabsspecifikke input'!N51 = 0, 0, ROUND( W519, 5 ) &lt;&gt; ROUND( N347, 5 ) ) )</f>
        <v>0</v>
      </c>
      <c r="O519" s="202"/>
      <c r="P519" s="202"/>
      <c r="Q519" s="202"/>
      <c r="R519" s="1">
        <f t="shared" si="80"/>
        <v>0</v>
      </c>
      <c r="S519" s="1">
        <f t="shared" si="80"/>
        <v>0</v>
      </c>
      <c r="T519" s="1">
        <f t="shared" si="80"/>
        <v>0</v>
      </c>
      <c r="U519" s="1">
        <f t="shared" si="80"/>
        <v>0</v>
      </c>
      <c r="V519" s="1">
        <f t="shared" si="80"/>
        <v>0</v>
      </c>
      <c r="W519" s="4">
        <f t="shared" si="78"/>
        <v>0</v>
      </c>
    </row>
    <row r="520" spans="1:23" ht="15" customHeight="1">
      <c r="D520" s="85" t="str">
        <f xml:space="preserve"> '2.1 Model setup'!K84</f>
        <v>6.3 Afskrivninger på målere</v>
      </c>
      <c r="K520" s="578" t="str">
        <f t="shared" si="76"/>
        <v>DKKt</v>
      </c>
      <c r="L520" s="264">
        <f xml:space="preserve"> -- ( IF( '2.3 Selskabsspecifikke input'!N51 = 0, 0, ROUND( W520, 5 ) &lt;&gt; ROUND( N348, 5 ) ) )</f>
        <v>0</v>
      </c>
      <c r="O520" s="202"/>
      <c r="P520" s="202"/>
      <c r="Q520" s="202"/>
      <c r="R520" s="1">
        <f t="shared" si="80"/>
        <v>0</v>
      </c>
      <c r="S520" s="1">
        <f t="shared" si="80"/>
        <v>0</v>
      </c>
      <c r="T520" s="1">
        <f t="shared" si="80"/>
        <v>0</v>
      </c>
      <c r="U520" s="1">
        <f t="shared" si="80"/>
        <v>0</v>
      </c>
      <c r="V520" s="1">
        <f t="shared" si="80"/>
        <v>0</v>
      </c>
      <c r="W520" s="4">
        <f t="shared" si="78"/>
        <v>0</v>
      </c>
    </row>
    <row r="521" spans="1:23" ht="15" customHeight="1">
      <c r="D521" s="105" t="s">
        <v>16</v>
      </c>
      <c r="E521" s="33"/>
      <c r="F521" s="33"/>
      <c r="G521" s="33"/>
      <c r="H521" s="33"/>
      <c r="I521" s="33"/>
      <c r="J521" s="33"/>
      <c r="K521" s="579" t="str">
        <f t="shared" si="76"/>
        <v>DKKt</v>
      </c>
      <c r="L521" s="334">
        <f xml:space="preserve"> -- ( IF( '2.3 Selskabsspecifikke input'!N51 = 0, 0, ROUND( W521, 5 ) &lt;&gt; ROUND( N349, 5 ) ) )</f>
        <v>0</v>
      </c>
      <c r="M521" s="33"/>
      <c r="N521" s="186"/>
      <c r="O521" s="388"/>
      <c r="P521" s="388"/>
      <c r="Q521" s="388"/>
      <c r="R521" s="186">
        <f t="shared" ref="R521:W521" si="81" xml:space="preserve"> SUM( R506:R520 )</f>
        <v>0</v>
      </c>
      <c r="S521" s="186">
        <f t="shared" si="81"/>
        <v>0</v>
      </c>
      <c r="T521" s="186">
        <f t="shared" si="81"/>
        <v>0</v>
      </c>
      <c r="U521" s="186">
        <f t="shared" si="81"/>
        <v>0</v>
      </c>
      <c r="V521" s="186">
        <f t="shared" si="81"/>
        <v>0</v>
      </c>
      <c r="W521" s="186">
        <f t="shared" si="81"/>
        <v>0</v>
      </c>
    </row>
    <row r="522" spans="1:23" ht="15" customHeight="1">
      <c r="L522" s="231"/>
    </row>
    <row r="523" spans="1:23" ht="15" customHeight="1">
      <c r="L523" s="231"/>
    </row>
    <row r="524" spans="1:23" ht="15" customHeight="1">
      <c r="L524" s="231"/>
    </row>
    <row r="525" spans="1:23" s="475" customFormat="1" ht="15" customHeight="1">
      <c r="B525" s="479" t="str">
        <f xml:space="preserve"> COUNTA(B$10:B522) &amp; ") Tariferingsgrundlag fordelt til tarif/effekt og abonnement"</f>
        <v>6) Tariferingsgrundlag fordelt til tarif/effekt og abonnement</v>
      </c>
      <c r="C525" s="477"/>
      <c r="D525" s="478"/>
      <c r="K525" s="472"/>
    </row>
    <row r="527" spans="1:23" customFormat="1" ht="15" customHeight="1">
      <c r="A527" s="1"/>
      <c r="B527" s="1"/>
      <c r="C527" s="2"/>
      <c r="D527" s="97" t="s">
        <v>228</v>
      </c>
      <c r="E527" s="27"/>
      <c r="F527" s="86"/>
      <c r="G527" s="86"/>
      <c r="H527" s="86"/>
      <c r="I527" s="86"/>
      <c r="J527" s="86"/>
      <c r="K527" s="98"/>
      <c r="L527" s="99"/>
      <c r="M527" s="99"/>
      <c r="N527" s="86"/>
      <c r="O527" s="86"/>
      <c r="P527" s="86"/>
      <c r="Q527" s="86"/>
      <c r="R527" s="1"/>
      <c r="S527" s="1"/>
      <c r="T527" s="1"/>
      <c r="U527" s="1"/>
      <c r="V527" s="1"/>
      <c r="W527" s="1"/>
    </row>
    <row r="528" spans="1:23" customFormat="1" ht="15" customHeight="1">
      <c r="A528" s="1"/>
      <c r="B528" s="1"/>
      <c r="C528" s="2"/>
      <c r="D528" s="85" t="str">
        <f xml:space="preserve"> '2.1 Model setup'!K70</f>
        <v>1.1 Drift og vedligeholdelse af transformerstationer</v>
      </c>
      <c r="E528" s="1"/>
      <c r="F528" s="123"/>
      <c r="G528" s="123"/>
      <c r="H528" s="123"/>
      <c r="I528" s="123"/>
      <c r="J528" s="123"/>
      <c r="K528" s="87" t="s">
        <v>41</v>
      </c>
      <c r="L528" s="85"/>
      <c r="M528" s="85"/>
      <c r="N528" s="123" t="str">
        <f xml:space="preserve"> '2.2 Generelle input'!N55</f>
        <v>Tarif/effekt</v>
      </c>
      <c r="O528" s="396"/>
      <c r="P528" s="396"/>
      <c r="Q528" s="396"/>
      <c r="R528" s="272"/>
      <c r="S528" s="272"/>
      <c r="T528" s="272"/>
      <c r="U528" s="272"/>
      <c r="V528" s="272"/>
      <c r="W528" s="274"/>
    </row>
    <row r="529" spans="1:23" customFormat="1" ht="15" customHeight="1">
      <c r="A529" s="1"/>
      <c r="B529" s="1"/>
      <c r="C529" s="2"/>
      <c r="D529" s="85" t="str">
        <f xml:space="preserve"> '2.1 Model setup'!K71</f>
        <v>1.2 Drift og vedligeholdelse af ledningsnet</v>
      </c>
      <c r="E529" s="1"/>
      <c r="F529" s="85"/>
      <c r="G529" s="85"/>
      <c r="H529" s="85"/>
      <c r="I529" s="85"/>
      <c r="J529" s="85"/>
      <c r="K529" s="87" t="s">
        <v>41</v>
      </c>
      <c r="L529" s="85"/>
      <c r="M529" s="85"/>
      <c r="N529" s="85" t="str">
        <f xml:space="preserve"> '2.2 Generelle input'!N56</f>
        <v>Tarif/effekt</v>
      </c>
      <c r="O529" s="397"/>
      <c r="P529" s="397"/>
      <c r="Q529" s="397"/>
      <c r="R529" s="257"/>
      <c r="S529" s="257"/>
      <c r="T529" s="257"/>
      <c r="U529" s="257"/>
      <c r="V529" s="257"/>
      <c r="W529" s="202"/>
    </row>
    <row r="530" spans="1:23" customFormat="1" ht="15" customHeight="1">
      <c r="A530" s="1"/>
      <c r="B530" s="1"/>
      <c r="C530" s="2"/>
      <c r="D530" s="85" t="str">
        <f xml:space="preserve"> '2.1 Model setup'!K72</f>
        <v>1.3 Øvrige omkostninger til drift, styring og kontrol af elnettet</v>
      </c>
      <c r="E530" s="1"/>
      <c r="F530" s="85"/>
      <c r="G530" s="85"/>
      <c r="H530" s="85"/>
      <c r="I530" s="85"/>
      <c r="J530" s="85"/>
      <c r="K530" s="87" t="s">
        <v>41</v>
      </c>
      <c r="L530" s="85"/>
      <c r="M530" s="85"/>
      <c r="N530" s="85" t="str">
        <f xml:space="preserve"> '2.2 Generelle input'!N57</f>
        <v>Tarif/effekt</v>
      </c>
      <c r="O530" s="397"/>
      <c r="P530" s="397"/>
      <c r="Q530" s="397"/>
      <c r="R530" s="257"/>
      <c r="S530" s="257"/>
      <c r="T530" s="257"/>
      <c r="U530" s="257"/>
      <c r="V530" s="257"/>
      <c r="W530" s="202"/>
    </row>
    <row r="531" spans="1:23" customFormat="1" ht="15" customHeight="1">
      <c r="A531" s="1"/>
      <c r="B531" s="1"/>
      <c r="C531" s="2"/>
      <c r="D531" s="85" t="str">
        <f xml:space="preserve"> '2.1 Model setup'!K73</f>
        <v>1.4 Omkostninger vedrørende 132-150/30-60 kV-stationer</v>
      </c>
      <c r="E531" s="1"/>
      <c r="F531" s="85"/>
      <c r="G531" s="85"/>
      <c r="H531" s="85"/>
      <c r="I531" s="85"/>
      <c r="J531" s="85"/>
      <c r="K531" s="87" t="s">
        <v>41</v>
      </c>
      <c r="L531" s="85"/>
      <c r="M531" s="85"/>
      <c r="N531" s="85">
        <f xml:space="preserve"> '2.2 Generelle input'!N58</f>
        <v>0</v>
      </c>
      <c r="O531" s="397"/>
      <c r="P531" s="397"/>
      <c r="Q531" s="397"/>
      <c r="R531" s="257"/>
      <c r="S531" s="257"/>
      <c r="T531" s="257"/>
      <c r="U531" s="257"/>
      <c r="V531" s="257"/>
      <c r="W531" s="202"/>
    </row>
    <row r="532" spans="1:23" customFormat="1" ht="15" customHeight="1">
      <c r="A532" s="1"/>
      <c r="B532" s="1"/>
      <c r="C532" s="2"/>
      <c r="D532" s="85" t="str">
        <f xml:space="preserve"> '2.1 Model setup'!K74</f>
        <v>2.1 Drift og vedligeholdelse af målere</v>
      </c>
      <c r="E532" s="1"/>
      <c r="F532" s="85"/>
      <c r="G532" s="85"/>
      <c r="H532" s="85"/>
      <c r="I532" s="85"/>
      <c r="J532" s="85"/>
      <c r="K532" s="87" t="s">
        <v>41</v>
      </c>
      <c r="L532" s="85"/>
      <c r="M532" s="85"/>
      <c r="N532" s="85" t="str">
        <f xml:space="preserve"> '2.2 Generelle input'!N59</f>
        <v>Abonnement</v>
      </c>
      <c r="O532" s="397"/>
      <c r="P532" s="397"/>
      <c r="Q532" s="397"/>
      <c r="R532" s="257"/>
      <c r="S532" s="257"/>
      <c r="T532" s="257"/>
      <c r="U532" s="257"/>
      <c r="V532" s="257"/>
      <c r="W532" s="202"/>
    </row>
    <row r="533" spans="1:23" customFormat="1" ht="15" customHeight="1">
      <c r="A533" s="1"/>
      <c r="B533" s="1"/>
      <c r="C533" s="2"/>
      <c r="D533" s="85" t="str">
        <f xml:space="preserve"> '2.1 Model setup'!K75</f>
        <v>2.2 Indhentning og validering af målerdata</v>
      </c>
      <c r="E533" s="1"/>
      <c r="F533" s="85"/>
      <c r="G533" s="85"/>
      <c r="H533" s="85"/>
      <c r="I533" s="85"/>
      <c r="J533" s="85"/>
      <c r="K533" s="87" t="s">
        <v>41</v>
      </c>
      <c r="L533" s="85"/>
      <c r="M533" s="85"/>
      <c r="N533" s="85" t="str">
        <f xml:space="preserve"> '2.2 Generelle input'!N60</f>
        <v>Abonnement</v>
      </c>
      <c r="O533" s="397"/>
      <c r="P533" s="397"/>
      <c r="Q533" s="397"/>
      <c r="R533" s="257"/>
      <c r="S533" s="257"/>
      <c r="T533" s="257"/>
      <c r="U533" s="257"/>
      <c r="V533" s="257"/>
      <c r="W533" s="202"/>
    </row>
    <row r="534" spans="1:23" customFormat="1" ht="15" customHeight="1">
      <c r="A534" s="1"/>
      <c r="B534" s="1"/>
      <c r="C534" s="2"/>
      <c r="D534" s="85" t="str">
        <f xml:space="preserve"> '2.1 Model setup'!K76</f>
        <v>2.3 Måleradministration og kundehåndtering</v>
      </c>
      <c r="E534" s="1"/>
      <c r="F534" s="85"/>
      <c r="G534" s="85"/>
      <c r="H534" s="85"/>
      <c r="I534" s="85"/>
      <c r="J534" s="85"/>
      <c r="K534" s="87" t="s">
        <v>41</v>
      </c>
      <c r="L534" s="85"/>
      <c r="M534" s="85"/>
      <c r="N534" s="85" t="str">
        <f xml:space="preserve"> '2.2 Generelle input'!N61</f>
        <v>Abonnement</v>
      </c>
      <c r="O534" s="397"/>
      <c r="P534" s="397"/>
      <c r="Q534" s="397"/>
      <c r="R534" s="257"/>
      <c r="S534" s="257"/>
      <c r="T534" s="257"/>
      <c r="U534" s="257"/>
      <c r="V534" s="257"/>
      <c r="W534" s="202"/>
    </row>
    <row r="535" spans="1:23" customFormat="1" ht="15" customHeight="1">
      <c r="A535" s="1"/>
      <c r="B535" s="1"/>
      <c r="C535" s="2"/>
      <c r="D535" s="85" t="str">
        <f xml:space="preserve"> '2.1 Model setup'!K77</f>
        <v>3.1 Generel administration</v>
      </c>
      <c r="E535" s="1"/>
      <c r="F535" s="85"/>
      <c r="G535" s="85"/>
      <c r="H535" s="85"/>
      <c r="I535" s="85"/>
      <c r="J535" s="85"/>
      <c r="K535" s="87" t="s">
        <v>41</v>
      </c>
      <c r="L535" s="85"/>
      <c r="M535" s="85"/>
      <c r="N535" s="85" t="str">
        <f xml:space="preserve"> '2.2 Generelle input'!N62</f>
        <v>Abonnement</v>
      </c>
      <c r="O535" s="397"/>
      <c r="P535" s="397"/>
      <c r="Q535" s="397"/>
      <c r="R535" s="257"/>
      <c r="S535" s="257"/>
      <c r="T535" s="257"/>
      <c r="U535" s="257"/>
      <c r="V535" s="257"/>
      <c r="W535" s="202"/>
    </row>
    <row r="536" spans="1:23" customFormat="1" ht="15" customHeight="1">
      <c r="A536" s="1"/>
      <c r="B536" s="1"/>
      <c r="C536" s="2"/>
      <c r="D536" s="85" t="str">
        <f xml:space="preserve"> '2.1 Model setup'!K78</f>
        <v>4.1 Omkostninger vedrørende nettab i transformerstationer</v>
      </c>
      <c r="E536" s="1"/>
      <c r="F536" s="85"/>
      <c r="G536" s="85"/>
      <c r="H536" s="85"/>
      <c r="I536" s="85"/>
      <c r="J536" s="85"/>
      <c r="K536" s="87" t="s">
        <v>41</v>
      </c>
      <c r="L536" s="85"/>
      <c r="M536" s="85"/>
      <c r="N536" s="85" t="str">
        <f xml:space="preserve"> '2.2 Generelle input'!N63</f>
        <v>Tarif</v>
      </c>
      <c r="O536" s="397"/>
      <c r="P536" s="397"/>
      <c r="Q536" s="397"/>
      <c r="R536" s="257"/>
      <c r="S536" s="257"/>
      <c r="T536" s="257"/>
      <c r="U536" s="257"/>
      <c r="V536" s="257"/>
      <c r="W536" s="202"/>
    </row>
    <row r="537" spans="1:23" customFormat="1" ht="15" customHeight="1">
      <c r="A537" s="1"/>
      <c r="B537" s="1"/>
      <c r="C537" s="2"/>
      <c r="D537" s="85" t="str">
        <f xml:space="preserve"> '2.1 Model setup'!K79</f>
        <v>4.2 Omkostninger vedrørende nettab i ledningsnettet</v>
      </c>
      <c r="E537" s="1"/>
      <c r="F537" s="85"/>
      <c r="G537" s="85"/>
      <c r="H537" s="85"/>
      <c r="I537" s="85"/>
      <c r="J537" s="85"/>
      <c r="K537" s="87" t="s">
        <v>41</v>
      </c>
      <c r="L537" s="85"/>
      <c r="M537" s="85"/>
      <c r="N537" s="85" t="str">
        <f xml:space="preserve"> '2.2 Generelle input'!N64</f>
        <v>Tarif</v>
      </c>
      <c r="O537" s="397"/>
      <c r="P537" s="397"/>
      <c r="Q537" s="397"/>
      <c r="R537" s="257"/>
      <c r="S537" s="257"/>
      <c r="T537" s="257"/>
      <c r="U537" s="257"/>
      <c r="V537" s="257"/>
      <c r="W537" s="202"/>
    </row>
    <row r="538" spans="1:23" customFormat="1" ht="15" customHeight="1">
      <c r="A538" s="1"/>
      <c r="B538" s="1"/>
      <c r="C538" s="2"/>
      <c r="D538" s="85" t="str">
        <f xml:space="preserve"> '2.1 Model setup'!K80</f>
        <v>5.1 Omkostninger til overliggende net ifm. forbrug</v>
      </c>
      <c r="E538" s="1"/>
      <c r="F538" s="85"/>
      <c r="G538" s="85"/>
      <c r="H538" s="85"/>
      <c r="I538" s="85"/>
      <c r="J538" s="85"/>
      <c r="K538" s="87" t="s">
        <v>41</v>
      </c>
      <c r="L538" s="85"/>
      <c r="M538" s="85"/>
      <c r="N538" s="85" t="str">
        <f xml:space="preserve"> '2.2 Generelle input'!N65</f>
        <v>Tarif/effekt</v>
      </c>
      <c r="O538" s="397"/>
      <c r="P538" s="397"/>
      <c r="Q538" s="397"/>
      <c r="R538" s="257"/>
      <c r="S538" s="257"/>
      <c r="T538" s="257"/>
      <c r="U538" s="257"/>
      <c r="V538" s="257"/>
      <c r="W538" s="202"/>
    </row>
    <row r="539" spans="1:23" customFormat="1" ht="15" customHeight="1">
      <c r="A539" s="1"/>
      <c r="B539" s="1"/>
      <c r="C539" s="2"/>
      <c r="D539" s="85" t="str">
        <f xml:space="preserve"> '2.1 Model setup'!K81</f>
        <v>5.2 Øvrige omkostninger</v>
      </c>
      <c r="E539" s="1"/>
      <c r="F539" s="85"/>
      <c r="G539" s="85"/>
      <c r="H539" s="85"/>
      <c r="I539" s="85"/>
      <c r="J539" s="85"/>
      <c r="K539" s="87" t="s">
        <v>41</v>
      </c>
      <c r="L539" s="85"/>
      <c r="M539" s="85"/>
      <c r="N539" s="85" t="str">
        <f xml:space="preserve"> '2.3 Selskabsspecifikke input'!N175</f>
        <v>Tarif/effekt</v>
      </c>
      <c r="O539" s="397"/>
      <c r="P539" s="397"/>
      <c r="Q539" s="397"/>
      <c r="R539" s="257"/>
      <c r="S539" s="257"/>
      <c r="T539" s="257"/>
      <c r="U539" s="257"/>
      <c r="V539" s="257"/>
      <c r="W539" s="202"/>
    </row>
    <row r="540" spans="1:23" customFormat="1" ht="15" customHeight="1">
      <c r="A540" s="1"/>
      <c r="B540" s="1"/>
      <c r="C540" s="2"/>
      <c r="D540" s="85" t="str">
        <f xml:space="preserve"> '2.1 Model setup'!K82</f>
        <v>6.1 Afskrivninger på transformerstationer</v>
      </c>
      <c r="E540" s="1"/>
      <c r="F540" s="85"/>
      <c r="G540" s="85"/>
      <c r="H540" s="85"/>
      <c r="I540" s="85"/>
      <c r="J540" s="85"/>
      <c r="K540" s="87" t="s">
        <v>41</v>
      </c>
      <c r="L540" s="85"/>
      <c r="M540" s="85"/>
      <c r="N540" s="85" t="str">
        <f xml:space="preserve"> '2.2 Generelle input'!N67</f>
        <v>Tarif/effekt</v>
      </c>
      <c r="O540" s="397"/>
      <c r="P540" s="397"/>
      <c r="Q540" s="397"/>
      <c r="R540" s="257"/>
      <c r="S540" s="257"/>
      <c r="T540" s="257"/>
      <c r="U540" s="257"/>
      <c r="V540" s="257"/>
      <c r="W540" s="202"/>
    </row>
    <row r="541" spans="1:23" customFormat="1" ht="15" customHeight="1">
      <c r="A541" s="1"/>
      <c r="B541" s="1"/>
      <c r="C541" s="2"/>
      <c r="D541" s="85" t="str">
        <f xml:space="preserve"> '2.1 Model setup'!K83</f>
        <v>6.2 Afskrivninger på netaktiver ekskl. målere og transformerstationer</v>
      </c>
      <c r="E541" s="1"/>
      <c r="F541" s="85"/>
      <c r="G541" s="85"/>
      <c r="H541" s="85"/>
      <c r="I541" s="85"/>
      <c r="J541" s="85"/>
      <c r="K541" s="87" t="s">
        <v>41</v>
      </c>
      <c r="L541" s="85"/>
      <c r="M541" s="85"/>
      <c r="N541" s="85" t="str">
        <f xml:space="preserve"> '2.2 Generelle input'!N68</f>
        <v>Tarif/effekt</v>
      </c>
      <c r="O541" s="397"/>
      <c r="P541" s="397"/>
      <c r="Q541" s="397"/>
      <c r="R541" s="257"/>
      <c r="S541" s="257"/>
      <c r="T541" s="257"/>
      <c r="U541" s="257"/>
      <c r="V541" s="257"/>
      <c r="W541" s="202"/>
    </row>
    <row r="542" spans="1:23" customFormat="1" ht="15" customHeight="1">
      <c r="A542" s="1"/>
      <c r="B542" s="1"/>
      <c r="C542" s="2"/>
      <c r="D542" s="99" t="str">
        <f xml:space="preserve"> '2.1 Model setup'!K84</f>
        <v>6.3 Afskrivninger på målere</v>
      </c>
      <c r="E542" s="27"/>
      <c r="F542" s="99"/>
      <c r="G542" s="99"/>
      <c r="H542" s="99"/>
      <c r="I542" s="99"/>
      <c r="J542" s="99"/>
      <c r="K542" s="98" t="s">
        <v>41</v>
      </c>
      <c r="L542" s="99"/>
      <c r="M542" s="99"/>
      <c r="N542" s="99" t="str">
        <f xml:space="preserve"> '2.2 Generelle input'!N69</f>
        <v>Abonnement</v>
      </c>
      <c r="O542" s="398"/>
      <c r="P542" s="398"/>
      <c r="Q542" s="398"/>
      <c r="R542" s="273"/>
      <c r="S542" s="273"/>
      <c r="T542" s="273"/>
      <c r="U542" s="273"/>
      <c r="V542" s="273"/>
      <c r="W542" s="269"/>
    </row>
    <row r="544" spans="1:23" customFormat="1" ht="15" customHeight="1">
      <c r="A544" s="1"/>
      <c r="B544" s="1"/>
      <c r="C544" s="2"/>
      <c r="D544" s="97" t="s">
        <v>106</v>
      </c>
      <c r="E544" s="27"/>
      <c r="F544" s="86"/>
      <c r="G544" s="86"/>
      <c r="H544" s="86"/>
      <c r="I544" s="86"/>
      <c r="J544" s="86"/>
      <c r="K544" s="98"/>
      <c r="L544" s="99"/>
      <c r="M544" s="99"/>
      <c r="N544" s="86"/>
      <c r="O544" s="86"/>
      <c r="P544" s="86"/>
      <c r="Q544" s="86"/>
      <c r="R544" s="1"/>
      <c r="S544" s="1"/>
      <c r="T544" s="1"/>
      <c r="U544" s="1"/>
      <c r="V544" s="1"/>
      <c r="W544" s="1"/>
    </row>
    <row r="545" spans="1:23" customFormat="1" ht="15" customHeight="1">
      <c r="A545" s="1"/>
      <c r="B545" s="1"/>
      <c r="C545" s="2"/>
      <c r="D545" s="85" t="str">
        <f xml:space="preserve"> '2.1 Model setup'!K85</f>
        <v>7.1 Transformerstationer (forrentning)</v>
      </c>
      <c r="E545" s="1"/>
      <c r="F545" s="123"/>
      <c r="G545" s="123"/>
      <c r="H545" s="123"/>
      <c r="I545" s="123"/>
      <c r="J545" s="123"/>
      <c r="K545" s="87" t="s">
        <v>41</v>
      </c>
      <c r="L545" s="85"/>
      <c r="M545" s="85"/>
      <c r="N545" s="123" t="str">
        <f xml:space="preserve"> '2.2 Generelle input'!N70</f>
        <v>Tarif/effekt</v>
      </c>
      <c r="O545" s="396"/>
      <c r="P545" s="396"/>
      <c r="Q545" s="396"/>
      <c r="R545" s="272"/>
      <c r="S545" s="272"/>
      <c r="T545" s="272"/>
      <c r="U545" s="272"/>
      <c r="V545" s="272"/>
      <c r="W545" s="274"/>
    </row>
    <row r="546" spans="1:23" customFormat="1" ht="15" customHeight="1">
      <c r="A546" s="1"/>
      <c r="B546" s="1"/>
      <c r="C546" s="2"/>
      <c r="D546" s="85" t="str">
        <f xml:space="preserve"> '2.1 Model setup'!K86</f>
        <v>7.2 Netaktiver ekskl. målere og transformerstationer (forrentning)</v>
      </c>
      <c r="E546" s="1"/>
      <c r="F546" s="85"/>
      <c r="G546" s="85"/>
      <c r="H546" s="85"/>
      <c r="I546" s="85"/>
      <c r="J546" s="85"/>
      <c r="K546" s="87" t="s">
        <v>41</v>
      </c>
      <c r="L546" s="85"/>
      <c r="M546" s="85"/>
      <c r="N546" s="85" t="str">
        <f xml:space="preserve"> '2.2 Generelle input'!N71</f>
        <v>Tarif/effekt</v>
      </c>
      <c r="O546" s="397"/>
      <c r="P546" s="397"/>
      <c r="Q546" s="397"/>
      <c r="R546" s="257"/>
      <c r="S546" s="257"/>
      <c r="T546" s="257"/>
      <c r="U546" s="257"/>
      <c r="V546" s="257"/>
      <c r="W546" s="202"/>
    </row>
    <row r="547" spans="1:23" customFormat="1" ht="15" customHeight="1">
      <c r="A547" s="1"/>
      <c r="B547" s="1"/>
      <c r="C547" s="2"/>
      <c r="D547" s="99" t="str">
        <f xml:space="preserve"> '2.1 Model setup'!K87</f>
        <v>7.3 Målere (forrentning)</v>
      </c>
      <c r="E547" s="27"/>
      <c r="F547" s="99"/>
      <c r="G547" s="99"/>
      <c r="H547" s="99"/>
      <c r="I547" s="99"/>
      <c r="J547" s="99"/>
      <c r="K547" s="98" t="s">
        <v>41</v>
      </c>
      <c r="L547" s="99"/>
      <c r="M547" s="99"/>
      <c r="N547" s="99" t="str">
        <f xml:space="preserve"> '2.2 Generelle input'!N72</f>
        <v>Abonnement</v>
      </c>
      <c r="O547" s="398"/>
      <c r="P547" s="398"/>
      <c r="Q547" s="398"/>
      <c r="R547" s="273"/>
      <c r="S547" s="273"/>
      <c r="T547" s="273"/>
      <c r="U547" s="273"/>
      <c r="V547" s="273"/>
      <c r="W547" s="269"/>
    </row>
    <row r="549" spans="1:23" ht="15" customHeight="1">
      <c r="D549" s="35" t="s">
        <v>86</v>
      </c>
      <c r="E549" s="27"/>
      <c r="F549" s="27"/>
      <c r="G549" s="27"/>
      <c r="H549" s="27"/>
      <c r="I549" s="27"/>
      <c r="J549" s="27"/>
      <c r="K549" s="32"/>
      <c r="L549" s="27"/>
      <c r="M549" s="27"/>
      <c r="N549" s="27"/>
      <c r="O549" s="27"/>
      <c r="P549" s="27"/>
      <c r="Q549" s="27"/>
      <c r="R549" s="27"/>
      <c r="S549" s="27"/>
      <c r="T549" s="27"/>
      <c r="U549" s="27"/>
      <c r="V549" s="27"/>
      <c r="W549" s="185" t="s">
        <v>16</v>
      </c>
    </row>
    <row r="550" spans="1:23" ht="15" customHeight="1">
      <c r="D550" s="85" t="str">
        <f xml:space="preserve"> '2.1 Model setup'!K70</f>
        <v>1.1 Drift og vedligeholdelse af transformerstationer</v>
      </c>
      <c r="K550" s="5" t="str">
        <f t="shared" ref="K550:K565" si="82" xml:space="preserve"> Model.Units</f>
        <v>DKKt</v>
      </c>
      <c r="O550" s="202"/>
      <c r="P550" s="202"/>
      <c r="Q550" s="202"/>
      <c r="R550" s="1">
        <f xml:space="preserve"> ( $N528 =  '2.1 Model setup'!$K$46 ) * R506</f>
        <v>0</v>
      </c>
      <c r="S550" s="1">
        <f xml:space="preserve"> ( $N528 =  '2.1 Model setup'!$K$46 ) * S506</f>
        <v>0</v>
      </c>
      <c r="T550" s="1">
        <f xml:space="preserve"> ( $N528 =  '2.1 Model setup'!$K$46 ) * T506</f>
        <v>0</v>
      </c>
      <c r="U550" s="1">
        <f xml:space="preserve"> ( $N528 =  '2.1 Model setup'!$K$46 ) * U506</f>
        <v>0</v>
      </c>
      <c r="V550" s="1">
        <f xml:space="preserve"> ( $N528 =  '2.1 Model setup'!$K$46 ) * V506</f>
        <v>0</v>
      </c>
      <c r="W550" s="4">
        <f t="shared" ref="W550:W564" si="83" xml:space="preserve"> SUM( R550:V550 )</f>
        <v>0</v>
      </c>
    </row>
    <row r="551" spans="1:23" ht="15" customHeight="1">
      <c r="D551" s="85" t="str">
        <f xml:space="preserve"> '2.1 Model setup'!K71</f>
        <v>1.2 Drift og vedligeholdelse af ledningsnet</v>
      </c>
      <c r="K551" s="5" t="str">
        <f t="shared" si="82"/>
        <v>DKKt</v>
      </c>
      <c r="O551" s="202"/>
      <c r="P551" s="202"/>
      <c r="Q551" s="202"/>
      <c r="R551" s="1">
        <f xml:space="preserve"> ( $N529 =  '2.1 Model setup'!$K$46 ) * R507</f>
        <v>0</v>
      </c>
      <c r="S551" s="1">
        <f xml:space="preserve"> ( $N529 =  '2.1 Model setup'!$K$46 ) * S507</f>
        <v>0</v>
      </c>
      <c r="T551" s="1">
        <f xml:space="preserve"> ( $N529 =  '2.1 Model setup'!$K$46 ) * T507</f>
        <v>0</v>
      </c>
      <c r="U551" s="1">
        <f xml:space="preserve"> ( $N529 =  '2.1 Model setup'!$K$46 ) * U507</f>
        <v>0</v>
      </c>
      <c r="V551" s="1">
        <f xml:space="preserve"> ( $N529 =  '2.1 Model setup'!$K$46 ) * V507</f>
        <v>0</v>
      </c>
      <c r="W551" s="4">
        <f t="shared" si="83"/>
        <v>0</v>
      </c>
    </row>
    <row r="552" spans="1:23" ht="15" customHeight="1">
      <c r="D552" s="85" t="str">
        <f xml:space="preserve"> '2.1 Model setup'!K72</f>
        <v>1.3 Øvrige omkostninger til drift, styring og kontrol af elnettet</v>
      </c>
      <c r="K552" s="5" t="str">
        <f t="shared" si="82"/>
        <v>DKKt</v>
      </c>
      <c r="O552" s="202"/>
      <c r="P552" s="202"/>
      <c r="Q552" s="202"/>
      <c r="R552" s="1">
        <f xml:space="preserve"> ( $N530 =  '2.1 Model setup'!$K$46 ) * R508</f>
        <v>0</v>
      </c>
      <c r="S552" s="1">
        <f xml:space="preserve"> ( $N530 =  '2.1 Model setup'!$K$46 ) * S508</f>
        <v>0</v>
      </c>
      <c r="T552" s="1">
        <f xml:space="preserve"> ( $N530 =  '2.1 Model setup'!$K$46 ) * T508</f>
        <v>0</v>
      </c>
      <c r="U552" s="1">
        <f xml:space="preserve"> ( $N530 =  '2.1 Model setup'!$K$46 ) * U508</f>
        <v>0</v>
      </c>
      <c r="V552" s="1">
        <f xml:space="preserve"> ( $N530 =  '2.1 Model setup'!$K$46 ) * V508</f>
        <v>0</v>
      </c>
      <c r="W552" s="4">
        <f t="shared" si="83"/>
        <v>0</v>
      </c>
    </row>
    <row r="553" spans="1:23" ht="15" customHeight="1">
      <c r="D553" s="85" t="str">
        <f xml:space="preserve"> '2.1 Model setup'!K73</f>
        <v>1.4 Omkostninger vedrørende 132-150/30-60 kV-stationer</v>
      </c>
      <c r="K553" s="5" t="str">
        <f t="shared" si="82"/>
        <v>DKKt</v>
      </c>
      <c r="O553" s="202"/>
      <c r="P553" s="202"/>
      <c r="Q553" s="202"/>
      <c r="R553" s="1">
        <f xml:space="preserve"> ( $N531 =  '2.1 Model setup'!$K$46 ) * R509</f>
        <v>0</v>
      </c>
      <c r="S553" s="1">
        <f xml:space="preserve"> ( $N531 =  '2.1 Model setup'!$K$46 ) * S509</f>
        <v>0</v>
      </c>
      <c r="T553" s="1">
        <f xml:space="preserve"> ( $N531 =  '2.1 Model setup'!$K$46 ) * T509</f>
        <v>0</v>
      </c>
      <c r="U553" s="1">
        <f xml:space="preserve"> ( $N531 =  '2.1 Model setup'!$K$46 ) * U509</f>
        <v>0</v>
      </c>
      <c r="V553" s="1">
        <f xml:space="preserve"> ( $N531 =  '2.1 Model setup'!$K$46 ) * V509</f>
        <v>0</v>
      </c>
      <c r="W553" s="4">
        <f xml:space="preserve"> SUM( R553:V553 )</f>
        <v>0</v>
      </c>
    </row>
    <row r="554" spans="1:23" ht="15" customHeight="1">
      <c r="D554" s="85" t="str">
        <f xml:space="preserve"> '2.1 Model setup'!K74</f>
        <v>2.1 Drift og vedligeholdelse af målere</v>
      </c>
      <c r="K554" s="5" t="str">
        <f t="shared" si="82"/>
        <v>DKKt</v>
      </c>
      <c r="O554" s="202"/>
      <c r="P554" s="202"/>
      <c r="Q554" s="202"/>
      <c r="R554" s="1">
        <f xml:space="preserve"> ( $N532 =  '2.1 Model setup'!$K$46 ) * R510</f>
        <v>0</v>
      </c>
      <c r="S554" s="1">
        <f xml:space="preserve"> ( $N532 =  '2.1 Model setup'!$K$46 ) * S510</f>
        <v>0</v>
      </c>
      <c r="T554" s="1">
        <f xml:space="preserve"> ( $N532 =  '2.1 Model setup'!$K$46 ) * T510</f>
        <v>0</v>
      </c>
      <c r="U554" s="1">
        <f xml:space="preserve"> ( $N532 =  '2.1 Model setup'!$K$46 ) * U510</f>
        <v>0</v>
      </c>
      <c r="V554" s="1">
        <f xml:space="preserve"> ( $N532 =  '2.1 Model setup'!$K$46 ) * V510</f>
        <v>0</v>
      </c>
      <c r="W554" s="4">
        <f t="shared" si="83"/>
        <v>0</v>
      </c>
    </row>
    <row r="555" spans="1:23" ht="15" customHeight="1">
      <c r="D555" s="85" t="str">
        <f xml:space="preserve"> '2.1 Model setup'!K75</f>
        <v>2.2 Indhentning og validering af målerdata</v>
      </c>
      <c r="K555" s="5" t="str">
        <f t="shared" si="82"/>
        <v>DKKt</v>
      </c>
      <c r="O555" s="202"/>
      <c r="P555" s="202"/>
      <c r="Q555" s="202"/>
      <c r="R555" s="1">
        <f xml:space="preserve"> ( $N533 =  '2.1 Model setup'!$K$46 ) * R511</f>
        <v>0</v>
      </c>
      <c r="S555" s="1">
        <f xml:space="preserve"> ( $N533 =  '2.1 Model setup'!$K$46 ) * S511</f>
        <v>0</v>
      </c>
      <c r="T555" s="1">
        <f xml:space="preserve"> ( $N533 =  '2.1 Model setup'!$K$46 ) * T511</f>
        <v>0</v>
      </c>
      <c r="U555" s="1">
        <f xml:space="preserve"> ( $N533 =  '2.1 Model setup'!$K$46 ) * U511</f>
        <v>0</v>
      </c>
      <c r="V555" s="1">
        <f xml:space="preserve"> ( $N533 =  '2.1 Model setup'!$K$46 ) * V511</f>
        <v>0</v>
      </c>
      <c r="W555" s="4">
        <f t="shared" si="83"/>
        <v>0</v>
      </c>
    </row>
    <row r="556" spans="1:23" ht="15" customHeight="1">
      <c r="D556" s="85" t="str">
        <f xml:space="preserve"> '2.1 Model setup'!K76</f>
        <v>2.3 Måleradministration og kundehåndtering</v>
      </c>
      <c r="K556" s="5" t="str">
        <f t="shared" si="82"/>
        <v>DKKt</v>
      </c>
      <c r="O556" s="202"/>
      <c r="P556" s="202"/>
      <c r="Q556" s="202"/>
      <c r="R556" s="1">
        <f xml:space="preserve"> ( $N534 =  '2.1 Model setup'!$K$46 ) * R512</f>
        <v>0</v>
      </c>
      <c r="S556" s="1">
        <f xml:space="preserve"> ( $N534 =  '2.1 Model setup'!$K$46 ) * S512</f>
        <v>0</v>
      </c>
      <c r="T556" s="1">
        <f xml:space="preserve"> ( $N534 =  '2.1 Model setup'!$K$46 ) * T512</f>
        <v>0</v>
      </c>
      <c r="U556" s="1">
        <f xml:space="preserve"> ( $N534 =  '2.1 Model setup'!$K$46 ) * U512</f>
        <v>0</v>
      </c>
      <c r="V556" s="1">
        <f xml:space="preserve"> ( $N534 =  '2.1 Model setup'!$K$46 ) * V512</f>
        <v>0</v>
      </c>
      <c r="W556" s="4">
        <f t="shared" si="83"/>
        <v>0</v>
      </c>
    </row>
    <row r="557" spans="1:23" ht="15" customHeight="1">
      <c r="D557" s="85" t="str">
        <f xml:space="preserve"> '2.1 Model setup'!K77</f>
        <v>3.1 Generel administration</v>
      </c>
      <c r="K557" s="5" t="str">
        <f t="shared" si="82"/>
        <v>DKKt</v>
      </c>
      <c r="O557" s="202"/>
      <c r="P557" s="202"/>
      <c r="Q557" s="202"/>
      <c r="R557" s="1">
        <f xml:space="preserve"> ( $N535 =  '2.1 Model setup'!$K$46 ) * R513</f>
        <v>0</v>
      </c>
      <c r="S557" s="1">
        <f xml:space="preserve"> ( $N535 =  '2.1 Model setup'!$K$46 ) * S513</f>
        <v>0</v>
      </c>
      <c r="T557" s="1">
        <f xml:space="preserve"> ( $N535 =  '2.1 Model setup'!$K$46 ) * T513</f>
        <v>0</v>
      </c>
      <c r="U557" s="1">
        <f xml:space="preserve"> ( $N535 =  '2.1 Model setup'!$K$46 ) * U513</f>
        <v>0</v>
      </c>
      <c r="V557" s="1">
        <f xml:space="preserve"> ( $N535 =  '2.1 Model setup'!$K$46 ) * V513</f>
        <v>0</v>
      </c>
      <c r="W557" s="4">
        <f t="shared" si="83"/>
        <v>0</v>
      </c>
    </row>
    <row r="558" spans="1:23" ht="15" customHeight="1">
      <c r="D558" s="85" t="str">
        <f xml:space="preserve"> '2.1 Model setup'!K78</f>
        <v>4.1 Omkostninger vedrørende nettab i transformerstationer</v>
      </c>
      <c r="K558" s="5" t="str">
        <f t="shared" si="82"/>
        <v>DKKt</v>
      </c>
      <c r="O558" s="202"/>
      <c r="P558" s="202"/>
      <c r="Q558" s="202"/>
      <c r="R558" s="1">
        <f xml:space="preserve"> ( $N536 =  '2.1 Model setup'!$K$46 ) * R514</f>
        <v>0</v>
      </c>
      <c r="S558" s="1">
        <f xml:space="preserve"> ( $N536 =  '2.1 Model setup'!$K$46 ) * S514</f>
        <v>0</v>
      </c>
      <c r="T558" s="1">
        <f xml:space="preserve"> ( $N536 =  '2.1 Model setup'!$K$46 ) * T514</f>
        <v>0</v>
      </c>
      <c r="U558" s="1">
        <f xml:space="preserve"> ( $N536 =  '2.1 Model setup'!$K$46 ) * U514</f>
        <v>0</v>
      </c>
      <c r="V558" s="1">
        <f xml:space="preserve"> ( $N536 =  '2.1 Model setup'!$K$46 ) * V514</f>
        <v>0</v>
      </c>
      <c r="W558" s="4">
        <f t="shared" si="83"/>
        <v>0</v>
      </c>
    </row>
    <row r="559" spans="1:23" ht="15" customHeight="1">
      <c r="D559" s="85" t="str">
        <f xml:space="preserve"> '2.1 Model setup'!K79</f>
        <v>4.2 Omkostninger vedrørende nettab i ledningsnettet</v>
      </c>
      <c r="K559" s="5" t="str">
        <f t="shared" si="82"/>
        <v>DKKt</v>
      </c>
      <c r="O559" s="202"/>
      <c r="P559" s="202"/>
      <c r="Q559" s="202"/>
      <c r="R559" s="1">
        <f xml:space="preserve"> ( $N537 =  '2.1 Model setup'!$K$46 ) * R515</f>
        <v>0</v>
      </c>
      <c r="S559" s="1">
        <f xml:space="preserve"> ( $N537 =  '2.1 Model setup'!$K$46 ) * S515</f>
        <v>0</v>
      </c>
      <c r="T559" s="1">
        <f xml:space="preserve"> ( $N537 =  '2.1 Model setup'!$K$46 ) * T515</f>
        <v>0</v>
      </c>
      <c r="U559" s="1">
        <f xml:space="preserve"> ( $N537 =  '2.1 Model setup'!$K$46 ) * U515</f>
        <v>0</v>
      </c>
      <c r="V559" s="1">
        <f xml:space="preserve"> ( $N537 =  '2.1 Model setup'!$K$46 ) * V515</f>
        <v>0</v>
      </c>
      <c r="W559" s="4">
        <f t="shared" si="83"/>
        <v>0</v>
      </c>
    </row>
    <row r="560" spans="1:23" ht="15" customHeight="1">
      <c r="D560" s="85" t="str">
        <f xml:space="preserve"> '2.1 Model setup'!K80</f>
        <v>5.1 Omkostninger til overliggende net ifm. forbrug</v>
      </c>
      <c r="K560" s="5" t="str">
        <f t="shared" si="82"/>
        <v>DKKt</v>
      </c>
      <c r="O560" s="202"/>
      <c r="P560" s="202"/>
      <c r="Q560" s="202"/>
      <c r="R560" s="1">
        <f xml:space="preserve"> ( $N538 =  '2.1 Model setup'!$K$46 ) * R516</f>
        <v>0</v>
      </c>
      <c r="S560" s="1">
        <f xml:space="preserve"> ( $N538 =  '2.1 Model setup'!$K$46 ) * S516</f>
        <v>0</v>
      </c>
      <c r="T560" s="1">
        <f xml:space="preserve"> ( $N538 =  '2.1 Model setup'!$K$46 ) * T516</f>
        <v>0</v>
      </c>
      <c r="U560" s="1">
        <f xml:space="preserve"> ( $N538 =  '2.1 Model setup'!$K$46 ) * U516</f>
        <v>0</v>
      </c>
      <c r="V560" s="1">
        <f xml:space="preserve"> ( $N538 =  '2.1 Model setup'!$K$46 ) * V516</f>
        <v>0</v>
      </c>
      <c r="W560" s="4">
        <f t="shared" si="83"/>
        <v>0</v>
      </c>
    </row>
    <row r="561" spans="4:23" ht="15" customHeight="1">
      <c r="D561" s="85" t="str">
        <f xml:space="preserve"> '2.1 Model setup'!K81</f>
        <v>5.2 Øvrige omkostninger</v>
      </c>
      <c r="K561" s="5" t="str">
        <f t="shared" si="82"/>
        <v>DKKt</v>
      </c>
      <c r="O561" s="202"/>
      <c r="P561" s="202"/>
      <c r="Q561" s="202"/>
      <c r="R561" s="1">
        <f xml:space="preserve"> ( $N539 =  '2.1 Model setup'!$K$46 ) * R517</f>
        <v>0</v>
      </c>
      <c r="S561" s="1">
        <f xml:space="preserve"> ( $N539 =  '2.1 Model setup'!$K$46 ) * S517</f>
        <v>0</v>
      </c>
      <c r="T561" s="1">
        <f xml:space="preserve"> ( $N539 =  '2.1 Model setup'!$K$46 ) * T517</f>
        <v>0</v>
      </c>
      <c r="U561" s="1">
        <f xml:space="preserve"> ( $N539 =  '2.1 Model setup'!$K$46 ) * U517</f>
        <v>0</v>
      </c>
      <c r="V561" s="1">
        <f xml:space="preserve"> ( $N539 =  '2.1 Model setup'!$K$46 ) * V517</f>
        <v>0</v>
      </c>
      <c r="W561" s="4">
        <f t="shared" si="83"/>
        <v>0</v>
      </c>
    </row>
    <row r="562" spans="4:23" ht="15" customHeight="1">
      <c r="D562" s="85" t="str">
        <f xml:space="preserve"> '2.1 Model setup'!K82</f>
        <v>6.1 Afskrivninger på transformerstationer</v>
      </c>
      <c r="K562" s="5" t="str">
        <f t="shared" si="82"/>
        <v>DKKt</v>
      </c>
      <c r="O562" s="202"/>
      <c r="P562" s="202"/>
      <c r="Q562" s="202"/>
      <c r="R562" s="1">
        <f xml:space="preserve"> ( $N540 =  '2.1 Model setup'!$K$46 ) * R518</f>
        <v>0</v>
      </c>
      <c r="S562" s="1">
        <f xml:space="preserve"> ( $N540 =  '2.1 Model setup'!$K$46 ) * S518</f>
        <v>0</v>
      </c>
      <c r="T562" s="1">
        <f xml:space="preserve"> ( $N540 =  '2.1 Model setup'!$K$46 ) * T518</f>
        <v>0</v>
      </c>
      <c r="U562" s="1">
        <f xml:space="preserve"> ( $N540 =  '2.1 Model setup'!$K$46 ) * U518</f>
        <v>0</v>
      </c>
      <c r="V562" s="1">
        <f xml:space="preserve"> ( $N540 =  '2.1 Model setup'!$K$46 ) * V518</f>
        <v>0</v>
      </c>
      <c r="W562" s="4">
        <f t="shared" si="83"/>
        <v>0</v>
      </c>
    </row>
    <row r="563" spans="4:23" ht="15" customHeight="1">
      <c r="D563" s="85" t="str">
        <f xml:space="preserve"> '2.1 Model setup'!K83</f>
        <v>6.2 Afskrivninger på netaktiver ekskl. målere og transformerstationer</v>
      </c>
      <c r="K563" s="5" t="str">
        <f t="shared" si="82"/>
        <v>DKKt</v>
      </c>
      <c r="O563" s="202"/>
      <c r="P563" s="202"/>
      <c r="Q563" s="202"/>
      <c r="R563" s="1">
        <f xml:space="preserve"> ( $N541 =  '2.1 Model setup'!$K$46 ) * R519</f>
        <v>0</v>
      </c>
      <c r="S563" s="1">
        <f xml:space="preserve"> ( $N541 =  '2.1 Model setup'!$K$46 ) * S519</f>
        <v>0</v>
      </c>
      <c r="T563" s="1">
        <f xml:space="preserve"> ( $N541 =  '2.1 Model setup'!$K$46 ) * T519</f>
        <v>0</v>
      </c>
      <c r="U563" s="1">
        <f xml:space="preserve"> ( $N541 =  '2.1 Model setup'!$K$46 ) * U519</f>
        <v>0</v>
      </c>
      <c r="V563" s="1">
        <f xml:space="preserve"> ( $N541 =  '2.1 Model setup'!$K$46 ) * V519</f>
        <v>0</v>
      </c>
      <c r="W563" s="4">
        <f t="shared" si="83"/>
        <v>0</v>
      </c>
    </row>
    <row r="564" spans="4:23" ht="15" customHeight="1">
      <c r="D564" s="85" t="str">
        <f xml:space="preserve"> '2.1 Model setup'!K84</f>
        <v>6.3 Afskrivninger på målere</v>
      </c>
      <c r="K564" s="5" t="str">
        <f t="shared" si="82"/>
        <v>DKKt</v>
      </c>
      <c r="O564" s="202"/>
      <c r="P564" s="202"/>
      <c r="Q564" s="202"/>
      <c r="R564" s="1">
        <f xml:space="preserve"> ( $N542 =  '2.1 Model setup'!$K$46 ) * R520</f>
        <v>0</v>
      </c>
      <c r="S564" s="1">
        <f xml:space="preserve"> ( $N542 =  '2.1 Model setup'!$K$46 ) * S520</f>
        <v>0</v>
      </c>
      <c r="T564" s="1">
        <f xml:space="preserve"> ( $N542 =  '2.1 Model setup'!$K$46 ) * T520</f>
        <v>0</v>
      </c>
      <c r="U564" s="1">
        <f xml:space="preserve"> ( $N542 =  '2.1 Model setup'!$K$46 ) * U520</f>
        <v>0</v>
      </c>
      <c r="V564" s="1">
        <f xml:space="preserve"> ( $N542 =  '2.1 Model setup'!$K$46 ) * V520</f>
        <v>0</v>
      </c>
      <c r="W564" s="4">
        <f t="shared" si="83"/>
        <v>0</v>
      </c>
    </row>
    <row r="565" spans="4:23" ht="15" customHeight="1">
      <c r="D565" s="186" t="s">
        <v>16</v>
      </c>
      <c r="E565" s="33"/>
      <c r="F565" s="33"/>
      <c r="G565" s="33"/>
      <c r="H565" s="33"/>
      <c r="I565" s="33"/>
      <c r="J565" s="33"/>
      <c r="K565" s="187" t="str">
        <f t="shared" si="82"/>
        <v>DKKt</v>
      </c>
      <c r="L565" s="186"/>
      <c r="M565" s="186"/>
      <c r="N565" s="186"/>
      <c r="O565" s="388"/>
      <c r="P565" s="388"/>
      <c r="Q565" s="388"/>
      <c r="R565" s="186">
        <f t="shared" ref="R565:W565" si="84" xml:space="preserve"> SUM( R550:R564 )</f>
        <v>0</v>
      </c>
      <c r="S565" s="186">
        <f t="shared" si="84"/>
        <v>0</v>
      </c>
      <c r="T565" s="186">
        <f t="shared" si="84"/>
        <v>0</v>
      </c>
      <c r="U565" s="186">
        <f t="shared" si="84"/>
        <v>0</v>
      </c>
      <c r="V565" s="186">
        <f t="shared" si="84"/>
        <v>0</v>
      </c>
      <c r="W565" s="186">
        <f t="shared" si="84"/>
        <v>0</v>
      </c>
    </row>
    <row r="567" spans="4:23" ht="15" customHeight="1">
      <c r="D567" s="35" t="s">
        <v>108</v>
      </c>
      <c r="E567" s="27"/>
      <c r="F567" s="27"/>
      <c r="G567" s="27"/>
      <c r="H567" s="27"/>
      <c r="I567" s="27"/>
      <c r="J567" s="27"/>
      <c r="K567" s="32"/>
      <c r="L567" s="27"/>
      <c r="M567" s="27"/>
      <c r="N567" s="27"/>
      <c r="O567" s="27"/>
      <c r="P567" s="27"/>
      <c r="Q567" s="27"/>
      <c r="R567" s="27"/>
      <c r="S567" s="27"/>
      <c r="T567" s="27"/>
      <c r="U567" s="27"/>
      <c r="V567" s="27"/>
      <c r="W567" s="185" t="s">
        <v>16</v>
      </c>
    </row>
    <row r="568" spans="4:23" ht="15" customHeight="1">
      <c r="D568" s="85" t="str">
        <f xml:space="preserve"> '2.1 Model setup'!K85</f>
        <v>7.1 Transformerstationer (forrentning)</v>
      </c>
      <c r="E568" s="15"/>
      <c r="F568" s="15"/>
      <c r="G568" s="15"/>
      <c r="H568" s="15"/>
      <c r="I568" s="15"/>
      <c r="J568" s="15"/>
      <c r="K568" s="19" t="str">
        <f xml:space="preserve"> Model.Units</f>
        <v>DKKt</v>
      </c>
      <c r="L568" s="15"/>
      <c r="M568" s="15"/>
      <c r="N568" s="15"/>
      <c r="O568" s="274"/>
      <c r="P568" s="274"/>
      <c r="Q568" s="274"/>
      <c r="R568" s="15">
        <f xml:space="preserve"> ( $N545 =  '2.1 Model setup'!$K$46 ) * R324</f>
        <v>0</v>
      </c>
      <c r="S568" s="15">
        <f xml:space="preserve"> ( $N545 =  '2.1 Model setup'!$K$46 ) * S324</f>
        <v>0</v>
      </c>
      <c r="T568" s="15">
        <f xml:space="preserve"> ( $N545 =  '2.1 Model setup'!$K$46 ) * T324</f>
        <v>0</v>
      </c>
      <c r="U568" s="15">
        <f xml:space="preserve"> ( $N545 =  '2.1 Model setup'!$K$46 ) * U324</f>
        <v>0</v>
      </c>
      <c r="V568" s="15">
        <f xml:space="preserve"> ( $N545 =  '2.1 Model setup'!$K$46 ) * V324</f>
        <v>0</v>
      </c>
      <c r="W568" s="18">
        <f xml:space="preserve"> SUM( R568:V568 )</f>
        <v>0</v>
      </c>
    </row>
    <row r="569" spans="4:23" ht="15" customHeight="1">
      <c r="D569" s="85" t="str">
        <f xml:space="preserve"> '2.1 Model setup'!K86</f>
        <v>7.2 Netaktiver ekskl. målere og transformerstationer (forrentning)</v>
      </c>
      <c r="K569" s="5" t="str">
        <f xml:space="preserve"> Model.Units</f>
        <v>DKKt</v>
      </c>
      <c r="O569" s="202"/>
      <c r="P569" s="202"/>
      <c r="Q569" s="202"/>
      <c r="R569" s="1">
        <f xml:space="preserve"> ( $N546 =  '2.1 Model setup'!$K$46 ) * R325</f>
        <v>0</v>
      </c>
      <c r="S569" s="1">
        <f xml:space="preserve"> ( $N546 =  '2.1 Model setup'!$K$46 ) * S325</f>
        <v>0</v>
      </c>
      <c r="T569" s="1">
        <f xml:space="preserve"> ( $N546 =  '2.1 Model setup'!$K$46 ) * T325</f>
        <v>0</v>
      </c>
      <c r="U569" s="1">
        <f xml:space="preserve"> ( $N546 =  '2.1 Model setup'!$K$46 ) * U325</f>
        <v>0</v>
      </c>
      <c r="V569" s="1">
        <f xml:space="preserve"> ( $N546 =  '2.1 Model setup'!$K$46 ) * V325</f>
        <v>0</v>
      </c>
      <c r="W569" s="4">
        <f xml:space="preserve"> SUM( R569:V569 )</f>
        <v>0</v>
      </c>
    </row>
    <row r="570" spans="4:23" ht="15" customHeight="1">
      <c r="D570" s="99" t="str">
        <f xml:space="preserve"> '2.1 Model setup'!K87</f>
        <v>7.3 Målere (forrentning)</v>
      </c>
      <c r="E570" s="27"/>
      <c r="F570" s="27"/>
      <c r="G570" s="27"/>
      <c r="H570" s="27"/>
      <c r="I570" s="27"/>
      <c r="J570" s="27"/>
      <c r="K570" s="32" t="str">
        <f xml:space="preserve"> Model.Units</f>
        <v>DKKt</v>
      </c>
      <c r="L570" s="27"/>
      <c r="M570" s="27"/>
      <c r="N570" s="27"/>
      <c r="O570" s="269"/>
      <c r="P570" s="269"/>
      <c r="Q570" s="269"/>
      <c r="R570" s="27">
        <f xml:space="preserve"> ( $N547 =  '2.1 Model setup'!$K$46 ) * R326</f>
        <v>0</v>
      </c>
      <c r="S570" s="27">
        <f xml:space="preserve"> ( $N547 =  '2.1 Model setup'!$K$46 ) * S326</f>
        <v>0</v>
      </c>
      <c r="T570" s="27">
        <f xml:space="preserve"> ( $N547 =  '2.1 Model setup'!$K$46 ) * T326</f>
        <v>0</v>
      </c>
      <c r="U570" s="27">
        <f xml:space="preserve"> ( $N547 =  '2.1 Model setup'!$K$46 ) * U326</f>
        <v>0</v>
      </c>
      <c r="V570" s="27">
        <f xml:space="preserve"> ( $N547 =  '2.1 Model setup'!$K$46 ) * V326</f>
        <v>0</v>
      </c>
      <c r="W570" s="35">
        <f xml:space="preserve"> SUM( R570:V570 )</f>
        <v>0</v>
      </c>
    </row>
    <row r="571" spans="4:23" ht="15" customHeight="1">
      <c r="D571" s="186" t="s">
        <v>16</v>
      </c>
      <c r="E571" s="33"/>
      <c r="F571" s="33"/>
      <c r="G571" s="33"/>
      <c r="H571" s="33"/>
      <c r="I571" s="33"/>
      <c r="J571" s="33"/>
      <c r="K571" s="187" t="str">
        <f xml:space="preserve"> Model.Units</f>
        <v>DKKt</v>
      </c>
      <c r="L571" s="186"/>
      <c r="M571" s="186"/>
      <c r="N571" s="186"/>
      <c r="O571" s="388"/>
      <c r="P571" s="388"/>
      <c r="Q571" s="388"/>
      <c r="R571" s="186">
        <f t="shared" ref="R571:W571" si="85" xml:space="preserve"> SUM( R568:R570 )</f>
        <v>0</v>
      </c>
      <c r="S571" s="186">
        <f t="shared" si="85"/>
        <v>0</v>
      </c>
      <c r="T571" s="186">
        <f t="shared" si="85"/>
        <v>0</v>
      </c>
      <c r="U571" s="186">
        <f t="shared" si="85"/>
        <v>0</v>
      </c>
      <c r="V571" s="186">
        <f t="shared" si="85"/>
        <v>0</v>
      </c>
      <c r="W571" s="186">
        <f t="shared" si="85"/>
        <v>0</v>
      </c>
    </row>
    <row r="573" spans="4:23" ht="15" customHeight="1">
      <c r="D573" s="35" t="s">
        <v>294</v>
      </c>
      <c r="E573" s="27"/>
      <c r="F573" s="27"/>
      <c r="G573" s="27"/>
      <c r="H573" s="27"/>
      <c r="I573" s="27"/>
      <c r="J573" s="27"/>
      <c r="K573" s="32"/>
      <c r="L573" s="27"/>
      <c r="M573" s="27"/>
      <c r="N573" s="27"/>
      <c r="O573" s="27"/>
      <c r="P573" s="27"/>
      <c r="Q573" s="27"/>
      <c r="R573" s="27"/>
      <c r="S573" s="27"/>
      <c r="T573" s="27"/>
      <c r="U573" s="27"/>
      <c r="V573" s="27"/>
      <c r="W573" s="185" t="s">
        <v>16</v>
      </c>
    </row>
    <row r="574" spans="4:23" ht="15" customHeight="1">
      <c r="D574" s="85" t="str">
        <f xml:space="preserve"> '2.1 Model setup'!K70</f>
        <v>1.1 Drift og vedligeholdelse af transformerstationer</v>
      </c>
      <c r="K574" s="5" t="str">
        <f t="shared" ref="K574:K589" si="86" xml:space="preserve"> Model.Units</f>
        <v>DKKt</v>
      </c>
      <c r="O574" s="202"/>
      <c r="P574" s="202"/>
      <c r="Q574" s="202"/>
      <c r="R574" s="1">
        <f xml:space="preserve"> ( OR( $N528 = '2.1 Model setup'!$K$45, $N528 = '2.1 Model setup'!$K$47 ) ) * R334</f>
        <v>0</v>
      </c>
      <c r="S574" s="1">
        <f xml:space="preserve"> ( OR( $N528 = '2.1 Model setup'!$K$45, $N528 = '2.1 Model setup'!$K$47 ) ) * S334</f>
        <v>0</v>
      </c>
      <c r="T574" s="1">
        <f xml:space="preserve"> ( OR( $N528 = '2.1 Model setup'!$K$45, $N528 = '2.1 Model setup'!$K$47 ) ) * T334</f>
        <v>0</v>
      </c>
      <c r="U574" s="1">
        <f xml:space="preserve"> ( OR( $N528 = '2.1 Model setup'!$K$45, $N528 = '2.1 Model setup'!$K$47 ) ) * U334</f>
        <v>0</v>
      </c>
      <c r="V574" s="1">
        <f xml:space="preserve"> ( OR( $N528 = '2.1 Model setup'!$K$45, $N528 = '2.1 Model setup'!$K$47 ) ) * V334</f>
        <v>0</v>
      </c>
      <c r="W574" s="4">
        <f t="shared" ref="W574:W588" si="87" xml:space="preserve"> SUM( R574:V574 )</f>
        <v>0</v>
      </c>
    </row>
    <row r="575" spans="4:23" ht="15" customHeight="1">
      <c r="D575" s="85" t="str">
        <f xml:space="preserve"> '2.1 Model setup'!K71</f>
        <v>1.2 Drift og vedligeholdelse af ledningsnet</v>
      </c>
      <c r="K575" s="5" t="str">
        <f t="shared" si="86"/>
        <v>DKKt</v>
      </c>
      <c r="O575" s="202"/>
      <c r="P575" s="202"/>
      <c r="Q575" s="202"/>
      <c r="R575" s="1">
        <f xml:space="preserve"> ( OR( $N529 = '2.1 Model setup'!$K$45, $N529 = '2.1 Model setup'!$K$47 ) ) * R335</f>
        <v>0</v>
      </c>
      <c r="S575" s="1">
        <f xml:space="preserve"> ( OR( $N529 = '2.1 Model setup'!$K$45, $N529 = '2.1 Model setup'!$K$47 ) ) * S335</f>
        <v>0</v>
      </c>
      <c r="T575" s="1">
        <f xml:space="preserve"> ( OR( $N529 = '2.1 Model setup'!$K$45, $N529 = '2.1 Model setup'!$K$47 ) ) * T335</f>
        <v>0</v>
      </c>
      <c r="U575" s="1">
        <f xml:space="preserve"> ( OR( $N529 = '2.1 Model setup'!$K$45, $N529 = '2.1 Model setup'!$K$47 ) ) * U335</f>
        <v>0</v>
      </c>
      <c r="V575" s="1">
        <f xml:space="preserve"> ( OR( $N529 = '2.1 Model setup'!$K$45, $N529 = '2.1 Model setup'!$K$47 ) ) * V335</f>
        <v>0</v>
      </c>
      <c r="W575" s="4">
        <f t="shared" si="87"/>
        <v>0</v>
      </c>
    </row>
    <row r="576" spans="4:23" ht="15" customHeight="1">
      <c r="D576" s="85" t="str">
        <f xml:space="preserve"> '2.1 Model setup'!K72</f>
        <v>1.3 Øvrige omkostninger til drift, styring og kontrol af elnettet</v>
      </c>
      <c r="K576" s="5" t="str">
        <f t="shared" si="86"/>
        <v>DKKt</v>
      </c>
      <c r="O576" s="202"/>
      <c r="P576" s="202"/>
      <c r="Q576" s="202"/>
      <c r="R576" s="1">
        <f xml:space="preserve"> ( OR( $N530 = '2.1 Model setup'!$K$45, $N530 = '2.1 Model setup'!$K$47 ) ) * R336</f>
        <v>0</v>
      </c>
      <c r="S576" s="1">
        <f xml:space="preserve"> ( OR( $N530 = '2.1 Model setup'!$K$45, $N530 = '2.1 Model setup'!$K$47 ) ) * S336</f>
        <v>0</v>
      </c>
      <c r="T576" s="1">
        <f xml:space="preserve"> ( OR( $N530 = '2.1 Model setup'!$K$45, $N530 = '2.1 Model setup'!$K$47 ) ) * T336</f>
        <v>0</v>
      </c>
      <c r="U576" s="1">
        <f xml:space="preserve"> ( OR( $N530 = '2.1 Model setup'!$K$45, $N530 = '2.1 Model setup'!$K$47 ) ) * U336</f>
        <v>0</v>
      </c>
      <c r="V576" s="1">
        <f xml:space="preserve"> ( OR( $N530 = '2.1 Model setup'!$K$45, $N530 = '2.1 Model setup'!$K$47 ) ) * V336</f>
        <v>0</v>
      </c>
      <c r="W576" s="4">
        <f xml:space="preserve"> SUM( R576:V576 )</f>
        <v>0</v>
      </c>
    </row>
    <row r="577" spans="4:23" ht="15" customHeight="1">
      <c r="D577" s="85" t="str">
        <f xml:space="preserve"> '2.1 Model setup'!K73</f>
        <v>1.4 Omkostninger vedrørende 132-150/30-60 kV-stationer</v>
      </c>
      <c r="K577" s="5" t="str">
        <f t="shared" si="86"/>
        <v>DKKt</v>
      </c>
      <c r="O577" s="202"/>
      <c r="P577" s="202"/>
      <c r="Q577" s="202"/>
      <c r="R577" s="1">
        <f xml:space="preserve"> ( OR( $N531 = '2.1 Model setup'!$K$45, $N531 = '2.1 Model setup'!$K$47 ) ) * R337</f>
        <v>0</v>
      </c>
      <c r="S577" s="1">
        <f xml:space="preserve"> ( OR( $N531 = '2.1 Model setup'!$K$45, $N531 = '2.1 Model setup'!$K$47 ) ) * S337</f>
        <v>0</v>
      </c>
      <c r="T577" s="1">
        <f xml:space="preserve"> ( OR( $N531 = '2.1 Model setup'!$K$45, $N531 = '2.1 Model setup'!$K$47 ) ) * T337</f>
        <v>0</v>
      </c>
      <c r="U577" s="1">
        <f xml:space="preserve"> ( OR( $N531 = '2.1 Model setup'!$K$45, $N531 = '2.1 Model setup'!$K$47 ) ) * U337</f>
        <v>0</v>
      </c>
      <c r="V577" s="1">
        <f xml:space="preserve"> ( OR( $N531 = '2.1 Model setup'!$K$45, $N531 = '2.1 Model setup'!$K$47 ) ) * V337</f>
        <v>0</v>
      </c>
      <c r="W577" s="4">
        <f xml:space="preserve"> SUM( R577:V577 )</f>
        <v>0</v>
      </c>
    </row>
    <row r="578" spans="4:23" ht="15" customHeight="1">
      <c r="D578" s="85" t="str">
        <f xml:space="preserve"> '2.1 Model setup'!K74</f>
        <v>2.1 Drift og vedligeholdelse af målere</v>
      </c>
      <c r="K578" s="5" t="str">
        <f t="shared" si="86"/>
        <v>DKKt</v>
      </c>
      <c r="O578" s="202"/>
      <c r="P578" s="202"/>
      <c r="Q578" s="202"/>
      <c r="R578" s="1">
        <f xml:space="preserve"> ( OR( $N532 = '2.1 Model setup'!$K$45, $N532 = '2.1 Model setup'!$K$47 ) ) * R338</f>
        <v>0</v>
      </c>
      <c r="S578" s="1">
        <f xml:space="preserve"> ( OR( $N532 = '2.1 Model setup'!$K$45, $N532 = '2.1 Model setup'!$K$47 ) ) * S338</f>
        <v>0</v>
      </c>
      <c r="T578" s="1">
        <f xml:space="preserve"> ( OR( $N532 = '2.1 Model setup'!$K$45, $N532 = '2.1 Model setup'!$K$47 ) ) * T338</f>
        <v>0</v>
      </c>
      <c r="U578" s="1">
        <f xml:space="preserve"> ( OR( $N532 = '2.1 Model setup'!$K$45, $N532 = '2.1 Model setup'!$K$47 ) ) * U338</f>
        <v>0</v>
      </c>
      <c r="V578" s="1">
        <f xml:space="preserve"> ( OR( $N532 = '2.1 Model setup'!$K$45, $N532 = '2.1 Model setup'!$K$47 ) ) * V338</f>
        <v>0</v>
      </c>
      <c r="W578" s="4">
        <f t="shared" si="87"/>
        <v>0</v>
      </c>
    </row>
    <row r="579" spans="4:23" ht="15" customHeight="1">
      <c r="D579" s="85" t="str">
        <f xml:space="preserve"> '2.1 Model setup'!K75</f>
        <v>2.2 Indhentning og validering af målerdata</v>
      </c>
      <c r="K579" s="5" t="str">
        <f t="shared" si="86"/>
        <v>DKKt</v>
      </c>
      <c r="O579" s="202"/>
      <c r="P579" s="202"/>
      <c r="Q579" s="202"/>
      <c r="R579" s="1">
        <f xml:space="preserve"> ( OR( $N533 = '2.1 Model setup'!$K$45, $N533 = '2.1 Model setup'!$K$47 ) ) * R339</f>
        <v>0</v>
      </c>
      <c r="S579" s="1">
        <f xml:space="preserve"> ( OR( $N533 = '2.1 Model setup'!$K$45, $N533 = '2.1 Model setup'!$K$47 ) ) * S339</f>
        <v>0</v>
      </c>
      <c r="T579" s="1">
        <f xml:space="preserve"> ( OR( $N533 = '2.1 Model setup'!$K$45, $N533 = '2.1 Model setup'!$K$47 ) ) * T339</f>
        <v>0</v>
      </c>
      <c r="U579" s="1">
        <f xml:space="preserve"> ( OR( $N533 = '2.1 Model setup'!$K$45, $N533 = '2.1 Model setup'!$K$47 ) ) * U339</f>
        <v>0</v>
      </c>
      <c r="V579" s="1">
        <f xml:space="preserve"> ( OR( $N533 = '2.1 Model setup'!$K$45, $N533 = '2.1 Model setup'!$K$47 ) ) * V339</f>
        <v>0</v>
      </c>
      <c r="W579" s="4">
        <f t="shared" si="87"/>
        <v>0</v>
      </c>
    </row>
    <row r="580" spans="4:23" ht="15" customHeight="1">
      <c r="D580" s="85" t="str">
        <f xml:space="preserve"> '2.1 Model setup'!K76</f>
        <v>2.3 Måleradministration og kundehåndtering</v>
      </c>
      <c r="K580" s="5" t="str">
        <f t="shared" si="86"/>
        <v>DKKt</v>
      </c>
      <c r="O580" s="202"/>
      <c r="P580" s="202"/>
      <c r="Q580" s="202"/>
      <c r="R580" s="1">
        <f xml:space="preserve"> ( OR( $N534 = '2.1 Model setup'!$K$45, $N534 = '2.1 Model setup'!$K$47 ) ) * R340</f>
        <v>0</v>
      </c>
      <c r="S580" s="1">
        <f xml:space="preserve"> ( OR( $N534 = '2.1 Model setup'!$K$45, $N534 = '2.1 Model setup'!$K$47 ) ) * S340</f>
        <v>0</v>
      </c>
      <c r="T580" s="1">
        <f xml:space="preserve"> ( OR( $N534 = '2.1 Model setup'!$K$45, $N534 = '2.1 Model setup'!$K$47 ) ) * T340</f>
        <v>0</v>
      </c>
      <c r="U580" s="1">
        <f xml:space="preserve"> ( OR( $N534 = '2.1 Model setup'!$K$45, $N534 = '2.1 Model setup'!$K$47 ) ) * U340</f>
        <v>0</v>
      </c>
      <c r="V580" s="1">
        <f xml:space="preserve"> ( OR( $N534 = '2.1 Model setup'!$K$45, $N534 = '2.1 Model setup'!$K$47 ) ) * V340</f>
        <v>0</v>
      </c>
      <c r="W580" s="4">
        <f t="shared" si="87"/>
        <v>0</v>
      </c>
    </row>
    <row r="581" spans="4:23" ht="15" customHeight="1">
      <c r="D581" s="85" t="str">
        <f xml:space="preserve"> '2.1 Model setup'!K77</f>
        <v>3.1 Generel administration</v>
      </c>
      <c r="K581" s="5" t="str">
        <f t="shared" si="86"/>
        <v>DKKt</v>
      </c>
      <c r="O581" s="202"/>
      <c r="P581" s="202"/>
      <c r="Q581" s="202"/>
      <c r="R581" s="1">
        <f xml:space="preserve"> ( OR( $N535 = '2.1 Model setup'!$K$45, $N535 = '2.1 Model setup'!$K$47 ) ) * R341</f>
        <v>0</v>
      </c>
      <c r="S581" s="1">
        <f xml:space="preserve"> ( OR( $N535 = '2.1 Model setup'!$K$45, $N535 = '2.1 Model setup'!$K$47 ) ) * S341</f>
        <v>0</v>
      </c>
      <c r="T581" s="1">
        <f xml:space="preserve"> ( OR( $N535 = '2.1 Model setup'!$K$45, $N535 = '2.1 Model setup'!$K$47 ) ) * T341</f>
        <v>0</v>
      </c>
      <c r="U581" s="1">
        <f xml:space="preserve"> ( OR( $N535 = '2.1 Model setup'!$K$45, $N535 = '2.1 Model setup'!$K$47 ) ) * U341</f>
        <v>0</v>
      </c>
      <c r="V581" s="1">
        <f xml:space="preserve"> ( OR( $N535 = '2.1 Model setup'!$K$45, $N535 = '2.1 Model setup'!$K$47 ) ) * V341</f>
        <v>0</v>
      </c>
      <c r="W581" s="4">
        <f t="shared" si="87"/>
        <v>0</v>
      </c>
    </row>
    <row r="582" spans="4:23" ht="15" customHeight="1">
      <c r="D582" s="85" t="str">
        <f xml:space="preserve"> '2.1 Model setup'!K78</f>
        <v>4.1 Omkostninger vedrørende nettab i transformerstationer</v>
      </c>
      <c r="K582" s="5" t="str">
        <f t="shared" si="86"/>
        <v>DKKt</v>
      </c>
      <c r="O582" s="202"/>
      <c r="P582" s="202"/>
      <c r="Q582" s="202"/>
      <c r="R582" s="1">
        <f xml:space="preserve"> ( OR( $N536 = '2.1 Model setup'!$K$45, $N536 = '2.1 Model setup'!$K$47 ) ) * R342</f>
        <v>0</v>
      </c>
      <c r="S582" s="1">
        <f xml:space="preserve"> ( OR( $N536 = '2.1 Model setup'!$K$45, $N536 = '2.1 Model setup'!$K$47 ) ) * S342</f>
        <v>0</v>
      </c>
      <c r="T582" s="1">
        <f xml:space="preserve"> ( OR( $N536 = '2.1 Model setup'!$K$45, $N536 = '2.1 Model setup'!$K$47 ) ) * T342</f>
        <v>0</v>
      </c>
      <c r="U582" s="1">
        <f xml:space="preserve"> ( OR( $N536 = '2.1 Model setup'!$K$45, $N536 = '2.1 Model setup'!$K$47 ) ) * U342</f>
        <v>0</v>
      </c>
      <c r="V582" s="1">
        <f xml:space="preserve"> ( OR( $N536 = '2.1 Model setup'!$K$45, $N536 = '2.1 Model setup'!$K$47 ) ) * V342</f>
        <v>0</v>
      </c>
      <c r="W582" s="4">
        <f t="shared" si="87"/>
        <v>0</v>
      </c>
    </row>
    <row r="583" spans="4:23" ht="15" customHeight="1">
      <c r="D583" s="85" t="str">
        <f xml:space="preserve"> '2.1 Model setup'!K79</f>
        <v>4.2 Omkostninger vedrørende nettab i ledningsnettet</v>
      </c>
      <c r="K583" s="5" t="str">
        <f t="shared" si="86"/>
        <v>DKKt</v>
      </c>
      <c r="O583" s="202"/>
      <c r="P583" s="202"/>
      <c r="Q583" s="202"/>
      <c r="R583" s="1">
        <f xml:space="preserve"> ( OR( $N537 = '2.1 Model setup'!$K$45, $N537 = '2.1 Model setup'!$K$47 ) ) * R343</f>
        <v>0</v>
      </c>
      <c r="S583" s="1">
        <f xml:space="preserve"> ( OR( $N537 = '2.1 Model setup'!$K$45, $N537 = '2.1 Model setup'!$K$47 ) ) * S343</f>
        <v>0</v>
      </c>
      <c r="T583" s="1">
        <f xml:space="preserve"> ( OR( $N537 = '2.1 Model setup'!$K$45, $N537 = '2.1 Model setup'!$K$47 ) ) * T343</f>
        <v>0</v>
      </c>
      <c r="U583" s="1">
        <f xml:space="preserve"> ( OR( $N537 = '2.1 Model setup'!$K$45, $N537 = '2.1 Model setup'!$K$47 ) ) * U343</f>
        <v>0</v>
      </c>
      <c r="V583" s="1">
        <f xml:space="preserve"> ( OR( $N537 = '2.1 Model setup'!$K$45, $N537 = '2.1 Model setup'!$K$47 ) ) * V343</f>
        <v>0</v>
      </c>
      <c r="W583" s="4">
        <f t="shared" si="87"/>
        <v>0</v>
      </c>
    </row>
    <row r="584" spans="4:23" ht="15" customHeight="1">
      <c r="D584" s="85" t="str">
        <f xml:space="preserve"> '2.1 Model setup'!K80</f>
        <v>5.1 Omkostninger til overliggende net ifm. forbrug</v>
      </c>
      <c r="K584" s="5" t="str">
        <f t="shared" si="86"/>
        <v>DKKt</v>
      </c>
      <c r="O584" s="202"/>
      <c r="P584" s="202"/>
      <c r="Q584" s="202"/>
      <c r="R584" s="1">
        <f xml:space="preserve"> ( OR( $N538 = '2.1 Model setup'!$K$45, $N538 = '2.1 Model setup'!$K$47 ) ) * R344</f>
        <v>0</v>
      </c>
      <c r="S584" s="1">
        <f xml:space="preserve"> ( OR( $N538 = '2.1 Model setup'!$K$45, $N538 = '2.1 Model setup'!$K$47 ) ) * S344</f>
        <v>0</v>
      </c>
      <c r="T584" s="1">
        <f xml:space="preserve"> ( OR( $N538 = '2.1 Model setup'!$K$45, $N538 = '2.1 Model setup'!$K$47 ) ) * T344</f>
        <v>0</v>
      </c>
      <c r="U584" s="1">
        <f xml:space="preserve"> ( OR( $N538 = '2.1 Model setup'!$K$45, $N538 = '2.1 Model setup'!$K$47 ) ) * U344</f>
        <v>0</v>
      </c>
      <c r="V584" s="1">
        <f xml:space="preserve"> ( OR( $N538 = '2.1 Model setup'!$K$45, $N538 = '2.1 Model setup'!$K$47 ) ) * V344</f>
        <v>0</v>
      </c>
      <c r="W584" s="4">
        <f xml:space="preserve"> SUM( R584:V584 )</f>
        <v>0</v>
      </c>
    </row>
    <row r="585" spans="4:23" ht="15" customHeight="1">
      <c r="D585" s="85" t="str">
        <f xml:space="preserve"> '2.1 Model setup'!K81</f>
        <v>5.2 Øvrige omkostninger</v>
      </c>
      <c r="K585" s="5" t="str">
        <f t="shared" si="86"/>
        <v>DKKt</v>
      </c>
      <c r="O585" s="202"/>
      <c r="P585" s="202"/>
      <c r="Q585" s="202"/>
      <c r="R585" s="1">
        <f xml:space="preserve"> ( OR( $N539 = '2.1 Model setup'!$K$45, $N539 = '2.1 Model setup'!$K$47 ) ) * R345</f>
        <v>0</v>
      </c>
      <c r="S585" s="1">
        <f xml:space="preserve"> ( OR( $N539 = '2.1 Model setup'!$K$45, $N539 = '2.1 Model setup'!$K$47 ) ) * S345</f>
        <v>0</v>
      </c>
      <c r="T585" s="1">
        <f xml:space="preserve"> ( OR( $N539 = '2.1 Model setup'!$K$45, $N539 = '2.1 Model setup'!$K$47 ) ) * T345</f>
        <v>0</v>
      </c>
      <c r="U585" s="1">
        <f xml:space="preserve"> ( OR( $N539 = '2.1 Model setup'!$K$45, $N539 = '2.1 Model setup'!$K$47 ) ) * U345</f>
        <v>0</v>
      </c>
      <c r="V585" s="1">
        <f xml:space="preserve"> ( OR( $N539 = '2.1 Model setup'!$K$45, $N539 = '2.1 Model setup'!$K$47 ) ) * V345</f>
        <v>0</v>
      </c>
      <c r="W585" s="4">
        <f t="shared" si="87"/>
        <v>0</v>
      </c>
    </row>
    <row r="586" spans="4:23" ht="15" customHeight="1">
      <c r="D586" s="85" t="str">
        <f xml:space="preserve"> '2.1 Model setup'!K82</f>
        <v>6.1 Afskrivninger på transformerstationer</v>
      </c>
      <c r="K586" s="5" t="str">
        <f t="shared" si="86"/>
        <v>DKKt</v>
      </c>
      <c r="O586" s="202"/>
      <c r="P586" s="202"/>
      <c r="Q586" s="202"/>
      <c r="R586" s="1">
        <f xml:space="preserve"> ( OR( $N540 = '2.1 Model setup'!$K$45, $N540 = '2.1 Model setup'!$K$47 ) ) * R346</f>
        <v>0</v>
      </c>
      <c r="S586" s="1">
        <f xml:space="preserve"> ( OR( $N540 = '2.1 Model setup'!$K$45, $N540 = '2.1 Model setup'!$K$47 ) ) * S346</f>
        <v>0</v>
      </c>
      <c r="T586" s="1">
        <f xml:space="preserve"> ( OR( $N540 = '2.1 Model setup'!$K$45, $N540 = '2.1 Model setup'!$K$47 ) ) * T346</f>
        <v>0</v>
      </c>
      <c r="U586" s="1">
        <f xml:space="preserve"> ( OR( $N540 = '2.1 Model setup'!$K$45, $N540 = '2.1 Model setup'!$K$47 ) ) * U346</f>
        <v>0</v>
      </c>
      <c r="V586" s="1">
        <f xml:space="preserve"> ( OR( $N540 = '2.1 Model setup'!$K$45, $N540 = '2.1 Model setup'!$K$47 ) ) * V346</f>
        <v>0</v>
      </c>
      <c r="W586" s="4">
        <f t="shared" si="87"/>
        <v>0</v>
      </c>
    </row>
    <row r="587" spans="4:23" ht="15" customHeight="1">
      <c r="D587" s="85" t="str">
        <f xml:space="preserve"> '2.1 Model setup'!K83</f>
        <v>6.2 Afskrivninger på netaktiver ekskl. målere og transformerstationer</v>
      </c>
      <c r="K587" s="5" t="str">
        <f t="shared" si="86"/>
        <v>DKKt</v>
      </c>
      <c r="O587" s="202"/>
      <c r="P587" s="202"/>
      <c r="Q587" s="202"/>
      <c r="R587" s="1">
        <f xml:space="preserve"> ( OR( $N541 = '2.1 Model setup'!$K$45, $N541 = '2.1 Model setup'!$K$47 ) ) * R347</f>
        <v>0</v>
      </c>
      <c r="S587" s="1">
        <f xml:space="preserve"> ( OR( $N541 = '2.1 Model setup'!$K$45, $N541 = '2.1 Model setup'!$K$47 ) ) * S347</f>
        <v>0</v>
      </c>
      <c r="T587" s="1">
        <f xml:space="preserve"> ( OR( $N541 = '2.1 Model setup'!$K$45, $N541 = '2.1 Model setup'!$K$47 ) ) * T347</f>
        <v>0</v>
      </c>
      <c r="U587" s="1">
        <f xml:space="preserve"> ( OR( $N541 = '2.1 Model setup'!$K$45, $N541 = '2.1 Model setup'!$K$47 ) ) * U347</f>
        <v>0</v>
      </c>
      <c r="V587" s="1">
        <f xml:space="preserve"> ( OR( $N541 = '2.1 Model setup'!$K$45, $N541 = '2.1 Model setup'!$K$47 ) ) * V347</f>
        <v>0</v>
      </c>
      <c r="W587" s="4">
        <f t="shared" si="87"/>
        <v>0</v>
      </c>
    </row>
    <row r="588" spans="4:23" ht="15" customHeight="1">
      <c r="D588" s="85" t="str">
        <f xml:space="preserve"> '2.1 Model setup'!K84</f>
        <v>6.3 Afskrivninger på målere</v>
      </c>
      <c r="K588" s="5" t="str">
        <f t="shared" si="86"/>
        <v>DKKt</v>
      </c>
      <c r="O588" s="202"/>
      <c r="P588" s="202"/>
      <c r="Q588" s="202"/>
      <c r="R588" s="1">
        <f xml:space="preserve"> ( OR( $N542 = '2.1 Model setup'!$K$45, $N542 = '2.1 Model setup'!$K$47 ) ) * R348</f>
        <v>0</v>
      </c>
      <c r="S588" s="1">
        <f xml:space="preserve"> ( OR( $N542 = '2.1 Model setup'!$K$45, $N542 = '2.1 Model setup'!$K$47 ) ) * S348</f>
        <v>0</v>
      </c>
      <c r="T588" s="1">
        <f xml:space="preserve"> ( OR( $N542 = '2.1 Model setup'!$K$45, $N542 = '2.1 Model setup'!$K$47 ) ) * T348</f>
        <v>0</v>
      </c>
      <c r="U588" s="1">
        <f xml:space="preserve"> ( OR( $N542 = '2.1 Model setup'!$K$45, $N542 = '2.1 Model setup'!$K$47 ) ) * U348</f>
        <v>0</v>
      </c>
      <c r="V588" s="1">
        <f xml:space="preserve"> ( OR( $N542 = '2.1 Model setup'!$K$45, $N542 = '2.1 Model setup'!$K$47 ) ) * V348</f>
        <v>0</v>
      </c>
      <c r="W588" s="4">
        <f t="shared" si="87"/>
        <v>0</v>
      </c>
    </row>
    <row r="589" spans="4:23" ht="15" customHeight="1">
      <c r="D589" s="186" t="s">
        <v>16</v>
      </c>
      <c r="E589" s="33"/>
      <c r="F589" s="33"/>
      <c r="G589" s="33"/>
      <c r="H589" s="33"/>
      <c r="I589" s="33"/>
      <c r="J589" s="33"/>
      <c r="K589" s="187" t="str">
        <f t="shared" si="86"/>
        <v>DKKt</v>
      </c>
      <c r="L589" s="186"/>
      <c r="M589" s="186"/>
      <c r="N589" s="186"/>
      <c r="O589" s="388"/>
      <c r="P589" s="388"/>
      <c r="Q589" s="388"/>
      <c r="R589" s="186">
        <f t="shared" ref="R589:W589" si="88" xml:space="preserve"> SUM( R574:R588 )</f>
        <v>0</v>
      </c>
      <c r="S589" s="186">
        <f t="shared" si="88"/>
        <v>0</v>
      </c>
      <c r="T589" s="186">
        <f t="shared" si="88"/>
        <v>0</v>
      </c>
      <c r="U589" s="186">
        <f t="shared" si="88"/>
        <v>0</v>
      </c>
      <c r="V589" s="186">
        <f t="shared" si="88"/>
        <v>0</v>
      </c>
      <c r="W589" s="186">
        <f t="shared" si="88"/>
        <v>0</v>
      </c>
    </row>
    <row r="591" spans="4:23" ht="15" customHeight="1">
      <c r="D591" s="35" t="s">
        <v>293</v>
      </c>
      <c r="E591" s="27"/>
      <c r="F591" s="27"/>
      <c r="G591" s="27"/>
      <c r="H591" s="27"/>
      <c r="I591" s="27"/>
      <c r="J591" s="27"/>
      <c r="K591" s="32"/>
      <c r="L591" s="27"/>
      <c r="M591" s="27"/>
      <c r="N591" s="27"/>
      <c r="O591" s="27"/>
      <c r="P591" s="27"/>
      <c r="Q591" s="27"/>
      <c r="R591" s="27"/>
      <c r="S591" s="27"/>
      <c r="T591" s="27"/>
      <c r="U591" s="27"/>
      <c r="V591" s="27"/>
      <c r="W591" s="185" t="s">
        <v>16</v>
      </c>
    </row>
    <row r="592" spans="4:23" ht="15" customHeight="1">
      <c r="D592" s="85" t="str">
        <f xml:space="preserve"> '2.1 Model setup'!K70</f>
        <v>1.1 Drift og vedligeholdelse af transformerstationer</v>
      </c>
      <c r="K592" s="5" t="str">
        <f t="shared" ref="K592:K607" si="89" xml:space="preserve"> Model.Units</f>
        <v>DKKt</v>
      </c>
      <c r="O592" s="202"/>
      <c r="P592" s="202"/>
      <c r="Q592" s="202"/>
      <c r="R592" s="1">
        <f xml:space="preserve"> ( OR( $N528 = '2.1 Model setup'!$K$45, $N528 = '2.1 Model setup'!$K$47 ) ) * R488</f>
        <v>0</v>
      </c>
      <c r="S592" s="1">
        <f xml:space="preserve"> ( OR( $N528 = '2.1 Model setup'!$K$45, $N528 = '2.1 Model setup'!$K$47 ) ) * S488</f>
        <v>0</v>
      </c>
      <c r="T592" s="1">
        <f xml:space="preserve"> ( OR( $N528 = '2.1 Model setup'!$K$45, $N528 = '2.1 Model setup'!$K$47 ) ) * T488</f>
        <v>0</v>
      </c>
      <c r="U592" s="1">
        <f xml:space="preserve"> ( OR( $N528 = '2.1 Model setup'!$K$45, $N528 = '2.1 Model setup'!$K$47 ) ) * U488</f>
        <v>0</v>
      </c>
      <c r="V592" s="1">
        <f xml:space="preserve"> ( OR( $N528 = '2.1 Model setup'!$K$45, $N528 = '2.1 Model setup'!$K$47 ) ) * V488</f>
        <v>0</v>
      </c>
      <c r="W592" s="4">
        <f t="shared" ref="W592:W606" si="90" xml:space="preserve"> SUM( R592:V592 )</f>
        <v>0</v>
      </c>
    </row>
    <row r="593" spans="4:23" ht="15" customHeight="1">
      <c r="D593" s="85" t="str">
        <f xml:space="preserve"> '2.1 Model setup'!K71</f>
        <v>1.2 Drift og vedligeholdelse af ledningsnet</v>
      </c>
      <c r="K593" s="5" t="str">
        <f t="shared" si="89"/>
        <v>DKKt</v>
      </c>
      <c r="O593" s="202"/>
      <c r="P593" s="202"/>
      <c r="Q593" s="202"/>
      <c r="R593" s="1">
        <f xml:space="preserve"> ( OR( $N529 = '2.1 Model setup'!$K$45, $N529 = '2.1 Model setup'!$K$47 ) ) * R489</f>
        <v>0</v>
      </c>
      <c r="S593" s="1">
        <f xml:space="preserve"> ( OR( $N529 = '2.1 Model setup'!$K$45, $N529 = '2.1 Model setup'!$K$47 ) ) * S489</f>
        <v>0</v>
      </c>
      <c r="T593" s="1">
        <f xml:space="preserve"> ( OR( $N529 = '2.1 Model setup'!$K$45, $N529 = '2.1 Model setup'!$K$47 ) ) * T489</f>
        <v>0</v>
      </c>
      <c r="U593" s="1">
        <f xml:space="preserve"> ( OR( $N529 = '2.1 Model setup'!$K$45, $N529 = '2.1 Model setup'!$K$47 ) ) * U489</f>
        <v>0</v>
      </c>
      <c r="V593" s="1">
        <f xml:space="preserve"> ( OR( $N529 = '2.1 Model setup'!$K$45, $N529 = '2.1 Model setup'!$K$47 ) ) * V489</f>
        <v>0</v>
      </c>
      <c r="W593" s="4">
        <f t="shared" si="90"/>
        <v>0</v>
      </c>
    </row>
    <row r="594" spans="4:23" ht="15" customHeight="1">
      <c r="D594" s="85" t="str">
        <f xml:space="preserve"> '2.1 Model setup'!K72</f>
        <v>1.3 Øvrige omkostninger til drift, styring og kontrol af elnettet</v>
      </c>
      <c r="K594" s="5" t="str">
        <f t="shared" si="89"/>
        <v>DKKt</v>
      </c>
      <c r="O594" s="202"/>
      <c r="P594" s="202"/>
      <c r="Q594" s="202"/>
      <c r="R594" s="1">
        <f xml:space="preserve"> ( OR( $N530 = '2.1 Model setup'!$K$45, $N530 = '2.1 Model setup'!$K$47 ) ) * R490</f>
        <v>0</v>
      </c>
      <c r="S594" s="1">
        <f xml:space="preserve"> ( OR( $N530 = '2.1 Model setup'!$K$45, $N530 = '2.1 Model setup'!$K$47 ) ) * S490</f>
        <v>0</v>
      </c>
      <c r="T594" s="1">
        <f xml:space="preserve"> ( OR( $N530 = '2.1 Model setup'!$K$45, $N530 = '2.1 Model setup'!$K$47 ) ) * T490</f>
        <v>0</v>
      </c>
      <c r="U594" s="1">
        <f xml:space="preserve"> ( OR( $N530 = '2.1 Model setup'!$K$45, $N530 = '2.1 Model setup'!$K$47 ) ) * U490</f>
        <v>0</v>
      </c>
      <c r="V594" s="1">
        <f xml:space="preserve"> ( OR( $N530 = '2.1 Model setup'!$K$45, $N530 = '2.1 Model setup'!$K$47 ) ) * V490</f>
        <v>0</v>
      </c>
      <c r="W594" s="4">
        <f t="shared" si="90"/>
        <v>0</v>
      </c>
    </row>
    <row r="595" spans="4:23" ht="15" customHeight="1">
      <c r="D595" s="85" t="str">
        <f xml:space="preserve"> '2.1 Model setup'!K73</f>
        <v>1.4 Omkostninger vedrørende 132-150/30-60 kV-stationer</v>
      </c>
      <c r="K595" s="5" t="str">
        <f t="shared" si="89"/>
        <v>DKKt</v>
      </c>
      <c r="O595" s="202"/>
      <c r="P595" s="202"/>
      <c r="Q595" s="202"/>
      <c r="R595" s="1">
        <f xml:space="preserve"> ( OR( $N531 = '2.1 Model setup'!$K$45, $N531 = '2.1 Model setup'!$K$47 ) ) * R491</f>
        <v>0</v>
      </c>
      <c r="S595" s="1">
        <f xml:space="preserve"> ( OR( $N531 = '2.1 Model setup'!$K$45, $N531 = '2.1 Model setup'!$K$47 ) ) * S491</f>
        <v>0</v>
      </c>
      <c r="T595" s="1">
        <f xml:space="preserve"> ( OR( $N531 = '2.1 Model setup'!$K$45, $N531 = '2.1 Model setup'!$K$47 ) ) * T491</f>
        <v>0</v>
      </c>
      <c r="U595" s="1">
        <f xml:space="preserve"> ( OR( $N531 = '2.1 Model setup'!$K$45, $N531 = '2.1 Model setup'!$K$47 ) ) * U491</f>
        <v>0</v>
      </c>
      <c r="V595" s="1">
        <f xml:space="preserve"> ( OR( $N531 = '2.1 Model setup'!$K$45, $N531 = '2.1 Model setup'!$K$47 ) ) * V491</f>
        <v>0</v>
      </c>
      <c r="W595" s="4">
        <f xml:space="preserve"> SUM( R595:V595 )</f>
        <v>0</v>
      </c>
    </row>
    <row r="596" spans="4:23" ht="15" customHeight="1">
      <c r="D596" s="85" t="str">
        <f xml:space="preserve"> '2.1 Model setup'!K74</f>
        <v>2.1 Drift og vedligeholdelse af målere</v>
      </c>
      <c r="K596" s="5" t="str">
        <f t="shared" si="89"/>
        <v>DKKt</v>
      </c>
      <c r="O596" s="202"/>
      <c r="P596" s="202"/>
      <c r="Q596" s="202"/>
      <c r="R596" s="1">
        <f xml:space="preserve"> ( OR( $N532 = '2.1 Model setup'!$K$45, $N532 = '2.1 Model setup'!$K$47 ) ) * R492</f>
        <v>0</v>
      </c>
      <c r="S596" s="1">
        <f xml:space="preserve"> ( OR( $N532 = '2.1 Model setup'!$K$45, $N532 = '2.1 Model setup'!$K$47 ) ) * S492</f>
        <v>0</v>
      </c>
      <c r="T596" s="1">
        <f xml:space="preserve"> ( OR( $N532 = '2.1 Model setup'!$K$45, $N532 = '2.1 Model setup'!$K$47 ) ) * T492</f>
        <v>0</v>
      </c>
      <c r="U596" s="1">
        <f xml:space="preserve"> ( OR( $N532 = '2.1 Model setup'!$K$45, $N532 = '2.1 Model setup'!$K$47 ) ) * U492</f>
        <v>0</v>
      </c>
      <c r="V596" s="1">
        <f xml:space="preserve"> ( OR( $N532 = '2.1 Model setup'!$K$45, $N532 = '2.1 Model setup'!$K$47 ) ) * V492</f>
        <v>0</v>
      </c>
      <c r="W596" s="4">
        <f t="shared" si="90"/>
        <v>0</v>
      </c>
    </row>
    <row r="597" spans="4:23" ht="15" customHeight="1">
      <c r="D597" s="85" t="str">
        <f xml:space="preserve"> '2.1 Model setup'!K75</f>
        <v>2.2 Indhentning og validering af målerdata</v>
      </c>
      <c r="K597" s="5" t="str">
        <f t="shared" si="89"/>
        <v>DKKt</v>
      </c>
      <c r="O597" s="202"/>
      <c r="P597" s="202"/>
      <c r="Q597" s="202"/>
      <c r="R597" s="1">
        <f xml:space="preserve"> ( OR( $N533 = '2.1 Model setup'!$K$45, $N533 = '2.1 Model setup'!$K$47 ) ) * R493</f>
        <v>0</v>
      </c>
      <c r="S597" s="1">
        <f xml:space="preserve"> ( OR( $N533 = '2.1 Model setup'!$K$45, $N533 = '2.1 Model setup'!$K$47 ) ) * S493</f>
        <v>0</v>
      </c>
      <c r="T597" s="1">
        <f xml:space="preserve"> ( OR( $N533 = '2.1 Model setup'!$K$45, $N533 = '2.1 Model setup'!$K$47 ) ) * T493</f>
        <v>0</v>
      </c>
      <c r="U597" s="1">
        <f xml:space="preserve"> ( OR( $N533 = '2.1 Model setup'!$K$45, $N533 = '2.1 Model setup'!$K$47 ) ) * U493</f>
        <v>0</v>
      </c>
      <c r="V597" s="1">
        <f xml:space="preserve"> ( OR( $N533 = '2.1 Model setup'!$K$45, $N533 = '2.1 Model setup'!$K$47 ) ) * V493</f>
        <v>0</v>
      </c>
      <c r="W597" s="4">
        <f t="shared" si="90"/>
        <v>0</v>
      </c>
    </row>
    <row r="598" spans="4:23" ht="15" customHeight="1">
      <c r="D598" s="85" t="str">
        <f xml:space="preserve"> '2.1 Model setup'!K76</f>
        <v>2.3 Måleradministration og kundehåndtering</v>
      </c>
      <c r="K598" s="5" t="str">
        <f t="shared" si="89"/>
        <v>DKKt</v>
      </c>
      <c r="O598" s="202"/>
      <c r="P598" s="202"/>
      <c r="Q598" s="202"/>
      <c r="R598" s="1">
        <f xml:space="preserve"> ( OR( $N534 = '2.1 Model setup'!$K$45, $N534 = '2.1 Model setup'!$K$47 ) ) * R494</f>
        <v>0</v>
      </c>
      <c r="S598" s="1">
        <f xml:space="preserve"> ( OR( $N534 = '2.1 Model setup'!$K$45, $N534 = '2.1 Model setup'!$K$47 ) ) * S494</f>
        <v>0</v>
      </c>
      <c r="T598" s="1">
        <f xml:space="preserve"> ( OR( $N534 = '2.1 Model setup'!$K$45, $N534 = '2.1 Model setup'!$K$47 ) ) * T494</f>
        <v>0</v>
      </c>
      <c r="U598" s="1">
        <f xml:space="preserve"> ( OR( $N534 = '2.1 Model setup'!$K$45, $N534 = '2.1 Model setup'!$K$47 ) ) * U494</f>
        <v>0</v>
      </c>
      <c r="V598" s="1">
        <f xml:space="preserve"> ( OR( $N534 = '2.1 Model setup'!$K$45, $N534 = '2.1 Model setup'!$K$47 ) ) * V494</f>
        <v>0</v>
      </c>
      <c r="W598" s="4">
        <f t="shared" si="90"/>
        <v>0</v>
      </c>
    </row>
    <row r="599" spans="4:23" ht="15" customHeight="1">
      <c r="D599" s="85" t="str">
        <f xml:space="preserve"> '2.1 Model setup'!K77</f>
        <v>3.1 Generel administration</v>
      </c>
      <c r="K599" s="5" t="str">
        <f t="shared" si="89"/>
        <v>DKKt</v>
      </c>
      <c r="O599" s="202"/>
      <c r="P599" s="202"/>
      <c r="Q599" s="202"/>
      <c r="R599" s="1">
        <f xml:space="preserve"> ( OR( $N535 = '2.1 Model setup'!$K$45, $N535 = '2.1 Model setup'!$K$47 ) ) * R495</f>
        <v>0</v>
      </c>
      <c r="S599" s="1">
        <f xml:space="preserve"> ( OR( $N535 = '2.1 Model setup'!$K$45, $N535 = '2.1 Model setup'!$K$47 ) ) * S495</f>
        <v>0</v>
      </c>
      <c r="T599" s="1">
        <f xml:space="preserve"> ( OR( $N535 = '2.1 Model setup'!$K$45, $N535 = '2.1 Model setup'!$K$47 ) ) * T495</f>
        <v>0</v>
      </c>
      <c r="U599" s="1">
        <f xml:space="preserve"> ( OR( $N535 = '2.1 Model setup'!$K$45, $N535 = '2.1 Model setup'!$K$47 ) ) * U495</f>
        <v>0</v>
      </c>
      <c r="V599" s="1">
        <f xml:space="preserve"> ( OR( $N535 = '2.1 Model setup'!$K$45, $N535 = '2.1 Model setup'!$K$47 ) ) * V495</f>
        <v>0</v>
      </c>
      <c r="W599" s="4">
        <f t="shared" si="90"/>
        <v>0</v>
      </c>
    </row>
    <row r="600" spans="4:23" ht="15" customHeight="1">
      <c r="D600" s="85" t="str">
        <f xml:space="preserve"> '2.1 Model setup'!K78</f>
        <v>4.1 Omkostninger vedrørende nettab i transformerstationer</v>
      </c>
      <c r="K600" s="5" t="str">
        <f t="shared" si="89"/>
        <v>DKKt</v>
      </c>
      <c r="O600" s="202"/>
      <c r="P600" s="202"/>
      <c r="Q600" s="202"/>
      <c r="R600" s="1">
        <f xml:space="preserve"> ( OR( $N536 = '2.1 Model setup'!$K$45, $N536 = '2.1 Model setup'!$K$47 ) ) * R496</f>
        <v>0</v>
      </c>
      <c r="S600" s="1">
        <f xml:space="preserve"> ( OR( $N536 = '2.1 Model setup'!$K$45, $N536 = '2.1 Model setup'!$K$47 ) ) * S496</f>
        <v>0</v>
      </c>
      <c r="T600" s="1">
        <f xml:space="preserve"> ( OR( $N536 = '2.1 Model setup'!$K$45, $N536 = '2.1 Model setup'!$K$47 ) ) * T496</f>
        <v>0</v>
      </c>
      <c r="U600" s="1">
        <f xml:space="preserve"> ( OR( $N536 = '2.1 Model setup'!$K$45, $N536 = '2.1 Model setup'!$K$47 ) ) * U496</f>
        <v>0</v>
      </c>
      <c r="V600" s="1">
        <f xml:space="preserve"> ( OR( $N536 = '2.1 Model setup'!$K$45, $N536 = '2.1 Model setup'!$K$47 ) ) * V496</f>
        <v>0</v>
      </c>
      <c r="W600" s="4">
        <f t="shared" si="90"/>
        <v>0</v>
      </c>
    </row>
    <row r="601" spans="4:23" ht="15" customHeight="1">
      <c r="D601" s="85" t="str">
        <f xml:space="preserve"> '2.1 Model setup'!K79</f>
        <v>4.2 Omkostninger vedrørende nettab i ledningsnettet</v>
      </c>
      <c r="K601" s="5" t="str">
        <f t="shared" si="89"/>
        <v>DKKt</v>
      </c>
      <c r="O601" s="202"/>
      <c r="P601" s="202"/>
      <c r="Q601" s="202"/>
      <c r="R601" s="1">
        <f xml:space="preserve"> ( OR( $N537 = '2.1 Model setup'!$K$45, $N537 = '2.1 Model setup'!$K$47 ) ) * R497</f>
        <v>0</v>
      </c>
      <c r="S601" s="1">
        <f xml:space="preserve"> ( OR( $N537 = '2.1 Model setup'!$K$45, $N537 = '2.1 Model setup'!$K$47 ) ) * S497</f>
        <v>0</v>
      </c>
      <c r="T601" s="1">
        <f xml:space="preserve"> ( OR( $N537 = '2.1 Model setup'!$K$45, $N537 = '2.1 Model setup'!$K$47 ) ) * T497</f>
        <v>0</v>
      </c>
      <c r="U601" s="1">
        <f xml:space="preserve"> ( OR( $N537 = '2.1 Model setup'!$K$45, $N537 = '2.1 Model setup'!$K$47 ) ) * U497</f>
        <v>0</v>
      </c>
      <c r="V601" s="1">
        <f xml:space="preserve"> ( OR( $N537 = '2.1 Model setup'!$K$45, $N537 = '2.1 Model setup'!$K$47 ) ) * V497</f>
        <v>0</v>
      </c>
      <c r="W601" s="4">
        <f t="shared" si="90"/>
        <v>0</v>
      </c>
    </row>
    <row r="602" spans="4:23" ht="15" customHeight="1">
      <c r="D602" s="85" t="str">
        <f xml:space="preserve"> '2.1 Model setup'!K80</f>
        <v>5.1 Omkostninger til overliggende net ifm. forbrug</v>
      </c>
      <c r="K602" s="5" t="str">
        <f t="shared" si="89"/>
        <v>DKKt</v>
      </c>
      <c r="O602" s="202"/>
      <c r="P602" s="202"/>
      <c r="Q602" s="202"/>
      <c r="R602" s="1">
        <f xml:space="preserve"> ( OR( $N538 = '2.1 Model setup'!$K$45, $N538 = '2.1 Model setup'!$K$47 ) ) * R498</f>
        <v>0</v>
      </c>
      <c r="S602" s="1">
        <f xml:space="preserve"> ( OR( $N538 = '2.1 Model setup'!$K$45, $N538 = '2.1 Model setup'!$K$47 ) ) * S498</f>
        <v>0</v>
      </c>
      <c r="T602" s="1">
        <f xml:space="preserve"> ( OR( $N538 = '2.1 Model setup'!$K$45, $N538 = '2.1 Model setup'!$K$47 ) ) * T498</f>
        <v>0</v>
      </c>
      <c r="U602" s="1">
        <f xml:space="preserve"> ( OR( $N538 = '2.1 Model setup'!$K$45, $N538 = '2.1 Model setup'!$K$47 ) ) * U498</f>
        <v>0</v>
      </c>
      <c r="V602" s="1">
        <f xml:space="preserve"> ( OR( $N538 = '2.1 Model setup'!$K$45, $N538 = '2.1 Model setup'!$K$47 ) ) * V498</f>
        <v>0</v>
      </c>
      <c r="W602" s="4">
        <f xml:space="preserve"> SUM( R602:V602 )</f>
        <v>0</v>
      </c>
    </row>
    <row r="603" spans="4:23" ht="15" customHeight="1">
      <c r="D603" s="85" t="str">
        <f xml:space="preserve"> '2.1 Model setup'!K81</f>
        <v>5.2 Øvrige omkostninger</v>
      </c>
      <c r="K603" s="5" t="str">
        <f t="shared" si="89"/>
        <v>DKKt</v>
      </c>
      <c r="O603" s="202"/>
      <c r="P603" s="202"/>
      <c r="Q603" s="202"/>
      <c r="R603" s="1">
        <f xml:space="preserve"> ( OR( $N539 = '2.1 Model setup'!$K$45, $N539 = '2.1 Model setup'!$K$47 ) ) * R499</f>
        <v>0</v>
      </c>
      <c r="S603" s="1">
        <f xml:space="preserve"> ( OR( $N539 = '2.1 Model setup'!$K$45, $N539 = '2.1 Model setup'!$K$47 ) ) * S499</f>
        <v>0</v>
      </c>
      <c r="T603" s="1">
        <f xml:space="preserve"> ( OR( $N539 = '2.1 Model setup'!$K$45, $N539 = '2.1 Model setup'!$K$47 ) ) * T499</f>
        <v>0</v>
      </c>
      <c r="U603" s="1">
        <f xml:space="preserve"> ( OR( $N539 = '2.1 Model setup'!$K$45, $N539 = '2.1 Model setup'!$K$47 ) ) * U499</f>
        <v>0</v>
      </c>
      <c r="V603" s="1">
        <f xml:space="preserve"> ( OR( $N539 = '2.1 Model setup'!$K$45, $N539 = '2.1 Model setup'!$K$47 ) ) * V499</f>
        <v>0</v>
      </c>
      <c r="W603" s="4">
        <f t="shared" si="90"/>
        <v>0</v>
      </c>
    </row>
    <row r="604" spans="4:23" ht="15" customHeight="1">
      <c r="D604" s="85" t="str">
        <f xml:space="preserve"> '2.1 Model setup'!K82</f>
        <v>6.1 Afskrivninger på transformerstationer</v>
      </c>
      <c r="K604" s="5" t="str">
        <f t="shared" si="89"/>
        <v>DKKt</v>
      </c>
      <c r="O604" s="202"/>
      <c r="P604" s="202"/>
      <c r="Q604" s="202"/>
      <c r="R604" s="1">
        <f xml:space="preserve"> ( OR( $N540 = '2.1 Model setup'!$K$45, $N540 = '2.1 Model setup'!$K$47 ) ) * R500</f>
        <v>0</v>
      </c>
      <c r="S604" s="1">
        <f xml:space="preserve"> ( OR( $N540 = '2.1 Model setup'!$K$45, $N540 = '2.1 Model setup'!$K$47 ) ) * S500</f>
        <v>0</v>
      </c>
      <c r="T604" s="1">
        <f xml:space="preserve"> ( OR( $N540 = '2.1 Model setup'!$K$45, $N540 = '2.1 Model setup'!$K$47 ) ) * T500</f>
        <v>0</v>
      </c>
      <c r="U604" s="1">
        <f xml:space="preserve"> ( OR( $N540 = '2.1 Model setup'!$K$45, $N540 = '2.1 Model setup'!$K$47 ) ) * U500</f>
        <v>0</v>
      </c>
      <c r="V604" s="1">
        <f xml:space="preserve"> ( OR( $N540 = '2.1 Model setup'!$K$45, $N540 = '2.1 Model setup'!$K$47 ) ) * V500</f>
        <v>0</v>
      </c>
      <c r="W604" s="4">
        <f t="shared" si="90"/>
        <v>0</v>
      </c>
    </row>
    <row r="605" spans="4:23" ht="15" customHeight="1">
      <c r="D605" s="85" t="str">
        <f xml:space="preserve"> '2.1 Model setup'!K83</f>
        <v>6.2 Afskrivninger på netaktiver ekskl. målere og transformerstationer</v>
      </c>
      <c r="K605" s="5" t="str">
        <f t="shared" si="89"/>
        <v>DKKt</v>
      </c>
      <c r="O605" s="202"/>
      <c r="P605" s="202"/>
      <c r="Q605" s="202"/>
      <c r="R605" s="1">
        <f xml:space="preserve"> ( OR( $N541 = '2.1 Model setup'!$K$45, $N541 = '2.1 Model setup'!$K$47 ) ) * R501</f>
        <v>0</v>
      </c>
      <c r="S605" s="1">
        <f xml:space="preserve"> ( OR( $N541 = '2.1 Model setup'!$K$45, $N541 = '2.1 Model setup'!$K$47 ) ) * S501</f>
        <v>0</v>
      </c>
      <c r="T605" s="1">
        <f xml:space="preserve"> ( OR( $N541 = '2.1 Model setup'!$K$45, $N541 = '2.1 Model setup'!$K$47 ) ) * T501</f>
        <v>0</v>
      </c>
      <c r="U605" s="1">
        <f xml:space="preserve"> ( OR( $N541 = '2.1 Model setup'!$K$45, $N541 = '2.1 Model setup'!$K$47 ) ) * U501</f>
        <v>0</v>
      </c>
      <c r="V605" s="1">
        <f xml:space="preserve"> ( OR( $N541 = '2.1 Model setup'!$K$45, $N541 = '2.1 Model setup'!$K$47 ) ) * V501</f>
        <v>0</v>
      </c>
      <c r="W605" s="4">
        <f t="shared" si="90"/>
        <v>0</v>
      </c>
    </row>
    <row r="606" spans="4:23" ht="15" customHeight="1">
      <c r="D606" s="85" t="str">
        <f xml:space="preserve"> '2.1 Model setup'!K84</f>
        <v>6.3 Afskrivninger på målere</v>
      </c>
      <c r="K606" s="5" t="str">
        <f t="shared" si="89"/>
        <v>DKKt</v>
      </c>
      <c r="O606" s="202"/>
      <c r="P606" s="202"/>
      <c r="Q606" s="202"/>
      <c r="R606" s="1">
        <f xml:space="preserve"> ( OR( $N542 = '2.1 Model setup'!$K$45, $N542 = '2.1 Model setup'!$K$47 ) ) * R502</f>
        <v>0</v>
      </c>
      <c r="S606" s="1">
        <f xml:space="preserve"> ( OR( $N542 = '2.1 Model setup'!$K$45, $N542 = '2.1 Model setup'!$K$47 ) ) * S502</f>
        <v>0</v>
      </c>
      <c r="T606" s="1">
        <f xml:space="preserve"> ( OR( $N542 = '2.1 Model setup'!$K$45, $N542 = '2.1 Model setup'!$K$47 ) ) * T502</f>
        <v>0</v>
      </c>
      <c r="U606" s="1">
        <f xml:space="preserve"> ( OR( $N542 = '2.1 Model setup'!$K$45, $N542 = '2.1 Model setup'!$K$47 ) ) * U502</f>
        <v>0</v>
      </c>
      <c r="V606" s="1">
        <f xml:space="preserve"> ( OR( $N542 = '2.1 Model setup'!$K$45, $N542 = '2.1 Model setup'!$K$47 ) ) * V502</f>
        <v>0</v>
      </c>
      <c r="W606" s="4">
        <f t="shared" si="90"/>
        <v>0</v>
      </c>
    </row>
    <row r="607" spans="4:23" ht="15" customHeight="1">
      <c r="D607" s="186" t="s">
        <v>16</v>
      </c>
      <c r="E607" s="33"/>
      <c r="F607" s="33"/>
      <c r="G607" s="33"/>
      <c r="H607" s="33"/>
      <c r="I607" s="33"/>
      <c r="J607" s="33"/>
      <c r="K607" s="187" t="str">
        <f t="shared" si="89"/>
        <v>DKKt</v>
      </c>
      <c r="L607" s="186"/>
      <c r="M607" s="186"/>
      <c r="N607" s="186"/>
      <c r="O607" s="388"/>
      <c r="P607" s="388"/>
      <c r="Q607" s="388"/>
      <c r="R607" s="186">
        <f t="shared" ref="R607:W607" si="91" xml:space="preserve"> SUM( R592:R606 )</f>
        <v>0</v>
      </c>
      <c r="S607" s="186">
        <f t="shared" si="91"/>
        <v>0</v>
      </c>
      <c r="T607" s="186">
        <f t="shared" si="91"/>
        <v>0</v>
      </c>
      <c r="U607" s="186">
        <f t="shared" si="91"/>
        <v>0</v>
      </c>
      <c r="V607" s="186">
        <f t="shared" si="91"/>
        <v>0</v>
      </c>
      <c r="W607" s="186">
        <f t="shared" si="91"/>
        <v>0</v>
      </c>
    </row>
    <row r="609" spans="4:23" ht="15" customHeight="1">
      <c r="D609" s="35" t="s">
        <v>281</v>
      </c>
      <c r="E609" s="27"/>
      <c r="F609" s="27"/>
      <c r="G609" s="27"/>
      <c r="H609" s="27"/>
      <c r="I609" s="27"/>
      <c r="J609" s="27"/>
      <c r="K609" s="32"/>
      <c r="L609" s="27"/>
      <c r="M609" s="27"/>
      <c r="N609" s="27"/>
      <c r="O609" s="27"/>
      <c r="P609" s="27"/>
      <c r="Q609" s="27"/>
      <c r="R609" s="27"/>
      <c r="S609" s="27"/>
      <c r="T609" s="27"/>
      <c r="U609" s="27"/>
      <c r="V609" s="27"/>
      <c r="W609" s="185" t="s">
        <v>16</v>
      </c>
    </row>
    <row r="610" spans="4:23" ht="15" customHeight="1">
      <c r="D610" s="85" t="str">
        <f xml:space="preserve"> '2.1 Model setup'!K85</f>
        <v>7.1 Transformerstationer (forrentning)</v>
      </c>
      <c r="E610" s="15"/>
      <c r="F610" s="15"/>
      <c r="G610" s="15"/>
      <c r="H610" s="15"/>
      <c r="I610" s="15"/>
      <c r="J610" s="15"/>
      <c r="K610" s="19" t="str">
        <f xml:space="preserve"> Model.Units</f>
        <v>DKKt</v>
      </c>
      <c r="L610" s="15"/>
      <c r="M610" s="15"/>
      <c r="N610" s="15"/>
      <c r="O610" s="274"/>
      <c r="P610" s="274"/>
      <c r="Q610" s="274"/>
      <c r="R610" s="15">
        <f xml:space="preserve"> ( OR( $N545 = '2.1 Model setup'!$K$45, $N545 = '2.1 Model setup'!$K$47 ) ) * '3.1 Opsplitning af forbrug'!R324</f>
        <v>0</v>
      </c>
      <c r="S610" s="15">
        <f xml:space="preserve"> ( OR( $N545 = '2.1 Model setup'!$K$45, $N545 = '2.1 Model setup'!$K$47 ) ) * '3.1 Opsplitning af forbrug'!S324</f>
        <v>0</v>
      </c>
      <c r="T610" s="15">
        <f xml:space="preserve"> ( OR( $N545 = '2.1 Model setup'!$K$45, $N545 = '2.1 Model setup'!$K$47 ) ) * '3.1 Opsplitning af forbrug'!T324</f>
        <v>0</v>
      </c>
      <c r="U610" s="15">
        <f xml:space="preserve"> ( OR( $N545 = '2.1 Model setup'!$K$45, $N545 = '2.1 Model setup'!$K$47 ) ) * '3.1 Opsplitning af forbrug'!U324</f>
        <v>0</v>
      </c>
      <c r="V610" s="15">
        <f xml:space="preserve"> ( OR( $N545 = '2.1 Model setup'!$K$45, $N545 = '2.1 Model setup'!$K$47 ) ) * '3.1 Opsplitning af forbrug'!V324</f>
        <v>0</v>
      </c>
      <c r="W610" s="18">
        <f xml:space="preserve"> SUM( R610:V610 )</f>
        <v>0</v>
      </c>
    </row>
    <row r="611" spans="4:23" ht="15" customHeight="1">
      <c r="D611" s="85" t="str">
        <f xml:space="preserve"> '2.1 Model setup'!K86</f>
        <v>7.2 Netaktiver ekskl. målere og transformerstationer (forrentning)</v>
      </c>
      <c r="K611" s="5" t="str">
        <f xml:space="preserve"> Model.Units</f>
        <v>DKKt</v>
      </c>
      <c r="O611" s="202"/>
      <c r="P611" s="202"/>
      <c r="Q611" s="202"/>
      <c r="R611" s="1">
        <f xml:space="preserve"> ( OR( $N546 = '2.1 Model setup'!$K$45, $N546 = '2.1 Model setup'!$K$47 ) ) * '3.1 Opsplitning af forbrug'!R325</f>
        <v>0</v>
      </c>
      <c r="S611" s="1">
        <f xml:space="preserve"> ( OR( $N546 = '2.1 Model setup'!$K$45, $N546 = '2.1 Model setup'!$K$47 ) ) * '3.1 Opsplitning af forbrug'!S325</f>
        <v>0</v>
      </c>
      <c r="T611" s="1">
        <f xml:space="preserve"> ( OR( $N546 = '2.1 Model setup'!$K$45, $N546 = '2.1 Model setup'!$K$47 ) ) * '3.1 Opsplitning af forbrug'!T325</f>
        <v>0</v>
      </c>
      <c r="U611" s="1">
        <f xml:space="preserve"> ( OR( $N546 = '2.1 Model setup'!$K$45, $N546 = '2.1 Model setup'!$K$47 ) ) * '3.1 Opsplitning af forbrug'!U325</f>
        <v>0</v>
      </c>
      <c r="V611" s="1">
        <f xml:space="preserve"> ( OR( $N546 = '2.1 Model setup'!$K$45, $N546 = '2.1 Model setup'!$K$47 ) ) * '3.1 Opsplitning af forbrug'!V325</f>
        <v>0</v>
      </c>
      <c r="W611" s="4">
        <f xml:space="preserve"> SUM( R611:V611 )</f>
        <v>0</v>
      </c>
    </row>
    <row r="612" spans="4:23" ht="15" customHeight="1">
      <c r="D612" s="99" t="str">
        <f xml:space="preserve"> '2.1 Model setup'!K87</f>
        <v>7.3 Målere (forrentning)</v>
      </c>
      <c r="E612" s="27"/>
      <c r="F612" s="27"/>
      <c r="G612" s="27"/>
      <c r="H612" s="27"/>
      <c r="I612" s="27"/>
      <c r="J612" s="27"/>
      <c r="K612" s="32" t="str">
        <f xml:space="preserve"> Model.Units</f>
        <v>DKKt</v>
      </c>
      <c r="L612" s="27"/>
      <c r="M612" s="27"/>
      <c r="N612" s="27"/>
      <c r="O612" s="269"/>
      <c r="P612" s="269"/>
      <c r="Q612" s="269"/>
      <c r="R612" s="27">
        <f xml:space="preserve"> ( OR( $N547 = '2.1 Model setup'!$K$45, $N547 = '2.1 Model setup'!$K$47 ) ) * '3.1 Opsplitning af forbrug'!R326</f>
        <v>0</v>
      </c>
      <c r="S612" s="27">
        <f xml:space="preserve"> ( OR( $N547 = '2.1 Model setup'!$K$45, $N547 = '2.1 Model setup'!$K$47 ) ) * '3.1 Opsplitning af forbrug'!S326</f>
        <v>0</v>
      </c>
      <c r="T612" s="27">
        <f xml:space="preserve"> ( OR( $N547 = '2.1 Model setup'!$K$45, $N547 = '2.1 Model setup'!$K$47 ) ) * '3.1 Opsplitning af forbrug'!T326</f>
        <v>0</v>
      </c>
      <c r="U612" s="27">
        <f xml:space="preserve"> ( OR( $N547 = '2.1 Model setup'!$K$45, $N547 = '2.1 Model setup'!$K$47 ) ) * '3.1 Opsplitning af forbrug'!U326</f>
        <v>0</v>
      </c>
      <c r="V612" s="27">
        <f xml:space="preserve"> ( OR( $N547 = '2.1 Model setup'!$K$45, $N547 = '2.1 Model setup'!$K$47 ) ) * '3.1 Opsplitning af forbrug'!V326</f>
        <v>0</v>
      </c>
      <c r="W612" s="35">
        <f xml:space="preserve"> SUM( R612:V612 )</f>
        <v>0</v>
      </c>
    </row>
    <row r="613" spans="4:23" ht="15" customHeight="1">
      <c r="D613" s="186" t="s">
        <v>16</v>
      </c>
      <c r="E613" s="33"/>
      <c r="F613" s="33"/>
      <c r="G613" s="33"/>
      <c r="H613" s="33"/>
      <c r="I613" s="33"/>
      <c r="J613" s="33"/>
      <c r="K613" s="187" t="str">
        <f xml:space="preserve"> Model.Units</f>
        <v>DKKt</v>
      </c>
      <c r="L613" s="186"/>
      <c r="M613" s="186"/>
      <c r="N613" s="186"/>
      <c r="O613" s="388"/>
      <c r="P613" s="388"/>
      <c r="Q613" s="388"/>
      <c r="R613" s="186">
        <f t="shared" ref="R613:W613" si="92" xml:space="preserve"> SUM( R610:R612 )</f>
        <v>0</v>
      </c>
      <c r="S613" s="186">
        <f t="shared" si="92"/>
        <v>0</v>
      </c>
      <c r="T613" s="186">
        <f t="shared" si="92"/>
        <v>0</v>
      </c>
      <c r="U613" s="186">
        <f t="shared" si="92"/>
        <v>0</v>
      </c>
      <c r="V613" s="186">
        <f t="shared" si="92"/>
        <v>0</v>
      </c>
      <c r="W613" s="186">
        <f t="shared" si="92"/>
        <v>0</v>
      </c>
    </row>
    <row r="615" spans="4:23" ht="15" customHeight="1">
      <c r="D615" s="4" t="s">
        <v>290</v>
      </c>
      <c r="W615" s="89" t="s">
        <v>16</v>
      </c>
    </row>
    <row r="616" spans="4:23" ht="15" customHeight="1">
      <c r="D616" s="15" t="s">
        <v>107</v>
      </c>
      <c r="E616" s="15"/>
      <c r="F616" s="15"/>
      <c r="G616" s="15"/>
      <c r="H616" s="15"/>
      <c r="I616" s="15"/>
      <c r="J616" s="15"/>
      <c r="K616" s="19" t="str">
        <f t="shared" ref="K616:K621" si="93" xml:space="preserve"> Model.Units</f>
        <v>DKKt</v>
      </c>
      <c r="L616" s="15"/>
      <c r="M616" s="15"/>
      <c r="N616" s="15"/>
      <c r="O616" s="274"/>
      <c r="P616" s="274"/>
      <c r="Q616" s="274"/>
      <c r="R616" s="15">
        <f xml:space="preserve"> R565</f>
        <v>0</v>
      </c>
      <c r="S616" s="15">
        <f xml:space="preserve"> S565</f>
        <v>0</v>
      </c>
      <c r="T616" s="15">
        <f xml:space="preserve"> T565</f>
        <v>0</v>
      </c>
      <c r="U616" s="15">
        <f xml:space="preserve"> U565</f>
        <v>0</v>
      </c>
      <c r="V616" s="15">
        <f xml:space="preserve"> V565</f>
        <v>0</v>
      </c>
      <c r="W616" s="18">
        <f xml:space="preserve"> SUM( R616:V616 )</f>
        <v>0</v>
      </c>
    </row>
    <row r="617" spans="4:23" ht="15" customHeight="1">
      <c r="D617" s="1" t="s">
        <v>108</v>
      </c>
      <c r="K617" s="5" t="str">
        <f t="shared" si="93"/>
        <v>DKKt</v>
      </c>
      <c r="O617" s="202"/>
      <c r="P617" s="202"/>
      <c r="Q617" s="202"/>
      <c r="R617" s="1">
        <f xml:space="preserve"> R571</f>
        <v>0</v>
      </c>
      <c r="S617" s="1">
        <f xml:space="preserve"> S571</f>
        <v>0</v>
      </c>
      <c r="T617" s="1">
        <f xml:space="preserve"> T571</f>
        <v>0</v>
      </c>
      <c r="U617" s="1">
        <f xml:space="preserve"> U571</f>
        <v>0</v>
      </c>
      <c r="V617" s="1">
        <f xml:space="preserve"> V571</f>
        <v>0</v>
      </c>
      <c r="W617" s="4">
        <f xml:space="preserve"> SUM( R617:V617 )</f>
        <v>0</v>
      </c>
    </row>
    <row r="618" spans="4:23" ht="15" customHeight="1">
      <c r="D618" s="1" t="s">
        <v>283</v>
      </c>
      <c r="K618" s="5" t="str">
        <f t="shared" si="93"/>
        <v>DKKt</v>
      </c>
      <c r="O618" s="202"/>
      <c r="P618" s="202"/>
      <c r="Q618" s="202"/>
      <c r="R618" s="1">
        <f xml:space="preserve"> R589</f>
        <v>0</v>
      </c>
      <c r="S618" s="1">
        <f xml:space="preserve"> S589</f>
        <v>0</v>
      </c>
      <c r="T618" s="1">
        <f xml:space="preserve"> T589</f>
        <v>0</v>
      </c>
      <c r="U618" s="1">
        <f xml:space="preserve"> U589</f>
        <v>0</v>
      </c>
      <c r="V618" s="1">
        <f xml:space="preserve"> V589</f>
        <v>0</v>
      </c>
      <c r="W618" s="4">
        <f xml:space="preserve"> SUM( R618:V618 )</f>
        <v>0</v>
      </c>
    </row>
    <row r="619" spans="4:23" ht="15" customHeight="1">
      <c r="D619" s="1" t="s">
        <v>282</v>
      </c>
      <c r="K619" s="5" t="str">
        <f t="shared" si="93"/>
        <v>DKKt</v>
      </c>
      <c r="O619" s="202"/>
      <c r="P619" s="202"/>
      <c r="Q619" s="202"/>
      <c r="R619" s="1">
        <f xml:space="preserve"> R607</f>
        <v>0</v>
      </c>
      <c r="S619" s="1">
        <f xml:space="preserve"> S607</f>
        <v>0</v>
      </c>
      <c r="T619" s="1">
        <f xml:space="preserve"> T607</f>
        <v>0</v>
      </c>
      <c r="U619" s="1">
        <f xml:space="preserve"> U607</f>
        <v>0</v>
      </c>
      <c r="V619" s="1">
        <f xml:space="preserve"> V607</f>
        <v>0</v>
      </c>
      <c r="W619" s="4">
        <f xml:space="preserve"> SUM( R619:V619 )</f>
        <v>0</v>
      </c>
    </row>
    <row r="620" spans="4:23" ht="15" customHeight="1">
      <c r="D620" s="27" t="s">
        <v>281</v>
      </c>
      <c r="E620" s="27"/>
      <c r="F620" s="27"/>
      <c r="G620" s="27"/>
      <c r="H620" s="27"/>
      <c r="I620" s="27"/>
      <c r="J620" s="27"/>
      <c r="K620" s="32" t="str">
        <f t="shared" si="93"/>
        <v>DKKt</v>
      </c>
      <c r="L620" s="27"/>
      <c r="M620" s="27"/>
      <c r="N620" s="27"/>
      <c r="O620" s="269"/>
      <c r="P620" s="269"/>
      <c r="Q620" s="269"/>
      <c r="R620" s="27">
        <f xml:space="preserve"> R613</f>
        <v>0</v>
      </c>
      <c r="S620" s="27">
        <f xml:space="preserve"> S613</f>
        <v>0</v>
      </c>
      <c r="T620" s="27">
        <f xml:space="preserve"> T613</f>
        <v>0</v>
      </c>
      <c r="U620" s="27">
        <f xml:space="preserve"> U613</f>
        <v>0</v>
      </c>
      <c r="V620" s="27">
        <f xml:space="preserve"> V613</f>
        <v>0</v>
      </c>
      <c r="W620" s="35">
        <f xml:space="preserve"> SUM( R620:V620 )</f>
        <v>0</v>
      </c>
    </row>
    <row r="621" spans="4:23" ht="15" customHeight="1">
      <c r="D621" s="186" t="s">
        <v>16</v>
      </c>
      <c r="E621" s="186"/>
      <c r="F621" s="186"/>
      <c r="G621" s="186"/>
      <c r="H621" s="186"/>
      <c r="I621" s="186"/>
      <c r="J621" s="186"/>
      <c r="K621" s="187" t="str">
        <f t="shared" si="93"/>
        <v>DKKt</v>
      </c>
      <c r="L621" s="90">
        <f xml:space="preserve"> -- ( IF( '2.3 Selskabsspecifikke input'!N51 = 0, 0, ROUND( W621, 5 ) &lt;&gt; ROUND( N18 - N23, 5 ) ) )</f>
        <v>0</v>
      </c>
      <c r="M621" s="186"/>
      <c r="N621" s="186"/>
      <c r="O621" s="388"/>
      <c r="P621" s="388"/>
      <c r="Q621" s="388"/>
      <c r="R621" s="186">
        <f t="shared" ref="R621:W621" si="94" xml:space="preserve"> SUM( R616:R620 )</f>
        <v>0</v>
      </c>
      <c r="S621" s="186">
        <f t="shared" si="94"/>
        <v>0</v>
      </c>
      <c r="T621" s="186">
        <f t="shared" si="94"/>
        <v>0</v>
      </c>
      <c r="U621" s="186">
        <f t="shared" si="94"/>
        <v>0</v>
      </c>
      <c r="V621" s="186">
        <f t="shared" si="94"/>
        <v>0</v>
      </c>
      <c r="W621" s="186">
        <f t="shared" si="94"/>
        <v>0</v>
      </c>
    </row>
    <row r="623" spans="4:23" ht="15" customHeight="1">
      <c r="D623" s="35" t="s">
        <v>291</v>
      </c>
      <c r="E623" s="27"/>
      <c r="F623" s="27"/>
      <c r="G623" s="27"/>
      <c r="H623" s="27"/>
      <c r="I623" s="27"/>
      <c r="J623" s="27"/>
      <c r="K623" s="32"/>
      <c r="L623" s="27"/>
      <c r="M623" s="27"/>
      <c r="N623" s="27"/>
    </row>
    <row r="624" spans="4:23" ht="15" customHeight="1">
      <c r="D624" s="85" t="str">
        <f xml:space="preserve"> '2.1 Model setup'!K85</f>
        <v>7.1 Transformerstationer (forrentning)</v>
      </c>
      <c r="K624" s="5" t="s">
        <v>4</v>
      </c>
      <c r="O624" s="274"/>
      <c r="P624" s="274"/>
      <c r="Q624" s="274"/>
      <c r="R624" s="180">
        <f t="shared" ref="R624:V626" si="95" xml:space="preserve"> IF( SUM( R$610:R$612 ) = 0, 0, R610 / SUM( R$610:R$612 ) )</f>
        <v>0</v>
      </c>
      <c r="S624" s="180">
        <f t="shared" si="95"/>
        <v>0</v>
      </c>
      <c r="T624" s="180">
        <f t="shared" si="95"/>
        <v>0</v>
      </c>
      <c r="U624" s="180">
        <f t="shared" si="95"/>
        <v>0</v>
      </c>
      <c r="V624" s="180">
        <f t="shared" si="95"/>
        <v>0</v>
      </c>
      <c r="W624" s="196"/>
    </row>
    <row r="625" spans="4:23" ht="15" customHeight="1">
      <c r="D625" s="85" t="str">
        <f xml:space="preserve"> '2.1 Model setup'!K86</f>
        <v>7.2 Netaktiver ekskl. målere og transformerstationer (forrentning)</v>
      </c>
      <c r="K625" s="5" t="s">
        <v>4</v>
      </c>
      <c r="O625" s="202"/>
      <c r="P625" s="202"/>
      <c r="Q625" s="202"/>
      <c r="R625" s="181">
        <f t="shared" si="95"/>
        <v>0</v>
      </c>
      <c r="S625" s="181">
        <f t="shared" si="95"/>
        <v>0</v>
      </c>
      <c r="T625" s="181">
        <f t="shared" si="95"/>
        <v>0</v>
      </c>
      <c r="U625" s="181">
        <f t="shared" si="95"/>
        <v>0</v>
      </c>
      <c r="V625" s="181">
        <f t="shared" si="95"/>
        <v>0</v>
      </c>
      <c r="W625" s="111"/>
    </row>
    <row r="626" spans="4:23" ht="15" customHeight="1">
      <c r="D626" s="85" t="str">
        <f xml:space="preserve"> '2.1 Model setup'!K87</f>
        <v>7.3 Målere (forrentning)</v>
      </c>
      <c r="K626" s="5" t="s">
        <v>4</v>
      </c>
      <c r="O626" s="202"/>
      <c r="P626" s="202"/>
      <c r="Q626" s="202"/>
      <c r="R626" s="182">
        <f t="shared" si="95"/>
        <v>0</v>
      </c>
      <c r="S626" s="182">
        <f t="shared" si="95"/>
        <v>0</v>
      </c>
      <c r="T626" s="182">
        <f t="shared" si="95"/>
        <v>0</v>
      </c>
      <c r="U626" s="182">
        <f t="shared" si="95"/>
        <v>0</v>
      </c>
      <c r="V626" s="182">
        <f t="shared" si="95"/>
        <v>0</v>
      </c>
      <c r="W626" s="113"/>
    </row>
    <row r="627" spans="4:23" ht="15" customHeight="1">
      <c r="D627" s="186" t="s">
        <v>16</v>
      </c>
      <c r="E627" s="33"/>
      <c r="F627" s="33"/>
      <c r="G627" s="33"/>
      <c r="H627" s="33"/>
      <c r="I627" s="33"/>
      <c r="J627" s="33"/>
      <c r="K627" s="187" t="s">
        <v>4</v>
      </c>
      <c r="L627" s="90"/>
      <c r="M627" s="186"/>
      <c r="N627" s="186"/>
      <c r="O627" s="388"/>
      <c r="P627" s="388"/>
      <c r="Q627" s="388"/>
      <c r="R627" s="200">
        <f xml:space="preserve"> SUM( R624:R626 )</f>
        <v>0</v>
      </c>
      <c r="S627" s="200">
        <f xml:space="preserve"> SUM( S624:S626 )</f>
        <v>0</v>
      </c>
      <c r="T627" s="200">
        <f xml:space="preserve"> SUM( T624:T626 )</f>
        <v>0</v>
      </c>
      <c r="U627" s="200">
        <f xml:space="preserve"> SUM( U624:U626 )</f>
        <v>0</v>
      </c>
      <c r="V627" s="200">
        <f xml:space="preserve"> SUM( V624:V626 )</f>
        <v>0</v>
      </c>
      <c r="W627" s="95"/>
    </row>
    <row r="629" spans="4:23" ht="15" customHeight="1">
      <c r="D629" s="35" t="s">
        <v>292</v>
      </c>
      <c r="E629" s="27"/>
      <c r="F629" s="27"/>
      <c r="G629" s="27"/>
      <c r="H629" s="27"/>
      <c r="I629" s="27"/>
      <c r="J629" s="27"/>
      <c r="K629" s="32"/>
      <c r="L629" s="27"/>
      <c r="M629" s="27"/>
      <c r="N629" s="27"/>
    </row>
    <row r="630" spans="4:23" ht="15" customHeight="1">
      <c r="D630" s="85" t="str">
        <f xml:space="preserve"> '2.1 Model setup'!K70</f>
        <v>1.1 Drift og vedligeholdelse af transformerstationer</v>
      </c>
      <c r="K630" s="5" t="str">
        <f t="shared" ref="K630:K648" si="96" xml:space="preserve"> Model.Units</f>
        <v>DKKt</v>
      </c>
      <c r="O630" s="274"/>
      <c r="P630" s="274"/>
      <c r="Q630" s="274"/>
      <c r="R630" s="15">
        <f t="shared" ref="R630:V644" si="97" xml:space="preserve"> R592</f>
        <v>0</v>
      </c>
      <c r="S630" s="15">
        <f t="shared" si="97"/>
        <v>0</v>
      </c>
      <c r="T630" s="15">
        <f t="shared" si="97"/>
        <v>0</v>
      </c>
      <c r="U630" s="15">
        <f t="shared" si="97"/>
        <v>0</v>
      </c>
      <c r="V630" s="15">
        <f t="shared" si="97"/>
        <v>0</v>
      </c>
      <c r="W630" s="18">
        <f xml:space="preserve"> SUM( R630:V630 )</f>
        <v>0</v>
      </c>
    </row>
    <row r="631" spans="4:23" ht="15" customHeight="1">
      <c r="D631" s="85" t="str">
        <f xml:space="preserve"> '2.1 Model setup'!K71</f>
        <v>1.2 Drift og vedligeholdelse af ledningsnet</v>
      </c>
      <c r="K631" s="5" t="str">
        <f t="shared" si="96"/>
        <v>DKKt</v>
      </c>
      <c r="O631" s="202"/>
      <c r="P631" s="202"/>
      <c r="Q631" s="202"/>
      <c r="R631" s="1">
        <f t="shared" si="97"/>
        <v>0</v>
      </c>
      <c r="S631" s="1">
        <f t="shared" si="97"/>
        <v>0</v>
      </c>
      <c r="T631" s="1">
        <f t="shared" si="97"/>
        <v>0</v>
      </c>
      <c r="U631" s="1">
        <f t="shared" si="97"/>
        <v>0</v>
      </c>
      <c r="V631" s="1">
        <f t="shared" si="97"/>
        <v>0</v>
      </c>
      <c r="W631" s="4">
        <f t="shared" ref="W631:W647" si="98" xml:space="preserve"> SUM( R631:V631 )</f>
        <v>0</v>
      </c>
    </row>
    <row r="632" spans="4:23" ht="15" customHeight="1">
      <c r="D632" s="85" t="str">
        <f xml:space="preserve"> '2.1 Model setup'!K72</f>
        <v>1.3 Øvrige omkostninger til drift, styring og kontrol af elnettet</v>
      </c>
      <c r="K632" s="5" t="str">
        <f t="shared" si="96"/>
        <v>DKKt</v>
      </c>
      <c r="O632" s="202"/>
      <c r="P632" s="202"/>
      <c r="Q632" s="202"/>
      <c r="R632" s="1">
        <f t="shared" si="97"/>
        <v>0</v>
      </c>
      <c r="S632" s="1">
        <f t="shared" si="97"/>
        <v>0</v>
      </c>
      <c r="T632" s="1">
        <f t="shared" si="97"/>
        <v>0</v>
      </c>
      <c r="U632" s="1">
        <f t="shared" si="97"/>
        <v>0</v>
      </c>
      <c r="V632" s="1">
        <f t="shared" si="97"/>
        <v>0</v>
      </c>
      <c r="W632" s="4">
        <f t="shared" si="98"/>
        <v>0</v>
      </c>
    </row>
    <row r="633" spans="4:23" ht="15" customHeight="1">
      <c r="D633" s="85" t="str">
        <f xml:space="preserve"> '2.1 Model setup'!K73</f>
        <v>1.4 Omkostninger vedrørende 132-150/30-60 kV-stationer</v>
      </c>
      <c r="K633" s="5" t="str">
        <f t="shared" si="96"/>
        <v>DKKt</v>
      </c>
      <c r="O633" s="202"/>
      <c r="P633" s="202"/>
      <c r="Q633" s="202"/>
      <c r="R633" s="1">
        <f t="shared" si="97"/>
        <v>0</v>
      </c>
      <c r="S633" s="1">
        <f t="shared" si="97"/>
        <v>0</v>
      </c>
      <c r="T633" s="1">
        <f t="shared" si="97"/>
        <v>0</v>
      </c>
      <c r="U633" s="1">
        <f t="shared" si="97"/>
        <v>0</v>
      </c>
      <c r="V633" s="1">
        <f t="shared" si="97"/>
        <v>0</v>
      </c>
      <c r="W633" s="4">
        <f xml:space="preserve"> SUM( R633:V633 )</f>
        <v>0</v>
      </c>
    </row>
    <row r="634" spans="4:23" ht="15" customHeight="1">
      <c r="D634" s="85" t="str">
        <f xml:space="preserve"> '2.1 Model setup'!K74</f>
        <v>2.1 Drift og vedligeholdelse af målere</v>
      </c>
      <c r="K634" s="5" t="str">
        <f t="shared" si="96"/>
        <v>DKKt</v>
      </c>
      <c r="O634" s="202"/>
      <c r="P634" s="202"/>
      <c r="Q634" s="202"/>
      <c r="R634" s="1">
        <f t="shared" si="97"/>
        <v>0</v>
      </c>
      <c r="S634" s="1">
        <f t="shared" si="97"/>
        <v>0</v>
      </c>
      <c r="T634" s="1">
        <f t="shared" si="97"/>
        <v>0</v>
      </c>
      <c r="U634" s="1">
        <f t="shared" si="97"/>
        <v>0</v>
      </c>
      <c r="V634" s="1">
        <f t="shared" si="97"/>
        <v>0</v>
      </c>
      <c r="W634" s="4">
        <f t="shared" si="98"/>
        <v>0</v>
      </c>
    </row>
    <row r="635" spans="4:23" ht="15" customHeight="1">
      <c r="D635" s="85" t="str">
        <f xml:space="preserve"> '2.1 Model setup'!K75</f>
        <v>2.2 Indhentning og validering af målerdata</v>
      </c>
      <c r="K635" s="5" t="str">
        <f t="shared" si="96"/>
        <v>DKKt</v>
      </c>
      <c r="O635" s="202"/>
      <c r="P635" s="202"/>
      <c r="Q635" s="202"/>
      <c r="R635" s="1">
        <f t="shared" si="97"/>
        <v>0</v>
      </c>
      <c r="S635" s="1">
        <f t="shared" si="97"/>
        <v>0</v>
      </c>
      <c r="T635" s="1">
        <f t="shared" si="97"/>
        <v>0</v>
      </c>
      <c r="U635" s="1">
        <f t="shared" si="97"/>
        <v>0</v>
      </c>
      <c r="V635" s="1">
        <f t="shared" si="97"/>
        <v>0</v>
      </c>
      <c r="W635" s="4">
        <f t="shared" si="98"/>
        <v>0</v>
      </c>
    </row>
    <row r="636" spans="4:23" ht="15" customHeight="1">
      <c r="D636" s="85" t="str">
        <f xml:space="preserve"> '2.1 Model setup'!K76</f>
        <v>2.3 Måleradministration og kundehåndtering</v>
      </c>
      <c r="K636" s="5" t="str">
        <f t="shared" si="96"/>
        <v>DKKt</v>
      </c>
      <c r="O636" s="202"/>
      <c r="P636" s="202"/>
      <c r="Q636" s="202"/>
      <c r="R636" s="1">
        <f t="shared" si="97"/>
        <v>0</v>
      </c>
      <c r="S636" s="1">
        <f t="shared" si="97"/>
        <v>0</v>
      </c>
      <c r="T636" s="1">
        <f t="shared" si="97"/>
        <v>0</v>
      </c>
      <c r="U636" s="1">
        <f t="shared" si="97"/>
        <v>0</v>
      </c>
      <c r="V636" s="1">
        <f t="shared" si="97"/>
        <v>0</v>
      </c>
      <c r="W636" s="4">
        <f t="shared" si="98"/>
        <v>0</v>
      </c>
    </row>
    <row r="637" spans="4:23" ht="15" customHeight="1">
      <c r="D637" s="85" t="str">
        <f xml:space="preserve"> '2.1 Model setup'!K77</f>
        <v>3.1 Generel administration</v>
      </c>
      <c r="K637" s="5" t="str">
        <f t="shared" si="96"/>
        <v>DKKt</v>
      </c>
      <c r="O637" s="202"/>
      <c r="P637" s="202"/>
      <c r="Q637" s="202"/>
      <c r="R637" s="1">
        <f t="shared" si="97"/>
        <v>0</v>
      </c>
      <c r="S637" s="1">
        <f t="shared" si="97"/>
        <v>0</v>
      </c>
      <c r="T637" s="1">
        <f t="shared" si="97"/>
        <v>0</v>
      </c>
      <c r="U637" s="1">
        <f t="shared" si="97"/>
        <v>0</v>
      </c>
      <c r="V637" s="1">
        <f t="shared" si="97"/>
        <v>0</v>
      </c>
      <c r="W637" s="4">
        <f t="shared" si="98"/>
        <v>0</v>
      </c>
    </row>
    <row r="638" spans="4:23" ht="15" customHeight="1">
      <c r="D638" s="85" t="str">
        <f xml:space="preserve"> '2.1 Model setup'!K78</f>
        <v>4.1 Omkostninger vedrørende nettab i transformerstationer</v>
      </c>
      <c r="K638" s="5" t="str">
        <f t="shared" si="96"/>
        <v>DKKt</v>
      </c>
      <c r="O638" s="202"/>
      <c r="P638" s="202"/>
      <c r="Q638" s="202"/>
      <c r="R638" s="1">
        <f t="shared" si="97"/>
        <v>0</v>
      </c>
      <c r="S638" s="1">
        <f t="shared" si="97"/>
        <v>0</v>
      </c>
      <c r="T638" s="1">
        <f t="shared" si="97"/>
        <v>0</v>
      </c>
      <c r="U638" s="1">
        <f t="shared" si="97"/>
        <v>0</v>
      </c>
      <c r="V638" s="1">
        <f t="shared" si="97"/>
        <v>0</v>
      </c>
      <c r="W638" s="4">
        <f t="shared" si="98"/>
        <v>0</v>
      </c>
    </row>
    <row r="639" spans="4:23" ht="15" customHeight="1">
      <c r="D639" s="85" t="str">
        <f xml:space="preserve"> '2.1 Model setup'!K79</f>
        <v>4.2 Omkostninger vedrørende nettab i ledningsnettet</v>
      </c>
      <c r="K639" s="5" t="str">
        <f t="shared" si="96"/>
        <v>DKKt</v>
      </c>
      <c r="O639" s="202"/>
      <c r="P639" s="202"/>
      <c r="Q639" s="202"/>
      <c r="R639" s="1">
        <f t="shared" si="97"/>
        <v>0</v>
      </c>
      <c r="S639" s="1">
        <f t="shared" si="97"/>
        <v>0</v>
      </c>
      <c r="T639" s="1">
        <f t="shared" si="97"/>
        <v>0</v>
      </c>
      <c r="U639" s="1">
        <f t="shared" si="97"/>
        <v>0</v>
      </c>
      <c r="V639" s="1">
        <f t="shared" si="97"/>
        <v>0</v>
      </c>
      <c r="W639" s="4">
        <f t="shared" si="98"/>
        <v>0</v>
      </c>
    </row>
    <row r="640" spans="4:23" ht="15" customHeight="1">
      <c r="D640" s="85" t="str">
        <f xml:space="preserve"> '2.1 Model setup'!K80</f>
        <v>5.1 Omkostninger til overliggende net ifm. forbrug</v>
      </c>
      <c r="K640" s="5" t="str">
        <f t="shared" si="96"/>
        <v>DKKt</v>
      </c>
      <c r="O640" s="202"/>
      <c r="P640" s="202"/>
      <c r="Q640" s="202"/>
      <c r="R640" s="1">
        <f t="shared" si="97"/>
        <v>0</v>
      </c>
      <c r="S640" s="1">
        <f t="shared" si="97"/>
        <v>0</v>
      </c>
      <c r="T640" s="1">
        <f t="shared" si="97"/>
        <v>0</v>
      </c>
      <c r="U640" s="1">
        <f t="shared" si="97"/>
        <v>0</v>
      </c>
      <c r="V640" s="1">
        <f t="shared" si="97"/>
        <v>0</v>
      </c>
      <c r="W640" s="4">
        <f xml:space="preserve"> SUM( R640:V640 )</f>
        <v>0</v>
      </c>
    </row>
    <row r="641" spans="2:23" ht="15" customHeight="1">
      <c r="D641" s="85" t="str">
        <f xml:space="preserve"> '2.1 Model setup'!K81</f>
        <v>5.2 Øvrige omkostninger</v>
      </c>
      <c r="K641" s="5" t="str">
        <f t="shared" si="96"/>
        <v>DKKt</v>
      </c>
      <c r="O641" s="202"/>
      <c r="P641" s="202"/>
      <c r="Q641" s="202"/>
      <c r="R641" s="1">
        <f t="shared" si="97"/>
        <v>0</v>
      </c>
      <c r="S641" s="1">
        <f t="shared" si="97"/>
        <v>0</v>
      </c>
      <c r="T641" s="1">
        <f t="shared" si="97"/>
        <v>0</v>
      </c>
      <c r="U641" s="1">
        <f t="shared" si="97"/>
        <v>0</v>
      </c>
      <c r="V641" s="1">
        <f t="shared" si="97"/>
        <v>0</v>
      </c>
      <c r="W641" s="4">
        <f t="shared" si="98"/>
        <v>0</v>
      </c>
    </row>
    <row r="642" spans="2:23" ht="15" customHeight="1">
      <c r="D642" s="85" t="str">
        <f xml:space="preserve"> '2.1 Model setup'!K82</f>
        <v>6.1 Afskrivninger på transformerstationer</v>
      </c>
      <c r="K642" s="5" t="str">
        <f t="shared" si="96"/>
        <v>DKKt</v>
      </c>
      <c r="O642" s="202"/>
      <c r="P642" s="202"/>
      <c r="Q642" s="202"/>
      <c r="R642" s="1">
        <f t="shared" si="97"/>
        <v>0</v>
      </c>
      <c r="S642" s="1">
        <f t="shared" si="97"/>
        <v>0</v>
      </c>
      <c r="T642" s="1">
        <f t="shared" si="97"/>
        <v>0</v>
      </c>
      <c r="U642" s="1">
        <f t="shared" si="97"/>
        <v>0</v>
      </c>
      <c r="V642" s="1">
        <f t="shared" si="97"/>
        <v>0</v>
      </c>
      <c r="W642" s="4">
        <f t="shared" si="98"/>
        <v>0</v>
      </c>
    </row>
    <row r="643" spans="2:23" ht="15" customHeight="1">
      <c r="D643" s="85" t="str">
        <f xml:space="preserve"> '2.1 Model setup'!K83</f>
        <v>6.2 Afskrivninger på netaktiver ekskl. målere og transformerstationer</v>
      </c>
      <c r="K643" s="5" t="str">
        <f t="shared" si="96"/>
        <v>DKKt</v>
      </c>
      <c r="O643" s="202"/>
      <c r="P643" s="202"/>
      <c r="Q643" s="202"/>
      <c r="R643" s="1">
        <f t="shared" si="97"/>
        <v>0</v>
      </c>
      <c r="S643" s="1">
        <f t="shared" si="97"/>
        <v>0</v>
      </c>
      <c r="T643" s="1">
        <f t="shared" si="97"/>
        <v>0</v>
      </c>
      <c r="U643" s="1">
        <f t="shared" si="97"/>
        <v>0</v>
      </c>
      <c r="V643" s="1">
        <f t="shared" si="97"/>
        <v>0</v>
      </c>
      <c r="W643" s="4">
        <f t="shared" si="98"/>
        <v>0</v>
      </c>
    </row>
    <row r="644" spans="2:23" ht="15" customHeight="1">
      <c r="D644" s="85" t="str">
        <f xml:space="preserve"> '2.1 Model setup'!K84</f>
        <v>6.3 Afskrivninger på målere</v>
      </c>
      <c r="K644" s="5" t="str">
        <f t="shared" si="96"/>
        <v>DKKt</v>
      </c>
      <c r="O644" s="202"/>
      <c r="P644" s="202"/>
      <c r="Q644" s="202"/>
      <c r="R644" s="1">
        <f t="shared" si="97"/>
        <v>0</v>
      </c>
      <c r="S644" s="1">
        <f t="shared" si="97"/>
        <v>0</v>
      </c>
      <c r="T644" s="1">
        <f t="shared" si="97"/>
        <v>0</v>
      </c>
      <c r="U644" s="1">
        <f t="shared" si="97"/>
        <v>0</v>
      </c>
      <c r="V644" s="1">
        <f t="shared" si="97"/>
        <v>0</v>
      </c>
      <c r="W644" s="4">
        <f t="shared" si="98"/>
        <v>0</v>
      </c>
    </row>
    <row r="645" spans="2:23" ht="15" customHeight="1">
      <c r="D645" s="217" t="str">
        <f xml:space="preserve"> '2.1 Model setup'!K85</f>
        <v>7.1 Transformerstationer (forrentning)</v>
      </c>
      <c r="E645" s="218"/>
      <c r="F645" s="218"/>
      <c r="G645" s="218"/>
      <c r="H645" s="218"/>
      <c r="I645" s="218"/>
      <c r="J645" s="218"/>
      <c r="K645" s="219" t="str">
        <f t="shared" si="96"/>
        <v>DKKt</v>
      </c>
      <c r="L645" s="218"/>
      <c r="M645" s="218"/>
      <c r="N645" s="218"/>
      <c r="O645" s="399"/>
      <c r="P645" s="399"/>
      <c r="Q645" s="399"/>
      <c r="R645" s="218">
        <f t="shared" ref="R645:V647" si="99" xml:space="preserve"> R610 - R$31 * R624</f>
        <v>0</v>
      </c>
      <c r="S645" s="218">
        <f t="shared" si="99"/>
        <v>0</v>
      </c>
      <c r="T645" s="218">
        <f t="shared" si="99"/>
        <v>0</v>
      </c>
      <c r="U645" s="218">
        <f t="shared" si="99"/>
        <v>0</v>
      </c>
      <c r="V645" s="218">
        <f t="shared" si="99"/>
        <v>0</v>
      </c>
      <c r="W645" s="319">
        <f t="shared" si="98"/>
        <v>0</v>
      </c>
    </row>
    <row r="646" spans="2:23" ht="15" customHeight="1">
      <c r="D646" s="85" t="str">
        <f xml:space="preserve"> '2.1 Model setup'!K86</f>
        <v>7.2 Netaktiver ekskl. målere og transformerstationer (forrentning)</v>
      </c>
      <c r="K646" s="5" t="str">
        <f t="shared" si="96"/>
        <v>DKKt</v>
      </c>
      <c r="O646" s="202"/>
      <c r="P646" s="202"/>
      <c r="Q646" s="202"/>
      <c r="R646" s="1">
        <f t="shared" si="99"/>
        <v>0</v>
      </c>
      <c r="S646" s="1">
        <f t="shared" si="99"/>
        <v>0</v>
      </c>
      <c r="T646" s="1">
        <f t="shared" si="99"/>
        <v>0</v>
      </c>
      <c r="U646" s="1">
        <f t="shared" si="99"/>
        <v>0</v>
      </c>
      <c r="V646" s="1">
        <f t="shared" si="99"/>
        <v>0</v>
      </c>
      <c r="W646" s="4">
        <f t="shared" si="98"/>
        <v>0</v>
      </c>
    </row>
    <row r="647" spans="2:23" ht="15" customHeight="1">
      <c r="D647" s="99" t="str">
        <f xml:space="preserve"> '2.1 Model setup'!K87</f>
        <v>7.3 Målere (forrentning)</v>
      </c>
      <c r="K647" s="5" t="str">
        <f t="shared" si="96"/>
        <v>DKKt</v>
      </c>
      <c r="O647" s="202"/>
      <c r="P647" s="202"/>
      <c r="Q647" s="202"/>
      <c r="R647" s="27">
        <f t="shared" si="99"/>
        <v>0</v>
      </c>
      <c r="S647" s="27">
        <f t="shared" si="99"/>
        <v>0</v>
      </c>
      <c r="T647" s="27">
        <f t="shared" si="99"/>
        <v>0</v>
      </c>
      <c r="U647" s="27">
        <f t="shared" si="99"/>
        <v>0</v>
      </c>
      <c r="V647" s="27">
        <f t="shared" si="99"/>
        <v>0</v>
      </c>
      <c r="W647" s="4">
        <f t="shared" si="98"/>
        <v>0</v>
      </c>
    </row>
    <row r="648" spans="2:23" ht="15" customHeight="1">
      <c r="D648" s="186" t="s">
        <v>16</v>
      </c>
      <c r="E648" s="33"/>
      <c r="F648" s="33"/>
      <c r="G648" s="33"/>
      <c r="H648" s="33"/>
      <c r="I648" s="33"/>
      <c r="J648" s="33"/>
      <c r="K648" s="187" t="str">
        <f t="shared" si="96"/>
        <v>DKKt</v>
      </c>
      <c r="L648" s="90"/>
      <c r="M648" s="186"/>
      <c r="N648" s="186"/>
      <c r="O648" s="388"/>
      <c r="P648" s="388"/>
      <c r="Q648" s="388"/>
      <c r="R648" s="35">
        <f t="shared" ref="R648:W648" si="100" xml:space="preserve"> SUM( R630:R647 )</f>
        <v>0</v>
      </c>
      <c r="S648" s="35">
        <f t="shared" si="100"/>
        <v>0</v>
      </c>
      <c r="T648" s="35">
        <f t="shared" si="100"/>
        <v>0</v>
      </c>
      <c r="U648" s="35">
        <f t="shared" si="100"/>
        <v>0</v>
      </c>
      <c r="V648" s="35">
        <f t="shared" si="100"/>
        <v>0</v>
      </c>
      <c r="W648" s="186">
        <f t="shared" si="100"/>
        <v>0</v>
      </c>
    </row>
    <row r="652" spans="2:23" s="475" customFormat="1" ht="15" customHeight="1">
      <c r="B652" s="479" t="s">
        <v>104</v>
      </c>
      <c r="C652" s="477"/>
      <c r="D652" s="478"/>
      <c r="K652" s="472"/>
    </row>
  </sheetData>
  <sheetProtection sheet="1" objects="1" scenarios="1"/>
  <conditionalFormatting sqref="I4:I5">
    <cfRule type="cellIs" dxfId="456" priority="94" operator="between">
      <formula>-ErrorTolerance</formula>
      <formula>ErrorTolerance</formula>
    </cfRule>
  </conditionalFormatting>
  <conditionalFormatting sqref="J2:Q3 B2:E3">
    <cfRule type="expression" dxfId="455" priority="123">
      <formula>$I$4&lt;ErrorTolerance</formula>
    </cfRule>
  </conditionalFormatting>
  <conditionalFormatting sqref="B3">
    <cfRule type="expression" dxfId="454" priority="132">
      <formula>$I$5&gt;=ErrorTolerance</formula>
    </cfRule>
  </conditionalFormatting>
  <conditionalFormatting sqref="M324:M326">
    <cfRule type="cellIs" dxfId="453" priority="74" operator="greaterThan">
      <formula>0</formula>
    </cfRule>
  </conditionalFormatting>
  <conditionalFormatting sqref="L77:L84 L305:L307 L499:L503 L278:L282 L267:L276 L488:L497 L506:L521">
    <cfRule type="cellIs" dxfId="452" priority="73" operator="greaterThan">
      <formula>0</formula>
    </cfRule>
  </conditionalFormatting>
  <conditionalFormatting sqref="L286">
    <cfRule type="cellIs" dxfId="451" priority="72" operator="greaterThan">
      <formula>0</formula>
    </cfRule>
  </conditionalFormatting>
  <conditionalFormatting sqref="L296">
    <cfRule type="cellIs" dxfId="450" priority="70" operator="greaterThan">
      <formula>0</formula>
    </cfRule>
  </conditionalFormatting>
  <conditionalFormatting sqref="L302">
    <cfRule type="cellIs" dxfId="449" priority="69" operator="greaterThan">
      <formula>0</formula>
    </cfRule>
  </conditionalFormatting>
  <conditionalFormatting sqref="L321">
    <cfRule type="cellIs" dxfId="448" priority="67" operator="greaterThan">
      <formula>0</formula>
    </cfRule>
  </conditionalFormatting>
  <conditionalFormatting sqref="L621">
    <cfRule type="cellIs" dxfId="447" priority="65" operator="greaterThan">
      <formula>0</formula>
    </cfRule>
  </conditionalFormatting>
  <conditionalFormatting sqref="L648">
    <cfRule type="cellIs" dxfId="446" priority="63" operator="greaterThan">
      <formula>0</formula>
    </cfRule>
  </conditionalFormatting>
  <conditionalFormatting sqref="L308">
    <cfRule type="cellIs" dxfId="445" priority="62" operator="greaterThan">
      <formula>0</formula>
    </cfRule>
  </conditionalFormatting>
  <conditionalFormatting sqref="L327">
    <cfRule type="cellIs" dxfId="444" priority="61" operator="greaterThan">
      <formula>0</formula>
    </cfRule>
  </conditionalFormatting>
  <conditionalFormatting sqref="L324:L326">
    <cfRule type="cellIs" dxfId="443" priority="60" operator="greaterThan">
      <formula>0</formula>
    </cfRule>
  </conditionalFormatting>
  <conditionalFormatting sqref="I6">
    <cfRule type="cellIs" dxfId="442" priority="59" operator="between">
      <formula>-ErrorTolerance</formula>
      <formula>ErrorTolerance</formula>
    </cfRule>
  </conditionalFormatting>
  <conditionalFormatting sqref="I7">
    <cfRule type="cellIs" dxfId="441" priority="58" operator="between">
      <formula>-ErrorTolerance</formula>
      <formula>ErrorTolerance</formula>
    </cfRule>
  </conditionalFormatting>
  <conditionalFormatting sqref="L627">
    <cfRule type="cellIs" dxfId="440" priority="49" operator="greaterThan">
      <formula>0</formula>
    </cfRule>
  </conditionalFormatting>
  <conditionalFormatting sqref="L380 L369:L378">
    <cfRule type="cellIs" dxfId="439" priority="48" operator="greaterThan">
      <formula>0</formula>
    </cfRule>
  </conditionalFormatting>
  <conditionalFormatting sqref="L383">
    <cfRule type="cellIs" dxfId="438" priority="47" operator="greaterThan">
      <formula>0</formula>
    </cfRule>
  </conditionalFormatting>
  <conditionalFormatting sqref="H2">
    <cfRule type="expression" dxfId="437" priority="44">
      <formula>Model.Navigation.View=No</formula>
    </cfRule>
  </conditionalFormatting>
  <conditionalFormatting sqref="H2">
    <cfRule type="expression" dxfId="436" priority="43">
      <formula>Model.Navigation.View=No</formula>
    </cfRule>
  </conditionalFormatting>
  <conditionalFormatting sqref="F2">
    <cfRule type="expression" dxfId="435" priority="42">
      <formula>Model.Navigation.View=No</formula>
    </cfRule>
  </conditionalFormatting>
  <conditionalFormatting sqref="F2">
    <cfRule type="expression" dxfId="434" priority="41">
      <formula>Model.Navigation.View=No</formula>
    </cfRule>
  </conditionalFormatting>
  <conditionalFormatting sqref="I2">
    <cfRule type="expression" dxfId="433" priority="40">
      <formula>Model.Navigation.View=No</formula>
    </cfRule>
  </conditionalFormatting>
  <conditionalFormatting sqref="I2">
    <cfRule type="expression" dxfId="432" priority="39">
      <formula>Model.Navigation.View=No</formula>
    </cfRule>
  </conditionalFormatting>
  <conditionalFormatting sqref="M24">
    <cfRule type="cellIs" dxfId="431" priority="38" operator="greaterThan">
      <formula>0</formula>
    </cfRule>
  </conditionalFormatting>
  <conditionalFormatting sqref="M26">
    <cfRule type="cellIs" dxfId="430" priority="37" operator="greaterThan">
      <formula>0</formula>
    </cfRule>
  </conditionalFormatting>
  <conditionalFormatting sqref="L313">
    <cfRule type="cellIs" dxfId="429" priority="36" operator="greaterThan">
      <formula>0</formula>
    </cfRule>
  </conditionalFormatting>
  <conditionalFormatting sqref="L431 L420:L429">
    <cfRule type="cellIs" dxfId="428" priority="35" operator="greaterThan">
      <formula>0</formula>
    </cfRule>
  </conditionalFormatting>
  <conditionalFormatting sqref="L434">
    <cfRule type="cellIs" dxfId="427" priority="34" operator="greaterThan">
      <formula>0</formula>
    </cfRule>
  </conditionalFormatting>
  <conditionalFormatting sqref="L482 L471:L480">
    <cfRule type="cellIs" dxfId="426" priority="33" operator="greaterThan">
      <formula>0</formula>
    </cfRule>
  </conditionalFormatting>
  <conditionalFormatting sqref="L485">
    <cfRule type="cellIs" dxfId="425" priority="32" operator="greaterThan">
      <formula>0</formula>
    </cfRule>
  </conditionalFormatting>
  <conditionalFormatting sqref="L465 L454:L463">
    <cfRule type="cellIs" dxfId="424" priority="31" operator="greaterThan">
      <formula>0</formula>
    </cfRule>
  </conditionalFormatting>
  <conditionalFormatting sqref="L468">
    <cfRule type="cellIs" dxfId="423" priority="30" operator="greaterThan">
      <formula>0</formula>
    </cfRule>
  </conditionalFormatting>
  <conditionalFormatting sqref="L397 L386:L395">
    <cfRule type="cellIs" dxfId="422" priority="29" operator="greaterThan">
      <formula>0</formula>
    </cfRule>
  </conditionalFormatting>
  <conditionalFormatting sqref="L400">
    <cfRule type="cellIs" dxfId="421" priority="28" operator="greaterThan">
      <formula>0</formula>
    </cfRule>
  </conditionalFormatting>
  <conditionalFormatting sqref="L414 L403:L412">
    <cfRule type="cellIs" dxfId="420" priority="27" operator="greaterThan">
      <formula>0</formula>
    </cfRule>
  </conditionalFormatting>
  <conditionalFormatting sqref="L417">
    <cfRule type="cellIs" dxfId="419" priority="26" operator="greaterThan">
      <formula>0</formula>
    </cfRule>
  </conditionalFormatting>
  <conditionalFormatting sqref="L18">
    <cfRule type="cellIs" dxfId="418" priority="24" operator="greaterThan">
      <formula>0</formula>
    </cfRule>
  </conditionalFormatting>
  <conditionalFormatting sqref="L244:L247 L233:L242">
    <cfRule type="cellIs" dxfId="417" priority="22" operator="greaterThan">
      <formula>0</formula>
    </cfRule>
  </conditionalFormatting>
  <conditionalFormatting sqref="L227:L230 L216:L225">
    <cfRule type="cellIs" dxfId="416" priority="21" operator="greaterThan">
      <formula>0</formula>
    </cfRule>
  </conditionalFormatting>
  <conditionalFormatting sqref="L210:L213 L199:L208">
    <cfRule type="cellIs" dxfId="415" priority="20" operator="greaterThan">
      <formula>0</formula>
    </cfRule>
  </conditionalFormatting>
  <conditionalFormatting sqref="L448 L437:L446">
    <cfRule type="cellIs" dxfId="414" priority="19" operator="greaterThan">
      <formula>0</formula>
    </cfRule>
  </conditionalFormatting>
  <conditionalFormatting sqref="L451">
    <cfRule type="cellIs" dxfId="413" priority="18" operator="greaterThan">
      <formula>0</formula>
    </cfRule>
  </conditionalFormatting>
  <conditionalFormatting sqref="L261:L264 L250:L259">
    <cfRule type="cellIs" dxfId="412" priority="17" operator="greaterThan">
      <formula>0</formula>
    </cfRule>
  </conditionalFormatting>
  <conditionalFormatting sqref="L379">
    <cfRule type="cellIs" dxfId="411" priority="16" operator="greaterThan">
      <formula>0</formula>
    </cfRule>
  </conditionalFormatting>
  <conditionalFormatting sqref="L396">
    <cfRule type="cellIs" dxfId="410" priority="15" operator="greaterThan">
      <formula>0</formula>
    </cfRule>
  </conditionalFormatting>
  <conditionalFormatting sqref="L413">
    <cfRule type="cellIs" dxfId="409" priority="14" operator="greaterThan">
      <formula>0</formula>
    </cfRule>
  </conditionalFormatting>
  <conditionalFormatting sqref="L430">
    <cfRule type="cellIs" dxfId="408" priority="13" operator="greaterThan">
      <formula>0</formula>
    </cfRule>
  </conditionalFormatting>
  <conditionalFormatting sqref="L447">
    <cfRule type="cellIs" dxfId="407" priority="12" operator="greaterThan">
      <formula>0</formula>
    </cfRule>
  </conditionalFormatting>
  <conditionalFormatting sqref="L464">
    <cfRule type="cellIs" dxfId="406" priority="11" operator="greaterThan">
      <formula>0</formula>
    </cfRule>
  </conditionalFormatting>
  <conditionalFormatting sqref="L481">
    <cfRule type="cellIs" dxfId="405" priority="10" operator="greaterThan">
      <formula>0</formula>
    </cfRule>
  </conditionalFormatting>
  <conditionalFormatting sqref="L498">
    <cfRule type="cellIs" dxfId="404" priority="9" operator="greaterThan">
      <formula>0</formula>
    </cfRule>
  </conditionalFormatting>
  <conditionalFormatting sqref="L209">
    <cfRule type="cellIs" dxfId="403" priority="7" operator="greaterThan">
      <formula>0</formula>
    </cfRule>
  </conditionalFormatting>
  <conditionalFormatting sqref="L226">
    <cfRule type="cellIs" dxfId="402" priority="6" operator="greaterThan">
      <formula>0</formula>
    </cfRule>
  </conditionalFormatting>
  <conditionalFormatting sqref="L243">
    <cfRule type="cellIs" dxfId="401" priority="5" operator="greaterThan">
      <formula>0</formula>
    </cfRule>
  </conditionalFormatting>
  <conditionalFormatting sqref="L260">
    <cfRule type="cellIs" dxfId="400" priority="4" operator="greaterThan">
      <formula>0</formula>
    </cfRule>
  </conditionalFormatting>
  <conditionalFormatting sqref="L277">
    <cfRule type="cellIs" dxfId="399" priority="3" operator="greaterThan">
      <formula>0</formula>
    </cfRule>
  </conditionalFormatting>
  <conditionalFormatting sqref="G2">
    <cfRule type="expression" dxfId="398" priority="2">
      <formula>Model.Navigation.View=No</formula>
    </cfRule>
  </conditionalFormatting>
  <conditionalFormatting sqref="G2">
    <cfRule type="expression" dxfId="397" priority="1">
      <formula>Model.Navigation.View=No</formula>
    </cfRule>
  </conditionalFormatting>
  <hyperlinks>
    <hyperlink ref="G2" location="'3.1 Tarifering, opsplitning'!B11" tooltip="Gå til toppen af arket" display="'3.1 Tarifering, opsplitning'!B11" xr:uid="{4C3B0E99-603D-446A-AB05-FC1DB083B25E}"/>
    <hyperlink ref="H2" location="'2.3 Selskabsspecifikke input'!B2" tooltip="Gå til selskabsspecifikke input" display="'2.3 Selskabsspecifikke input'!B2" xr:uid="{B345A544-AF33-4679-9741-B6C138837549}"/>
    <hyperlink ref="F2" location="Modeloverblik!B2" tooltip="Gå til modelbeskrivelse" display="Modeloverblik!B2" xr:uid="{DD727E82-09BC-4D53-8935-B981BF9D72D7}"/>
    <hyperlink ref="I2" location="'4.1 Fejl- og kontroloversigt'!B2" tooltip="Gå til fejl- og kontrolchecks" display="'4.1 Fejl- og kontroloversigt'!B2" xr:uid="{F1FE2ADE-EF18-4615-8B18-0A247E414314}"/>
  </hyperlinks>
  <pageMargins left="0.70866141732283472" right="0.70866141732283472" top="0.74803149606299213" bottom="0.74803149606299213" header="0.31496062992125984" footer="0.31496062992125984"/>
  <pageSetup paperSize="9" scale="56"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ignoredErrors>
    <ignoredError sqref="L379"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EA2C3-5C0C-4262-B792-279D61D4E3B1}">
  <sheetPr codeName="Sheet27">
    <tabColor rgb="FF966432"/>
    <outlinePr summaryBelow="0"/>
    <pageSetUpPr fitToPage="1"/>
  </sheetPr>
  <dimension ref="A1:BV166"/>
  <sheetViews>
    <sheetView showGridLines="0" zoomScale="85" zoomScaleNormal="85" workbookViewId="0">
      <pane xSplit="14" ySplit="10" topLeftCell="O11" activePane="bottomRight" state="frozen"/>
      <selection activeCell="C6" sqref="C6"/>
      <selection pane="topRight" activeCell="C6" sqref="C6"/>
      <selection pane="bottomLeft" activeCell="C6" sqref="C6"/>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16" width="17" style="1" hidden="1" customWidth="1"/>
    <col min="17" max="17" width="18.6640625" style="1" hidden="1" customWidth="1"/>
    <col min="18" max="24" width="18.6640625" style="1" customWidth="1"/>
    <col min="25" max="74" width="16.6640625" style="1" hidden="1" customWidth="1"/>
    <col min="75" max="16384" width="9.1640625" style="1" hidden="1"/>
  </cols>
  <sheetData>
    <row r="1" spans="2:23" ht="4.9000000000000004" customHeight="1"/>
    <row r="2" spans="2:23" ht="19.899999999999999" customHeight="1">
      <c r="B2" s="6" t="str">
        <f ca="1" xml:space="preserve"> MID( CELL("filename", B2), FIND("]", CELL("filename",B2) ) + 1, Model.MaxChars)</f>
        <v>3.2 Abonnement</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2:23" ht="15" customHeight="1">
      <c r="B3" s="330" t="str">
        <f xml:space="preserve"> Header.Details</f>
        <v xml:space="preserve">Tarifmodel 3.0 og producentbetaling (V2) </v>
      </c>
      <c r="C3" s="7"/>
      <c r="D3" s="8"/>
      <c r="E3" s="9"/>
      <c r="F3" s="82" t="s">
        <v>2</v>
      </c>
      <c r="G3" s="16"/>
      <c r="H3" s="17"/>
      <c r="I3" s="83"/>
      <c r="J3" s="22"/>
      <c r="K3" s="24"/>
      <c r="L3" s="22"/>
      <c r="M3" s="22"/>
      <c r="N3" s="22"/>
      <c r="O3" s="22"/>
      <c r="P3" s="22"/>
      <c r="Q3" s="22"/>
    </row>
    <row r="4" spans="2:23" ht="15" customHeight="1">
      <c r="F4" s="74" t="s">
        <v>274</v>
      </c>
      <c r="G4" s="2"/>
      <c r="I4" s="25">
        <f xml:space="preserve"> SUM(L:L)</f>
        <v>0</v>
      </c>
    </row>
    <row r="5" spans="2:23" ht="15" customHeight="1">
      <c r="F5" s="74" t="s">
        <v>275</v>
      </c>
      <c r="G5" s="2"/>
      <c r="I5" s="84">
        <f xml:space="preserve"> SUM(M:M)</f>
        <v>0</v>
      </c>
    </row>
    <row r="6" spans="2:23" ht="15" customHeight="1">
      <c r="F6" s="74" t="s">
        <v>276</v>
      </c>
      <c r="G6" s="2"/>
      <c r="I6" s="25">
        <f xml:space="preserve"> SUM( L:L ) + SUM( '1.1 Provenu'!L:L ) + SUM( '1.2 Tarifoversigt'!L:L) + SUM( '1.3 Varslingsanalyse'!L:L) + SUM( '1.4 Hoveddata'!L:L) + SUM('2.1 Model setup'!L:L ) + SUM('2.2 Generelle input'!L:L ) + SUM( '2.3 Selskabsspecifikke input'!L:L) + SUM( '3.1 Opsplitning af forbrug'!L:L) + SUM( '3.3 Forbrugstariffer og effekt'!L:L) + SUM( '3.4 Tidsdifferentieret tarif'!L:L) + SUM('3.5 Indfødningstarif'!L:L)+ SUM( 'Hjælpeark, forbrugsnøgler'!L:L) + SUM( 'Hjælpeark, fall-back-metoden'!L:L )</f>
        <v>0</v>
      </c>
    </row>
    <row r="7" spans="2:23" ht="15" customHeight="1">
      <c r="F7" s="75" t="s">
        <v>236</v>
      </c>
      <c r="G7" s="26"/>
      <c r="H7" s="27"/>
      <c r="I7" s="329">
        <f xml:space="preserve"> '1.3 Varslingsanalyse'!I7</f>
        <v>0</v>
      </c>
    </row>
    <row r="8" spans="2:23" ht="15" customHeight="1">
      <c r="L8" s="484" t="str">
        <f xml:space="preserve"> Header.Labels</f>
        <v>Checks</v>
      </c>
      <c r="M8" s="484"/>
    </row>
    <row r="9" spans="2:23" ht="5.0999999999999996" customHeight="1">
      <c r="E9" s="14"/>
      <c r="F9" s="28"/>
      <c r="G9" s="28"/>
      <c r="H9" s="28"/>
      <c r="I9" s="28"/>
      <c r="J9" s="28"/>
      <c r="L9" s="485"/>
      <c r="M9" s="473"/>
      <c r="N9" s="28"/>
      <c r="O9" s="28"/>
      <c r="P9" s="28"/>
      <c r="Q9" s="28"/>
    </row>
    <row r="10" spans="2:23"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2:23" s="15" customFormat="1" ht="15" customHeight="1">
      <c r="C11" s="16"/>
      <c r="D11" s="17"/>
      <c r="F11" s="1"/>
      <c r="K11" s="19"/>
    </row>
    <row r="12" spans="2:23" s="475" customFormat="1" ht="15" customHeight="1">
      <c r="B12" s="479" t="str">
        <f xml:space="preserve"> COUNTA(B10:B11) &amp; ") Antal byggeklodser for hver omkostningsgruppe, pr. kundetype"</f>
        <v>1) Antal byggeklodser for hver omkostningsgruppe, pr. kundetype</v>
      </c>
      <c r="C12" s="477"/>
      <c r="D12" s="478"/>
      <c r="K12" s="472"/>
    </row>
    <row r="14" spans="2:23" ht="15" customHeight="1">
      <c r="D14" s="35" t="s">
        <v>247</v>
      </c>
      <c r="E14" s="27"/>
      <c r="F14" s="27"/>
      <c r="G14" s="27"/>
      <c r="H14" s="27"/>
      <c r="I14" s="27"/>
      <c r="J14" s="27"/>
      <c r="K14" s="32"/>
      <c r="L14" s="27"/>
      <c r="M14" s="27"/>
      <c r="N14" s="27"/>
      <c r="O14" s="27"/>
      <c r="P14" s="27"/>
      <c r="Q14" s="27"/>
      <c r="R14" s="27"/>
      <c r="S14" s="27"/>
      <c r="T14" s="27"/>
      <c r="U14" s="27"/>
      <c r="V14" s="27"/>
      <c r="W14" s="27"/>
    </row>
    <row r="15" spans="2:23" ht="15" customHeight="1">
      <c r="D15" s="85" t="str">
        <f xml:space="preserve"> '2.1 Model setup'!K70</f>
        <v>1.1 Drift og vedligeholdelse af transformerstationer</v>
      </c>
      <c r="K15" s="5" t="s">
        <v>3</v>
      </c>
      <c r="N15" s="1">
        <f xml:space="preserve"> '2.2 Generelle input'!N99</f>
        <v>1</v>
      </c>
      <c r="O15" s="202"/>
      <c r="P15" s="202"/>
      <c r="Q15" s="202"/>
      <c r="R15" s="202"/>
      <c r="S15" s="202"/>
      <c r="T15" s="202"/>
      <c r="U15" s="202"/>
      <c r="V15" s="202"/>
      <c r="W15" s="197"/>
    </row>
    <row r="16" spans="2:23" ht="15" customHeight="1">
      <c r="D16" s="85" t="str">
        <f xml:space="preserve"> '2.1 Model setup'!K71</f>
        <v>1.2 Drift og vedligeholdelse af ledningsnet</v>
      </c>
      <c r="K16" s="5" t="s">
        <v>3</v>
      </c>
      <c r="N16" s="1">
        <f xml:space="preserve"> '2.2 Generelle input'!N100</f>
        <v>1</v>
      </c>
      <c r="O16" s="202"/>
      <c r="P16" s="202"/>
      <c r="Q16" s="202"/>
      <c r="R16" s="202"/>
      <c r="S16" s="202"/>
      <c r="T16" s="202"/>
      <c r="U16" s="202"/>
      <c r="V16" s="202"/>
      <c r="W16" s="197"/>
    </row>
    <row r="17" spans="4:23" ht="15" customHeight="1">
      <c r="D17" s="85" t="str">
        <f xml:space="preserve"> '2.1 Model setup'!K72</f>
        <v>1.3 Øvrige omkostninger til drift, styring og kontrol af elnettet</v>
      </c>
      <c r="K17" s="5" t="s">
        <v>3</v>
      </c>
      <c r="N17" s="1">
        <f xml:space="preserve"> '2.2 Generelle input'!N101</f>
        <v>1</v>
      </c>
      <c r="O17" s="202"/>
      <c r="P17" s="202"/>
      <c r="Q17" s="202"/>
      <c r="R17" s="202"/>
      <c r="S17" s="202"/>
      <c r="T17" s="202"/>
      <c r="U17" s="202"/>
      <c r="V17" s="202"/>
      <c r="W17" s="197"/>
    </row>
    <row r="18" spans="4:23" ht="15" customHeight="1">
      <c r="D18" s="85" t="str">
        <f xml:space="preserve"> '2.1 Model setup'!K73</f>
        <v>1.4 Omkostninger vedrørende 132-150/30-60 kV-stationer</v>
      </c>
      <c r="K18" s="5" t="s">
        <v>3</v>
      </c>
      <c r="N18" s="1">
        <f xml:space="preserve"> '2.2 Generelle input'!N102</f>
        <v>0</v>
      </c>
      <c r="O18" s="202"/>
      <c r="P18" s="202"/>
      <c r="Q18" s="202"/>
      <c r="R18" s="202"/>
      <c r="S18" s="202"/>
      <c r="T18" s="202"/>
      <c r="U18" s="202"/>
      <c r="V18" s="202"/>
      <c r="W18" s="197"/>
    </row>
    <row r="19" spans="4:23" ht="15" customHeight="1">
      <c r="D19" s="85" t="str">
        <f xml:space="preserve"> '2.1 Model setup'!K74</f>
        <v>2.1 Drift og vedligeholdelse af målere</v>
      </c>
      <c r="K19" s="5" t="s">
        <v>3</v>
      </c>
      <c r="N19" s="1">
        <f xml:space="preserve"> '2.2 Generelle input'!N103</f>
        <v>1</v>
      </c>
      <c r="O19" s="202"/>
      <c r="P19" s="202"/>
      <c r="Q19" s="202"/>
      <c r="R19" s="202"/>
      <c r="S19" s="202"/>
      <c r="T19" s="202"/>
      <c r="U19" s="202"/>
      <c r="V19" s="202"/>
      <c r="W19" s="197"/>
    </row>
    <row r="20" spans="4:23" ht="15" customHeight="1">
      <c r="D20" s="85" t="str">
        <f xml:space="preserve"> '2.1 Model setup'!K75</f>
        <v>2.2 Indhentning og validering af målerdata</v>
      </c>
      <c r="K20" s="5" t="s">
        <v>3</v>
      </c>
      <c r="N20" s="1">
        <f xml:space="preserve"> '2.2 Generelle input'!N104</f>
        <v>1</v>
      </c>
      <c r="O20" s="202"/>
      <c r="P20" s="202"/>
      <c r="Q20" s="202"/>
      <c r="R20" s="202"/>
      <c r="S20" s="202"/>
      <c r="T20" s="202"/>
      <c r="U20" s="202"/>
      <c r="V20" s="202"/>
      <c r="W20" s="197"/>
    </row>
    <row r="21" spans="4:23" ht="15" customHeight="1">
      <c r="D21" s="85" t="str">
        <f xml:space="preserve"> '2.1 Model setup'!K76</f>
        <v>2.3 Måleradministration og kundehåndtering</v>
      </c>
      <c r="K21" s="5" t="s">
        <v>3</v>
      </c>
      <c r="N21" s="1">
        <f xml:space="preserve"> '2.2 Generelle input'!N105</f>
        <v>1</v>
      </c>
      <c r="O21" s="202"/>
      <c r="P21" s="202"/>
      <c r="Q21" s="202"/>
      <c r="R21" s="202"/>
      <c r="S21" s="202"/>
      <c r="T21" s="202"/>
      <c r="U21" s="202"/>
      <c r="V21" s="202"/>
      <c r="W21" s="197"/>
    </row>
    <row r="22" spans="4:23" ht="15" customHeight="1">
      <c r="D22" s="85" t="str">
        <f xml:space="preserve"> '2.1 Model setup'!K77</f>
        <v>3.1 Generel administration</v>
      </c>
      <c r="K22" s="5" t="s">
        <v>3</v>
      </c>
      <c r="N22" s="1">
        <f xml:space="preserve"> '2.2 Generelle input'!N106</f>
        <v>1</v>
      </c>
      <c r="O22" s="202"/>
      <c r="P22" s="202"/>
      <c r="Q22" s="202"/>
      <c r="R22" s="202"/>
      <c r="S22" s="202"/>
      <c r="T22" s="202"/>
      <c r="U22" s="202"/>
      <c r="V22" s="202"/>
      <c r="W22" s="197"/>
    </row>
    <row r="23" spans="4:23" ht="15" customHeight="1">
      <c r="D23" s="85" t="str">
        <f xml:space="preserve"> '2.1 Model setup'!K78</f>
        <v>4.1 Omkostninger vedrørende nettab i transformerstationer</v>
      </c>
      <c r="K23" s="5" t="s">
        <v>3</v>
      </c>
      <c r="N23" s="1">
        <f xml:space="preserve"> '2.2 Generelle input'!N107</f>
        <v>1</v>
      </c>
      <c r="O23" s="202"/>
      <c r="P23" s="202"/>
      <c r="Q23" s="202"/>
      <c r="R23" s="202"/>
      <c r="S23" s="202"/>
      <c r="T23" s="202"/>
      <c r="U23" s="202"/>
      <c r="V23" s="202"/>
      <c r="W23" s="197"/>
    </row>
    <row r="24" spans="4:23" ht="15" customHeight="1">
      <c r="D24" s="85" t="str">
        <f xml:space="preserve"> '2.1 Model setup'!K79</f>
        <v>4.2 Omkostninger vedrørende nettab i ledningsnettet</v>
      </c>
      <c r="K24" s="5" t="s">
        <v>3</v>
      </c>
      <c r="N24" s="1">
        <f xml:space="preserve"> '2.2 Generelle input'!N108</f>
        <v>1</v>
      </c>
      <c r="O24" s="202"/>
      <c r="P24" s="202"/>
      <c r="Q24" s="202"/>
      <c r="R24" s="202"/>
      <c r="S24" s="202"/>
      <c r="T24" s="202"/>
      <c r="U24" s="202"/>
      <c r="V24" s="202"/>
      <c r="W24" s="197"/>
    </row>
    <row r="25" spans="4:23" ht="15" customHeight="1">
      <c r="D25" s="85" t="str">
        <f xml:space="preserve"> '2.1 Model setup'!K80</f>
        <v>5.1 Omkostninger til overliggende net ifm. forbrug</v>
      </c>
      <c r="K25" s="5" t="s">
        <v>3</v>
      </c>
      <c r="N25" s="1">
        <f xml:space="preserve"> '2.2 Generelle input'!N109</f>
        <v>1</v>
      </c>
      <c r="O25" s="202"/>
      <c r="P25" s="202"/>
      <c r="Q25" s="202"/>
      <c r="R25" s="202"/>
      <c r="S25" s="202"/>
      <c r="T25" s="202"/>
      <c r="U25" s="202"/>
      <c r="V25" s="202"/>
      <c r="W25" s="197"/>
    </row>
    <row r="26" spans="4:23" ht="15" customHeight="1">
      <c r="D26" s="85" t="str">
        <f xml:space="preserve"> '2.1 Model setup'!K81</f>
        <v>5.2 Øvrige omkostninger</v>
      </c>
      <c r="K26" s="5" t="s">
        <v>3</v>
      </c>
      <c r="N26" s="1">
        <f xml:space="preserve"> '2.2 Generelle input'!N110</f>
        <v>1</v>
      </c>
      <c r="O26" s="202"/>
      <c r="P26" s="202"/>
      <c r="Q26" s="202"/>
      <c r="R26" s="202"/>
      <c r="S26" s="202"/>
      <c r="T26" s="202"/>
      <c r="U26" s="202"/>
      <c r="V26" s="202"/>
      <c r="W26" s="197"/>
    </row>
    <row r="27" spans="4:23" ht="15" customHeight="1">
      <c r="D27" s="85" t="str">
        <f xml:space="preserve"> '2.1 Model setup'!K82</f>
        <v>6.1 Afskrivninger på transformerstationer</v>
      </c>
      <c r="K27" s="5" t="s">
        <v>3</v>
      </c>
      <c r="N27" s="1">
        <f xml:space="preserve"> '2.2 Generelle input'!N111</f>
        <v>1</v>
      </c>
      <c r="O27" s="202"/>
      <c r="P27" s="202"/>
      <c r="Q27" s="202"/>
      <c r="R27" s="202"/>
      <c r="S27" s="202"/>
      <c r="T27" s="202"/>
      <c r="U27" s="202"/>
      <c r="V27" s="202"/>
      <c r="W27" s="197"/>
    </row>
    <row r="28" spans="4:23" ht="15" customHeight="1">
      <c r="D28" s="85" t="str">
        <f xml:space="preserve"> '2.1 Model setup'!K83</f>
        <v>6.2 Afskrivninger på netaktiver ekskl. målere og transformerstationer</v>
      </c>
      <c r="K28" s="5" t="s">
        <v>3</v>
      </c>
      <c r="N28" s="1">
        <f xml:space="preserve"> '2.2 Generelle input'!N112</f>
        <v>1</v>
      </c>
      <c r="O28" s="202"/>
      <c r="P28" s="202"/>
      <c r="Q28" s="202"/>
      <c r="R28" s="202"/>
      <c r="S28" s="202"/>
      <c r="T28" s="202"/>
      <c r="U28" s="202"/>
      <c r="V28" s="202"/>
      <c r="W28" s="197"/>
    </row>
    <row r="29" spans="4:23" ht="15" customHeight="1">
      <c r="D29" s="85" t="str">
        <f xml:space="preserve"> '2.1 Model setup'!K84</f>
        <v>6.3 Afskrivninger på målere</v>
      </c>
      <c r="K29" s="5" t="s">
        <v>3</v>
      </c>
      <c r="N29" s="1">
        <f xml:space="preserve"> '2.2 Generelle input'!N113</f>
        <v>1</v>
      </c>
      <c r="O29" s="202"/>
      <c r="P29" s="202"/>
      <c r="Q29" s="202"/>
      <c r="R29" s="202"/>
      <c r="S29" s="202"/>
      <c r="T29" s="202"/>
      <c r="U29" s="202"/>
      <c r="V29" s="202"/>
      <c r="W29" s="197"/>
    </row>
    <row r="30" spans="4:23" ht="15" customHeight="1">
      <c r="D30" s="85" t="str">
        <f xml:space="preserve"> '2.1 Model setup'!K85</f>
        <v>7.1 Transformerstationer (forrentning)</v>
      </c>
      <c r="K30" s="5" t="s">
        <v>3</v>
      </c>
      <c r="N30" s="1">
        <f xml:space="preserve"> '2.2 Generelle input'!N114</f>
        <v>1</v>
      </c>
      <c r="O30" s="202"/>
      <c r="P30" s="202"/>
      <c r="Q30" s="202"/>
      <c r="R30" s="202"/>
      <c r="S30" s="202"/>
      <c r="T30" s="202"/>
      <c r="U30" s="202"/>
      <c r="V30" s="202"/>
      <c r="W30" s="197"/>
    </row>
    <row r="31" spans="4:23" ht="15" customHeight="1">
      <c r="D31" s="85" t="str">
        <f xml:space="preserve"> '2.1 Model setup'!K86</f>
        <v>7.2 Netaktiver ekskl. målere og transformerstationer (forrentning)</v>
      </c>
      <c r="K31" s="5" t="s">
        <v>3</v>
      </c>
      <c r="N31" s="1">
        <f xml:space="preserve"> '2.2 Generelle input'!N115</f>
        <v>1</v>
      </c>
      <c r="O31" s="202"/>
      <c r="P31" s="202"/>
      <c r="Q31" s="202"/>
      <c r="R31" s="202"/>
      <c r="S31" s="202"/>
      <c r="T31" s="202"/>
      <c r="U31" s="202"/>
      <c r="V31" s="202"/>
      <c r="W31" s="197"/>
    </row>
    <row r="32" spans="4:23" ht="15" customHeight="1">
      <c r="D32" s="99" t="str">
        <f xml:space="preserve"> '2.1 Model setup'!K87</f>
        <v>7.3 Målere (forrentning)</v>
      </c>
      <c r="E32" s="27"/>
      <c r="F32" s="27"/>
      <c r="G32" s="27"/>
      <c r="H32" s="27"/>
      <c r="I32" s="27"/>
      <c r="J32" s="27"/>
      <c r="K32" s="32" t="s">
        <v>3</v>
      </c>
      <c r="L32" s="27"/>
      <c r="M32" s="27"/>
      <c r="N32" s="27">
        <f xml:space="preserve"> '2.2 Generelle input'!N116</f>
        <v>1</v>
      </c>
      <c r="O32" s="269"/>
      <c r="P32" s="269"/>
      <c r="Q32" s="269"/>
      <c r="R32" s="269"/>
      <c r="S32" s="269"/>
      <c r="T32" s="269"/>
      <c r="U32" s="269"/>
      <c r="V32" s="269"/>
      <c r="W32" s="270"/>
    </row>
    <row r="33" spans="4:23" ht="15" customHeight="1">
      <c r="D33" s="85"/>
      <c r="F33" s="86"/>
      <c r="G33" s="86"/>
      <c r="H33" s="86"/>
      <c r="I33" s="86"/>
      <c r="J33" s="86"/>
      <c r="K33" s="87"/>
      <c r="L33" s="85"/>
      <c r="M33" s="85"/>
      <c r="N33" s="86"/>
      <c r="O33" s="86"/>
      <c r="P33" s="86"/>
      <c r="Q33" s="86"/>
    </row>
    <row r="34" spans="4:23" ht="15" customHeight="1">
      <c r="D34" s="35" t="s">
        <v>246</v>
      </c>
      <c r="E34" s="27"/>
      <c r="F34" s="27"/>
      <c r="G34" s="27"/>
      <c r="H34" s="27"/>
      <c r="I34" s="27"/>
      <c r="J34" s="27"/>
      <c r="K34" s="32"/>
      <c r="L34" s="27"/>
      <c r="M34" s="27"/>
      <c r="N34" s="27"/>
      <c r="O34" s="27"/>
      <c r="P34" s="27"/>
      <c r="Q34" s="27"/>
      <c r="R34" s="27"/>
      <c r="S34" s="27"/>
      <c r="T34" s="27"/>
      <c r="U34" s="27"/>
      <c r="V34" s="27"/>
      <c r="W34" s="27"/>
    </row>
    <row r="35" spans="4:23" ht="15" customHeight="1">
      <c r="D35" s="85" t="str">
        <f xml:space="preserve"> '2.1 Model setup'!K70</f>
        <v>1.1 Drift og vedligeholdelse af transformerstationer</v>
      </c>
      <c r="K35" s="5" t="s">
        <v>3</v>
      </c>
      <c r="N35" s="1">
        <f xml:space="preserve"> '2.2 Generelle input'!N119</f>
        <v>1</v>
      </c>
      <c r="O35" s="202"/>
      <c r="P35" s="202"/>
      <c r="Q35" s="202"/>
      <c r="R35" s="202"/>
      <c r="S35" s="202"/>
      <c r="T35" s="202"/>
      <c r="U35" s="202"/>
      <c r="V35" s="202"/>
      <c r="W35" s="197"/>
    </row>
    <row r="36" spans="4:23" ht="15" customHeight="1">
      <c r="D36" s="85" t="str">
        <f xml:space="preserve"> '2.1 Model setup'!K71</f>
        <v>1.2 Drift og vedligeholdelse af ledningsnet</v>
      </c>
      <c r="K36" s="5" t="s">
        <v>3</v>
      </c>
      <c r="N36" s="1">
        <f xml:space="preserve"> '2.2 Generelle input'!N120</f>
        <v>1</v>
      </c>
      <c r="O36" s="202"/>
      <c r="P36" s="202"/>
      <c r="Q36" s="202"/>
      <c r="R36" s="202"/>
      <c r="S36" s="202"/>
      <c r="T36" s="202"/>
      <c r="U36" s="202"/>
      <c r="V36" s="202"/>
      <c r="W36" s="197"/>
    </row>
    <row r="37" spans="4:23" ht="15" customHeight="1">
      <c r="D37" s="85" t="str">
        <f xml:space="preserve"> '2.1 Model setup'!K72</f>
        <v>1.3 Øvrige omkostninger til drift, styring og kontrol af elnettet</v>
      </c>
      <c r="K37" s="5" t="s">
        <v>3</v>
      </c>
      <c r="N37" s="1">
        <f xml:space="preserve"> '2.2 Generelle input'!N121</f>
        <v>1</v>
      </c>
      <c r="O37" s="202"/>
      <c r="P37" s="202"/>
      <c r="Q37" s="202"/>
      <c r="R37" s="202"/>
      <c r="S37" s="202"/>
      <c r="T37" s="202"/>
      <c r="U37" s="202"/>
      <c r="V37" s="202"/>
      <c r="W37" s="197"/>
    </row>
    <row r="38" spans="4:23" ht="15" customHeight="1">
      <c r="D38" s="85" t="str">
        <f xml:space="preserve"> '2.1 Model setup'!K73</f>
        <v>1.4 Omkostninger vedrørende 132-150/30-60 kV-stationer</v>
      </c>
      <c r="K38" s="5" t="s">
        <v>3</v>
      </c>
      <c r="N38" s="1">
        <f xml:space="preserve"> '2.2 Generelle input'!N122</f>
        <v>0</v>
      </c>
      <c r="O38" s="202"/>
      <c r="P38" s="202"/>
      <c r="Q38" s="202"/>
      <c r="R38" s="202"/>
      <c r="S38" s="202"/>
      <c r="T38" s="202"/>
      <c r="U38" s="202"/>
      <c r="V38" s="202"/>
      <c r="W38" s="197"/>
    </row>
    <row r="39" spans="4:23" ht="15" customHeight="1">
      <c r="D39" s="85" t="str">
        <f xml:space="preserve"> '2.1 Model setup'!K74</f>
        <v>2.1 Drift og vedligeholdelse af målere</v>
      </c>
      <c r="K39" s="5" t="s">
        <v>3</v>
      </c>
      <c r="N39" s="1">
        <f xml:space="preserve"> '2.2 Generelle input'!N123</f>
        <v>1</v>
      </c>
      <c r="O39" s="202"/>
      <c r="P39" s="202"/>
      <c r="Q39" s="202"/>
      <c r="R39" s="202"/>
      <c r="S39" s="202"/>
      <c r="T39" s="202"/>
      <c r="U39" s="202"/>
      <c r="V39" s="202"/>
      <c r="W39" s="197"/>
    </row>
    <row r="40" spans="4:23" ht="15" customHeight="1">
      <c r="D40" s="85" t="str">
        <f xml:space="preserve"> '2.1 Model setup'!K75</f>
        <v>2.2 Indhentning og validering af målerdata</v>
      </c>
      <c r="K40" s="5" t="s">
        <v>3</v>
      </c>
      <c r="N40" s="1">
        <f xml:space="preserve"> '2.2 Generelle input'!N124</f>
        <v>1</v>
      </c>
      <c r="O40" s="202"/>
      <c r="P40" s="202"/>
      <c r="Q40" s="202"/>
      <c r="R40" s="202"/>
      <c r="S40" s="202"/>
      <c r="T40" s="202"/>
      <c r="U40" s="202"/>
      <c r="V40" s="202"/>
      <c r="W40" s="197"/>
    </row>
    <row r="41" spans="4:23" ht="15" customHeight="1">
      <c r="D41" s="85" t="str">
        <f xml:space="preserve"> '2.1 Model setup'!K76</f>
        <v>2.3 Måleradministration og kundehåndtering</v>
      </c>
      <c r="K41" s="5" t="s">
        <v>3</v>
      </c>
      <c r="N41" s="1">
        <f xml:space="preserve"> '2.2 Generelle input'!N125</f>
        <v>1</v>
      </c>
      <c r="O41" s="202"/>
      <c r="P41" s="202"/>
      <c r="Q41" s="202"/>
      <c r="R41" s="202"/>
      <c r="S41" s="202"/>
      <c r="T41" s="202"/>
      <c r="U41" s="202"/>
      <c r="V41" s="202"/>
      <c r="W41" s="197"/>
    </row>
    <row r="42" spans="4:23" ht="15" customHeight="1">
      <c r="D42" s="85" t="str">
        <f xml:space="preserve"> '2.1 Model setup'!K77</f>
        <v>3.1 Generel administration</v>
      </c>
      <c r="K42" s="5" t="s">
        <v>3</v>
      </c>
      <c r="N42" s="1">
        <f xml:space="preserve"> '2.2 Generelle input'!N126</f>
        <v>1</v>
      </c>
      <c r="O42" s="202"/>
      <c r="P42" s="202"/>
      <c r="Q42" s="202"/>
      <c r="R42" s="202"/>
      <c r="S42" s="202"/>
      <c r="T42" s="202"/>
      <c r="U42" s="202"/>
      <c r="V42" s="202"/>
      <c r="W42" s="197"/>
    </row>
    <row r="43" spans="4:23" ht="15" customHeight="1">
      <c r="D43" s="85" t="str">
        <f xml:space="preserve"> '2.1 Model setup'!K78</f>
        <v>4.1 Omkostninger vedrørende nettab i transformerstationer</v>
      </c>
      <c r="K43" s="5" t="s">
        <v>3</v>
      </c>
      <c r="N43" s="1">
        <f xml:space="preserve"> '2.2 Generelle input'!N127</f>
        <v>1</v>
      </c>
      <c r="O43" s="202"/>
      <c r="P43" s="202"/>
      <c r="Q43" s="202"/>
      <c r="R43" s="202"/>
      <c r="S43" s="202"/>
      <c r="T43" s="202"/>
      <c r="U43" s="202"/>
      <c r="V43" s="202"/>
      <c r="W43" s="197"/>
    </row>
    <row r="44" spans="4:23" ht="15" customHeight="1">
      <c r="D44" s="85" t="str">
        <f xml:space="preserve"> '2.1 Model setup'!K79</f>
        <v>4.2 Omkostninger vedrørende nettab i ledningsnettet</v>
      </c>
      <c r="K44" s="5" t="s">
        <v>3</v>
      </c>
      <c r="N44" s="1">
        <f xml:space="preserve"> '2.2 Generelle input'!N128</f>
        <v>1</v>
      </c>
      <c r="O44" s="202"/>
      <c r="P44" s="202"/>
      <c r="Q44" s="202"/>
      <c r="R44" s="202"/>
      <c r="S44" s="202"/>
      <c r="T44" s="202"/>
      <c r="U44" s="202"/>
      <c r="V44" s="202"/>
      <c r="W44" s="197"/>
    </row>
    <row r="45" spans="4:23" ht="15" customHeight="1">
      <c r="D45" s="85" t="str">
        <f xml:space="preserve"> '2.1 Model setup'!K80</f>
        <v>5.1 Omkostninger til overliggende net ifm. forbrug</v>
      </c>
      <c r="K45" s="5" t="s">
        <v>3</v>
      </c>
      <c r="N45" s="1">
        <f xml:space="preserve"> '2.2 Generelle input'!N129</f>
        <v>1</v>
      </c>
      <c r="O45" s="202"/>
      <c r="P45" s="202"/>
      <c r="Q45" s="202"/>
      <c r="R45" s="202"/>
      <c r="S45" s="202"/>
      <c r="T45" s="202"/>
      <c r="U45" s="202"/>
      <c r="V45" s="202"/>
      <c r="W45" s="197"/>
    </row>
    <row r="46" spans="4:23" ht="15" customHeight="1">
      <c r="D46" s="85" t="str">
        <f xml:space="preserve"> '2.1 Model setup'!K81</f>
        <v>5.2 Øvrige omkostninger</v>
      </c>
      <c r="K46" s="5" t="s">
        <v>3</v>
      </c>
      <c r="N46" s="1">
        <f xml:space="preserve"> '2.2 Generelle input'!N130</f>
        <v>1</v>
      </c>
      <c r="O46" s="202"/>
      <c r="P46" s="202"/>
      <c r="Q46" s="202"/>
      <c r="R46" s="202"/>
      <c r="S46" s="202"/>
      <c r="T46" s="202"/>
      <c r="U46" s="202"/>
      <c r="V46" s="202"/>
      <c r="W46" s="197"/>
    </row>
    <row r="47" spans="4:23" ht="15" customHeight="1">
      <c r="D47" s="85" t="str">
        <f xml:space="preserve"> '2.1 Model setup'!K82</f>
        <v>6.1 Afskrivninger på transformerstationer</v>
      </c>
      <c r="K47" s="5" t="s">
        <v>3</v>
      </c>
      <c r="N47" s="1">
        <f xml:space="preserve"> '2.2 Generelle input'!N131</f>
        <v>1</v>
      </c>
      <c r="O47" s="202"/>
      <c r="P47" s="202"/>
      <c r="Q47" s="202"/>
      <c r="R47" s="202"/>
      <c r="S47" s="202"/>
      <c r="T47" s="202"/>
      <c r="U47" s="202"/>
      <c r="V47" s="202"/>
      <c r="W47" s="197"/>
    </row>
    <row r="48" spans="4:23" ht="15" customHeight="1">
      <c r="D48" s="85" t="str">
        <f xml:space="preserve"> '2.1 Model setup'!K83</f>
        <v>6.2 Afskrivninger på netaktiver ekskl. målere og transformerstationer</v>
      </c>
      <c r="K48" s="5" t="s">
        <v>3</v>
      </c>
      <c r="N48" s="1">
        <f xml:space="preserve"> '2.2 Generelle input'!N132</f>
        <v>1</v>
      </c>
      <c r="O48" s="202"/>
      <c r="P48" s="202"/>
      <c r="Q48" s="202"/>
      <c r="R48" s="202"/>
      <c r="S48" s="202"/>
      <c r="T48" s="202"/>
      <c r="U48" s="202"/>
      <c r="V48" s="202"/>
      <c r="W48" s="197"/>
    </row>
    <row r="49" spans="4:23" ht="15" customHeight="1">
      <c r="D49" s="85" t="str">
        <f xml:space="preserve"> '2.1 Model setup'!K84</f>
        <v>6.3 Afskrivninger på målere</v>
      </c>
      <c r="K49" s="5" t="s">
        <v>3</v>
      </c>
      <c r="N49" s="1">
        <f xml:space="preserve"> '2.2 Generelle input'!N133</f>
        <v>1</v>
      </c>
      <c r="O49" s="202"/>
      <c r="P49" s="202"/>
      <c r="Q49" s="202"/>
      <c r="R49" s="202"/>
      <c r="S49" s="202"/>
      <c r="T49" s="202"/>
      <c r="U49" s="202"/>
      <c r="V49" s="202"/>
      <c r="W49" s="197"/>
    </row>
    <row r="50" spans="4:23" ht="15" customHeight="1">
      <c r="D50" s="85" t="str">
        <f xml:space="preserve"> '2.1 Model setup'!K85</f>
        <v>7.1 Transformerstationer (forrentning)</v>
      </c>
      <c r="K50" s="5" t="s">
        <v>3</v>
      </c>
      <c r="N50" s="1">
        <f xml:space="preserve"> '2.2 Generelle input'!N134</f>
        <v>1</v>
      </c>
      <c r="O50" s="202"/>
      <c r="P50" s="202"/>
      <c r="Q50" s="202"/>
      <c r="R50" s="202"/>
      <c r="S50" s="202"/>
      <c r="T50" s="202"/>
      <c r="U50" s="202"/>
      <c r="V50" s="202"/>
      <c r="W50" s="197"/>
    </row>
    <row r="51" spans="4:23" ht="15" customHeight="1">
      <c r="D51" s="85" t="str">
        <f xml:space="preserve"> '2.1 Model setup'!K86</f>
        <v>7.2 Netaktiver ekskl. målere og transformerstationer (forrentning)</v>
      </c>
      <c r="K51" s="5" t="s">
        <v>3</v>
      </c>
      <c r="N51" s="1">
        <f xml:space="preserve"> '2.2 Generelle input'!N135</f>
        <v>1</v>
      </c>
      <c r="O51" s="202"/>
      <c r="P51" s="202"/>
      <c r="Q51" s="202"/>
      <c r="R51" s="202"/>
      <c r="S51" s="202"/>
      <c r="T51" s="202"/>
      <c r="U51" s="202"/>
      <c r="V51" s="202"/>
      <c r="W51" s="197"/>
    </row>
    <row r="52" spans="4:23" ht="15" customHeight="1">
      <c r="D52" s="99" t="str">
        <f xml:space="preserve"> '2.1 Model setup'!K87</f>
        <v>7.3 Målere (forrentning)</v>
      </c>
      <c r="E52" s="27"/>
      <c r="F52" s="27"/>
      <c r="G52" s="27"/>
      <c r="H52" s="27"/>
      <c r="I52" s="27"/>
      <c r="J52" s="27"/>
      <c r="K52" s="32" t="s">
        <v>3</v>
      </c>
      <c r="L52" s="27"/>
      <c r="M52" s="27"/>
      <c r="N52" s="27">
        <f xml:space="preserve"> '2.2 Generelle input'!N136</f>
        <v>1</v>
      </c>
      <c r="O52" s="269"/>
      <c r="P52" s="269"/>
      <c r="Q52" s="269"/>
      <c r="R52" s="269"/>
      <c r="S52" s="269"/>
      <c r="T52" s="269"/>
      <c r="U52" s="269"/>
      <c r="V52" s="269"/>
      <c r="W52" s="270"/>
    </row>
    <row r="53" spans="4:23" ht="15" customHeight="1">
      <c r="D53" s="85"/>
      <c r="F53" s="86"/>
      <c r="G53" s="86"/>
      <c r="H53" s="86"/>
      <c r="I53" s="86"/>
      <c r="J53" s="86"/>
      <c r="K53" s="87"/>
      <c r="L53" s="85"/>
      <c r="M53" s="85"/>
      <c r="N53" s="86"/>
      <c r="O53" s="86"/>
      <c r="P53" s="86"/>
      <c r="Q53" s="86"/>
    </row>
    <row r="54" spans="4:23" ht="15" customHeight="1">
      <c r="D54" s="35" t="s">
        <v>244</v>
      </c>
      <c r="E54" s="27"/>
      <c r="F54" s="27"/>
      <c r="G54" s="27"/>
      <c r="H54" s="27"/>
      <c r="I54" s="27"/>
      <c r="J54" s="27"/>
      <c r="K54" s="32"/>
      <c r="L54" s="27"/>
      <c r="M54" s="27"/>
      <c r="N54" s="27"/>
      <c r="O54" s="27"/>
      <c r="P54" s="27"/>
      <c r="Q54" s="27"/>
      <c r="R54" s="27"/>
      <c r="S54" s="27"/>
      <c r="T54" s="27"/>
      <c r="U54" s="27"/>
      <c r="V54" s="27"/>
      <c r="W54" s="27"/>
    </row>
    <row r="55" spans="4:23" ht="15" customHeight="1">
      <c r="D55" s="85" t="str">
        <f xml:space="preserve"> '2.1 Model setup'!K70</f>
        <v>1.1 Drift og vedligeholdelse af transformerstationer</v>
      </c>
      <c r="K55" s="5" t="s">
        <v>3</v>
      </c>
      <c r="N55" s="1">
        <f xml:space="preserve"> '2.2 Generelle input'!N139</f>
        <v>1</v>
      </c>
      <c r="O55" s="202"/>
      <c r="P55" s="202"/>
      <c r="Q55" s="202"/>
      <c r="R55" s="202"/>
      <c r="S55" s="202"/>
      <c r="T55" s="202"/>
      <c r="U55" s="202"/>
      <c r="V55" s="202"/>
      <c r="W55" s="197"/>
    </row>
    <row r="56" spans="4:23" ht="15" customHeight="1">
      <c r="D56" s="85" t="str">
        <f xml:space="preserve"> '2.1 Model setup'!K71</f>
        <v>1.2 Drift og vedligeholdelse af ledningsnet</v>
      </c>
      <c r="K56" s="5" t="s">
        <v>3</v>
      </c>
      <c r="N56" s="1">
        <f xml:space="preserve"> '2.2 Generelle input'!N140</f>
        <v>1</v>
      </c>
      <c r="O56" s="202"/>
      <c r="P56" s="202"/>
      <c r="Q56" s="202"/>
      <c r="R56" s="202"/>
      <c r="S56" s="202"/>
      <c r="T56" s="202"/>
      <c r="U56" s="202"/>
      <c r="V56" s="202"/>
      <c r="W56" s="197"/>
    </row>
    <row r="57" spans="4:23" ht="15" customHeight="1">
      <c r="D57" s="85" t="str">
        <f xml:space="preserve"> '2.1 Model setup'!K72</f>
        <v>1.3 Øvrige omkostninger til drift, styring og kontrol af elnettet</v>
      </c>
      <c r="K57" s="5" t="s">
        <v>3</v>
      </c>
      <c r="N57" s="1">
        <f xml:space="preserve"> '2.2 Generelle input'!N141</f>
        <v>1</v>
      </c>
      <c r="O57" s="202"/>
      <c r="P57" s="202"/>
      <c r="Q57" s="202"/>
      <c r="R57" s="202"/>
      <c r="S57" s="202"/>
      <c r="T57" s="202"/>
      <c r="U57" s="202"/>
      <c r="V57" s="202"/>
      <c r="W57" s="197"/>
    </row>
    <row r="58" spans="4:23" ht="15" customHeight="1">
      <c r="D58" s="85" t="str">
        <f xml:space="preserve"> '2.1 Model setup'!K73</f>
        <v>1.4 Omkostninger vedrørende 132-150/30-60 kV-stationer</v>
      </c>
      <c r="K58" s="5" t="s">
        <v>3</v>
      </c>
      <c r="N58" s="1">
        <f xml:space="preserve"> '2.2 Generelle input'!N142</f>
        <v>0</v>
      </c>
      <c r="O58" s="202"/>
      <c r="P58" s="202"/>
      <c r="Q58" s="202"/>
      <c r="R58" s="202"/>
      <c r="S58" s="202"/>
      <c r="T58" s="202"/>
      <c r="U58" s="202"/>
      <c r="V58" s="202"/>
      <c r="W58" s="197"/>
    </row>
    <row r="59" spans="4:23" ht="15" customHeight="1">
      <c r="D59" s="85" t="str">
        <f xml:space="preserve"> '2.1 Model setup'!K74</f>
        <v>2.1 Drift og vedligeholdelse af målere</v>
      </c>
      <c r="K59" s="5" t="s">
        <v>3</v>
      </c>
      <c r="N59" s="1">
        <f xml:space="preserve"> '2.2 Generelle input'!N143</f>
        <v>0</v>
      </c>
      <c r="O59" s="202"/>
      <c r="P59" s="202"/>
      <c r="Q59" s="202"/>
      <c r="R59" s="202"/>
      <c r="S59" s="202"/>
      <c r="T59" s="202"/>
      <c r="U59" s="202"/>
      <c r="V59" s="202"/>
      <c r="W59" s="197"/>
    </row>
    <row r="60" spans="4:23" ht="15" customHeight="1">
      <c r="D60" s="85" t="str">
        <f xml:space="preserve"> '2.1 Model setup'!K75</f>
        <v>2.2 Indhentning og validering af målerdata</v>
      </c>
      <c r="K60" s="5" t="s">
        <v>3</v>
      </c>
      <c r="N60" s="1">
        <f xml:space="preserve"> '2.2 Generelle input'!N144</f>
        <v>1</v>
      </c>
      <c r="O60" s="202"/>
      <c r="P60" s="202"/>
      <c r="Q60" s="202"/>
      <c r="R60" s="202"/>
      <c r="S60" s="202"/>
      <c r="T60" s="202"/>
      <c r="U60" s="202"/>
      <c r="V60" s="202"/>
      <c r="W60" s="197"/>
    </row>
    <row r="61" spans="4:23" ht="15" customHeight="1">
      <c r="D61" s="85" t="str">
        <f xml:space="preserve"> '2.1 Model setup'!K76</f>
        <v>2.3 Måleradministration og kundehåndtering</v>
      </c>
      <c r="K61" s="5" t="s">
        <v>3</v>
      </c>
      <c r="N61" s="1">
        <f xml:space="preserve"> '2.2 Generelle input'!N145</f>
        <v>1</v>
      </c>
      <c r="O61" s="202"/>
      <c r="P61" s="202"/>
      <c r="Q61" s="202"/>
      <c r="R61" s="202"/>
      <c r="S61" s="202"/>
      <c r="T61" s="202"/>
      <c r="U61" s="202"/>
      <c r="V61" s="202"/>
      <c r="W61" s="197"/>
    </row>
    <row r="62" spans="4:23" ht="15" customHeight="1">
      <c r="D62" s="85" t="str">
        <f xml:space="preserve"> '2.1 Model setup'!K77</f>
        <v>3.1 Generel administration</v>
      </c>
      <c r="K62" s="5" t="s">
        <v>3</v>
      </c>
      <c r="N62" s="1">
        <f xml:space="preserve"> '2.2 Generelle input'!N146</f>
        <v>1</v>
      </c>
      <c r="O62" s="202"/>
      <c r="P62" s="202"/>
      <c r="Q62" s="202"/>
      <c r="R62" s="202"/>
      <c r="S62" s="202"/>
      <c r="T62" s="202"/>
      <c r="U62" s="202"/>
      <c r="V62" s="202"/>
      <c r="W62" s="197"/>
    </row>
    <row r="63" spans="4:23" ht="15" customHeight="1">
      <c r="D63" s="85" t="str">
        <f xml:space="preserve"> '2.1 Model setup'!K78</f>
        <v>4.1 Omkostninger vedrørende nettab i transformerstationer</v>
      </c>
      <c r="K63" s="5" t="s">
        <v>3</v>
      </c>
      <c r="N63" s="1">
        <f xml:space="preserve"> '2.2 Generelle input'!N147</f>
        <v>1</v>
      </c>
      <c r="O63" s="202"/>
      <c r="P63" s="202"/>
      <c r="Q63" s="202"/>
      <c r="R63" s="202"/>
      <c r="S63" s="202"/>
      <c r="T63" s="202"/>
      <c r="U63" s="202"/>
      <c r="V63" s="202"/>
      <c r="W63" s="197"/>
    </row>
    <row r="64" spans="4:23" ht="15" customHeight="1">
      <c r="D64" s="85" t="str">
        <f xml:space="preserve"> '2.1 Model setup'!K79</f>
        <v>4.2 Omkostninger vedrørende nettab i ledningsnettet</v>
      </c>
      <c r="K64" s="5" t="s">
        <v>3</v>
      </c>
      <c r="N64" s="1">
        <f xml:space="preserve"> '2.2 Generelle input'!N148</f>
        <v>1</v>
      </c>
      <c r="O64" s="202"/>
      <c r="P64" s="202"/>
      <c r="Q64" s="202"/>
      <c r="R64" s="202"/>
      <c r="S64" s="202"/>
      <c r="T64" s="202"/>
      <c r="U64" s="202"/>
      <c r="V64" s="202"/>
      <c r="W64" s="197"/>
    </row>
    <row r="65" spans="4:23" ht="15" customHeight="1">
      <c r="D65" s="85" t="str">
        <f xml:space="preserve"> '2.1 Model setup'!K80</f>
        <v>5.1 Omkostninger til overliggende net ifm. forbrug</v>
      </c>
      <c r="K65" s="5" t="s">
        <v>3</v>
      </c>
      <c r="N65" s="1">
        <f xml:space="preserve"> '2.2 Generelle input'!N149</f>
        <v>1</v>
      </c>
      <c r="O65" s="202"/>
      <c r="P65" s="202"/>
      <c r="Q65" s="202"/>
      <c r="R65" s="202"/>
      <c r="S65" s="202"/>
      <c r="T65" s="202"/>
      <c r="U65" s="202"/>
      <c r="V65" s="202"/>
      <c r="W65" s="197"/>
    </row>
    <row r="66" spans="4:23" ht="15" customHeight="1">
      <c r="D66" s="85" t="str">
        <f xml:space="preserve"> '2.1 Model setup'!K81</f>
        <v>5.2 Øvrige omkostninger</v>
      </c>
      <c r="K66" s="5" t="s">
        <v>3</v>
      </c>
      <c r="N66" s="1">
        <f xml:space="preserve"> '2.2 Generelle input'!N150</f>
        <v>1</v>
      </c>
      <c r="O66" s="202"/>
      <c r="P66" s="202"/>
      <c r="Q66" s="202"/>
      <c r="R66" s="202"/>
      <c r="S66" s="202"/>
      <c r="T66" s="202"/>
      <c r="U66" s="202"/>
      <c r="V66" s="202"/>
      <c r="W66" s="197"/>
    </row>
    <row r="67" spans="4:23" ht="15" customHeight="1">
      <c r="D67" s="85" t="str">
        <f xml:space="preserve"> '2.1 Model setup'!K82</f>
        <v>6.1 Afskrivninger på transformerstationer</v>
      </c>
      <c r="K67" s="5" t="s">
        <v>3</v>
      </c>
      <c r="N67" s="1">
        <f xml:space="preserve"> '2.2 Generelle input'!N151</f>
        <v>1</v>
      </c>
      <c r="O67" s="202"/>
      <c r="P67" s="202"/>
      <c r="Q67" s="202"/>
      <c r="R67" s="202"/>
      <c r="S67" s="202"/>
      <c r="T67" s="202"/>
      <c r="U67" s="202"/>
      <c r="V67" s="202"/>
      <c r="W67" s="197"/>
    </row>
    <row r="68" spans="4:23" ht="15" customHeight="1">
      <c r="D68" s="85" t="str">
        <f xml:space="preserve"> '2.1 Model setup'!K83</f>
        <v>6.2 Afskrivninger på netaktiver ekskl. målere og transformerstationer</v>
      </c>
      <c r="K68" s="5" t="s">
        <v>3</v>
      </c>
      <c r="N68" s="1">
        <f xml:space="preserve"> '2.2 Generelle input'!N152</f>
        <v>1</v>
      </c>
      <c r="O68" s="202"/>
      <c r="P68" s="202"/>
      <c r="Q68" s="202"/>
      <c r="R68" s="202"/>
      <c r="S68" s="202"/>
      <c r="T68" s="202"/>
      <c r="U68" s="202"/>
      <c r="V68" s="202"/>
      <c r="W68" s="197"/>
    </row>
    <row r="69" spans="4:23" ht="15" customHeight="1">
      <c r="D69" s="85" t="str">
        <f xml:space="preserve"> '2.1 Model setup'!K84</f>
        <v>6.3 Afskrivninger på målere</v>
      </c>
      <c r="K69" s="5" t="s">
        <v>3</v>
      </c>
      <c r="N69" s="1">
        <f xml:space="preserve"> '2.2 Generelle input'!N153</f>
        <v>0</v>
      </c>
      <c r="O69" s="202"/>
      <c r="P69" s="202"/>
      <c r="Q69" s="202"/>
      <c r="R69" s="202"/>
      <c r="S69" s="202"/>
      <c r="T69" s="202"/>
      <c r="U69" s="202"/>
      <c r="V69" s="202"/>
      <c r="W69" s="197"/>
    </row>
    <row r="70" spans="4:23" ht="15" customHeight="1">
      <c r="D70" s="85" t="str">
        <f xml:space="preserve"> '2.1 Model setup'!K85</f>
        <v>7.1 Transformerstationer (forrentning)</v>
      </c>
      <c r="K70" s="5" t="s">
        <v>3</v>
      </c>
      <c r="N70" s="1">
        <f xml:space="preserve"> '2.2 Generelle input'!N154</f>
        <v>1</v>
      </c>
      <c r="O70" s="202"/>
      <c r="P70" s="202"/>
      <c r="Q70" s="202"/>
      <c r="R70" s="202"/>
      <c r="S70" s="202"/>
      <c r="T70" s="202"/>
      <c r="U70" s="202"/>
      <c r="V70" s="202"/>
      <c r="W70" s="197"/>
    </row>
    <row r="71" spans="4:23" ht="15" customHeight="1">
      <c r="D71" s="85" t="str">
        <f xml:space="preserve"> '2.1 Model setup'!K86</f>
        <v>7.2 Netaktiver ekskl. målere og transformerstationer (forrentning)</v>
      </c>
      <c r="K71" s="5" t="s">
        <v>3</v>
      </c>
      <c r="N71" s="1">
        <f xml:space="preserve"> '2.2 Generelle input'!N155</f>
        <v>1</v>
      </c>
      <c r="O71" s="202"/>
      <c r="P71" s="202"/>
      <c r="Q71" s="202"/>
      <c r="R71" s="202"/>
      <c r="S71" s="202"/>
      <c r="T71" s="202"/>
      <c r="U71" s="202"/>
      <c r="V71" s="202"/>
      <c r="W71" s="197"/>
    </row>
    <row r="72" spans="4:23" ht="15" customHeight="1">
      <c r="D72" s="99" t="str">
        <f xml:space="preserve"> '2.1 Model setup'!K87</f>
        <v>7.3 Målere (forrentning)</v>
      </c>
      <c r="E72" s="27"/>
      <c r="F72" s="27"/>
      <c r="G72" s="27"/>
      <c r="H72" s="27"/>
      <c r="I72" s="27"/>
      <c r="J72" s="27"/>
      <c r="K72" s="32" t="s">
        <v>3</v>
      </c>
      <c r="L72" s="27"/>
      <c r="M72" s="27"/>
      <c r="N72" s="27">
        <f xml:space="preserve"> '2.2 Generelle input'!N156</f>
        <v>0</v>
      </c>
      <c r="O72" s="269"/>
      <c r="P72" s="269"/>
      <c r="Q72" s="269"/>
      <c r="R72" s="269"/>
      <c r="S72" s="269"/>
      <c r="T72" s="269"/>
      <c r="U72" s="269"/>
      <c r="V72" s="269"/>
      <c r="W72" s="270"/>
    </row>
    <row r="73" spans="4:23" ht="15" customHeight="1">
      <c r="D73" s="85"/>
      <c r="F73" s="86"/>
      <c r="G73" s="86"/>
      <c r="H73" s="86"/>
      <c r="I73" s="86"/>
      <c r="J73" s="86"/>
      <c r="K73" s="87"/>
      <c r="L73" s="85"/>
      <c r="M73" s="85"/>
      <c r="N73" s="86"/>
      <c r="O73" s="86"/>
      <c r="P73" s="86"/>
      <c r="Q73" s="86"/>
    </row>
    <row r="74" spans="4:23" ht="15" customHeight="1">
      <c r="D74" s="35" t="s">
        <v>245</v>
      </c>
      <c r="E74" s="27"/>
      <c r="F74" s="27"/>
      <c r="G74" s="27"/>
      <c r="H74" s="27"/>
      <c r="I74" s="27"/>
      <c r="J74" s="27"/>
      <c r="K74" s="32"/>
      <c r="L74" s="27"/>
      <c r="M74" s="27"/>
      <c r="N74" s="27"/>
      <c r="O74" s="27"/>
      <c r="P74" s="27"/>
      <c r="Q74" s="27"/>
      <c r="R74" s="27"/>
      <c r="S74" s="27"/>
      <c r="T74" s="27"/>
      <c r="U74" s="27"/>
      <c r="V74" s="27"/>
      <c r="W74" s="27"/>
    </row>
    <row r="75" spans="4:23" ht="15" customHeight="1">
      <c r="D75" s="85" t="str">
        <f xml:space="preserve"> '2.1 Model setup'!K70</f>
        <v>1.1 Drift og vedligeholdelse af transformerstationer</v>
      </c>
      <c r="K75" s="5" t="s">
        <v>3</v>
      </c>
      <c r="N75" s="1">
        <f xml:space="preserve"> '2.2 Generelle input'!N159</f>
        <v>1</v>
      </c>
      <c r="O75" s="202"/>
      <c r="P75" s="202"/>
      <c r="Q75" s="202"/>
      <c r="R75" s="202"/>
      <c r="S75" s="202"/>
      <c r="T75" s="202"/>
      <c r="U75" s="202"/>
      <c r="V75" s="202"/>
      <c r="W75" s="197"/>
    </row>
    <row r="76" spans="4:23" ht="15" customHeight="1">
      <c r="D76" s="85" t="str">
        <f xml:space="preserve"> '2.1 Model setup'!K71</f>
        <v>1.2 Drift og vedligeholdelse af ledningsnet</v>
      </c>
      <c r="K76" s="5" t="s">
        <v>3</v>
      </c>
      <c r="N76" s="1">
        <f xml:space="preserve"> '2.2 Generelle input'!N160</f>
        <v>1</v>
      </c>
      <c r="O76" s="202"/>
      <c r="P76" s="202"/>
      <c r="Q76" s="202"/>
      <c r="R76" s="202"/>
      <c r="S76" s="202"/>
      <c r="T76" s="202"/>
      <c r="U76" s="202"/>
      <c r="V76" s="202"/>
      <c r="W76" s="197"/>
    </row>
    <row r="77" spans="4:23" ht="15" customHeight="1">
      <c r="D77" s="85" t="str">
        <f xml:space="preserve"> '2.1 Model setup'!K72</f>
        <v>1.3 Øvrige omkostninger til drift, styring og kontrol af elnettet</v>
      </c>
      <c r="K77" s="5" t="s">
        <v>3</v>
      </c>
      <c r="N77" s="1">
        <f xml:space="preserve"> '2.2 Generelle input'!N161</f>
        <v>1</v>
      </c>
      <c r="O77" s="202"/>
      <c r="P77" s="202"/>
      <c r="Q77" s="202"/>
      <c r="R77" s="202"/>
      <c r="S77" s="202"/>
      <c r="T77" s="202"/>
      <c r="U77" s="202"/>
      <c r="V77" s="202"/>
      <c r="W77" s="197"/>
    </row>
    <row r="78" spans="4:23" ht="15" customHeight="1">
      <c r="D78" s="85" t="str">
        <f xml:space="preserve"> '2.1 Model setup'!K73</f>
        <v>1.4 Omkostninger vedrørende 132-150/30-60 kV-stationer</v>
      </c>
      <c r="K78" s="5" t="s">
        <v>3</v>
      </c>
      <c r="N78" s="1">
        <f xml:space="preserve"> '2.2 Generelle input'!N162</f>
        <v>0</v>
      </c>
      <c r="O78" s="202"/>
      <c r="P78" s="202"/>
      <c r="Q78" s="202"/>
      <c r="R78" s="202"/>
      <c r="S78" s="202"/>
      <c r="T78" s="202"/>
      <c r="U78" s="202"/>
      <c r="V78" s="202"/>
      <c r="W78" s="197"/>
    </row>
    <row r="79" spans="4:23" ht="15" customHeight="1">
      <c r="D79" s="85" t="str">
        <f xml:space="preserve"> '2.1 Model setup'!K74</f>
        <v>2.1 Drift og vedligeholdelse af målere</v>
      </c>
      <c r="K79" s="5" t="s">
        <v>3</v>
      </c>
      <c r="N79" s="1">
        <f xml:space="preserve"> '2.2 Generelle input'!N163</f>
        <v>1</v>
      </c>
      <c r="O79" s="202"/>
      <c r="P79" s="202"/>
      <c r="Q79" s="202"/>
      <c r="R79" s="202"/>
      <c r="S79" s="202"/>
      <c r="T79" s="202"/>
      <c r="U79" s="202"/>
      <c r="V79" s="202"/>
      <c r="W79" s="197"/>
    </row>
    <row r="80" spans="4:23" ht="15" customHeight="1">
      <c r="D80" s="85" t="str">
        <f xml:space="preserve"> '2.1 Model setup'!K75</f>
        <v>2.2 Indhentning og validering af målerdata</v>
      </c>
      <c r="K80" s="5" t="s">
        <v>3</v>
      </c>
      <c r="N80" s="1">
        <f xml:space="preserve"> '2.2 Generelle input'!N164</f>
        <v>2</v>
      </c>
      <c r="O80" s="202"/>
      <c r="P80" s="202"/>
      <c r="Q80" s="202"/>
      <c r="R80" s="202"/>
      <c r="S80" s="202"/>
      <c r="T80" s="202"/>
      <c r="U80" s="202"/>
      <c r="V80" s="202"/>
      <c r="W80" s="197"/>
    </row>
    <row r="81" spans="2:23" ht="15" customHeight="1">
      <c r="D81" s="85" t="str">
        <f xml:space="preserve"> '2.1 Model setup'!K76</f>
        <v>2.3 Måleradministration og kundehåndtering</v>
      </c>
      <c r="K81" s="5" t="s">
        <v>3</v>
      </c>
      <c r="N81" s="1">
        <f xml:space="preserve"> '2.2 Generelle input'!N165</f>
        <v>1</v>
      </c>
      <c r="O81" s="202"/>
      <c r="P81" s="202"/>
      <c r="Q81" s="202"/>
      <c r="R81" s="202"/>
      <c r="S81" s="202"/>
      <c r="T81" s="202"/>
      <c r="U81" s="202"/>
      <c r="V81" s="202"/>
      <c r="W81" s="197"/>
    </row>
    <row r="82" spans="2:23" ht="15" customHeight="1">
      <c r="D82" s="85" t="str">
        <f xml:space="preserve"> '2.1 Model setup'!K77</f>
        <v>3.1 Generel administration</v>
      </c>
      <c r="K82" s="5" t="s">
        <v>3</v>
      </c>
      <c r="N82" s="1">
        <f xml:space="preserve"> '2.2 Generelle input'!N166</f>
        <v>1</v>
      </c>
      <c r="O82" s="202"/>
      <c r="P82" s="202"/>
      <c r="Q82" s="202"/>
      <c r="R82" s="202"/>
      <c r="S82" s="202"/>
      <c r="T82" s="202"/>
      <c r="U82" s="202"/>
      <c r="V82" s="202"/>
      <c r="W82" s="197"/>
    </row>
    <row r="83" spans="2:23" ht="15" customHeight="1">
      <c r="D83" s="85" t="str">
        <f xml:space="preserve"> '2.1 Model setup'!K78</f>
        <v>4.1 Omkostninger vedrørende nettab i transformerstationer</v>
      </c>
      <c r="K83" s="5" t="s">
        <v>3</v>
      </c>
      <c r="N83" s="1">
        <f xml:space="preserve"> '2.2 Generelle input'!N167</f>
        <v>1</v>
      </c>
      <c r="O83" s="202"/>
      <c r="P83" s="202"/>
      <c r="Q83" s="202"/>
      <c r="R83" s="202"/>
      <c r="S83" s="202"/>
      <c r="T83" s="202"/>
      <c r="U83" s="202"/>
      <c r="V83" s="202"/>
      <c r="W83" s="197"/>
    </row>
    <row r="84" spans="2:23" ht="15" customHeight="1">
      <c r="D84" s="85" t="str">
        <f xml:space="preserve"> '2.1 Model setup'!K79</f>
        <v>4.2 Omkostninger vedrørende nettab i ledningsnettet</v>
      </c>
      <c r="K84" s="5" t="s">
        <v>3</v>
      </c>
      <c r="N84" s="1">
        <f xml:space="preserve"> '2.2 Generelle input'!N168</f>
        <v>1</v>
      </c>
      <c r="O84" s="202"/>
      <c r="P84" s="202"/>
      <c r="Q84" s="202"/>
      <c r="R84" s="202"/>
      <c r="S84" s="202"/>
      <c r="T84" s="202"/>
      <c r="U84" s="202"/>
      <c r="V84" s="202"/>
      <c r="W84" s="197"/>
    </row>
    <row r="85" spans="2:23" ht="15" customHeight="1">
      <c r="D85" s="85" t="str">
        <f xml:space="preserve"> '2.1 Model setup'!K80</f>
        <v>5.1 Omkostninger til overliggende net ifm. forbrug</v>
      </c>
      <c r="K85" s="5" t="s">
        <v>3</v>
      </c>
      <c r="N85" s="1">
        <f xml:space="preserve"> '2.2 Generelle input'!N169</f>
        <v>1</v>
      </c>
      <c r="O85" s="202"/>
      <c r="P85" s="202"/>
      <c r="Q85" s="202"/>
      <c r="R85" s="202"/>
      <c r="S85" s="202"/>
      <c r="T85" s="202"/>
      <c r="U85" s="202"/>
      <c r="V85" s="202"/>
      <c r="W85" s="197"/>
    </row>
    <row r="86" spans="2:23" ht="15" customHeight="1">
      <c r="D86" s="85" t="str">
        <f xml:space="preserve"> '2.1 Model setup'!K81</f>
        <v>5.2 Øvrige omkostninger</v>
      </c>
      <c r="K86" s="5" t="s">
        <v>3</v>
      </c>
      <c r="N86" s="1">
        <f xml:space="preserve"> '2.2 Generelle input'!N170</f>
        <v>1</v>
      </c>
      <c r="O86" s="202"/>
      <c r="P86" s="202"/>
      <c r="Q86" s="202"/>
      <c r="R86" s="202"/>
      <c r="S86" s="202"/>
      <c r="T86" s="202"/>
      <c r="U86" s="202"/>
      <c r="V86" s="202"/>
      <c r="W86" s="197"/>
    </row>
    <row r="87" spans="2:23" ht="15" customHeight="1">
      <c r="D87" s="85" t="str">
        <f xml:space="preserve"> '2.1 Model setup'!K82</f>
        <v>6.1 Afskrivninger på transformerstationer</v>
      </c>
      <c r="K87" s="5" t="s">
        <v>3</v>
      </c>
      <c r="N87" s="1">
        <f xml:space="preserve"> '2.2 Generelle input'!N171</f>
        <v>1</v>
      </c>
      <c r="O87" s="202"/>
      <c r="P87" s="202"/>
      <c r="Q87" s="202"/>
      <c r="R87" s="202"/>
      <c r="S87" s="202"/>
      <c r="T87" s="202"/>
      <c r="U87" s="202"/>
      <c r="V87" s="202"/>
      <c r="W87" s="197"/>
    </row>
    <row r="88" spans="2:23" ht="15" customHeight="1">
      <c r="D88" s="85" t="str">
        <f xml:space="preserve"> '2.1 Model setup'!K83</f>
        <v>6.2 Afskrivninger på netaktiver ekskl. målere og transformerstationer</v>
      </c>
      <c r="K88" s="5" t="s">
        <v>3</v>
      </c>
      <c r="N88" s="1">
        <f xml:space="preserve"> '2.2 Generelle input'!N172</f>
        <v>1</v>
      </c>
      <c r="O88" s="202"/>
      <c r="P88" s="202"/>
      <c r="Q88" s="202"/>
      <c r="R88" s="202"/>
      <c r="S88" s="202"/>
      <c r="T88" s="202"/>
      <c r="U88" s="202"/>
      <c r="V88" s="202"/>
      <c r="W88" s="197"/>
    </row>
    <row r="89" spans="2:23" ht="15" customHeight="1">
      <c r="D89" s="85" t="str">
        <f xml:space="preserve"> '2.1 Model setup'!K84</f>
        <v>6.3 Afskrivninger på målere</v>
      </c>
      <c r="K89" s="5" t="s">
        <v>3</v>
      </c>
      <c r="N89" s="1">
        <f xml:space="preserve"> '2.2 Generelle input'!N173</f>
        <v>1</v>
      </c>
      <c r="O89" s="202"/>
      <c r="P89" s="202"/>
      <c r="Q89" s="202"/>
      <c r="R89" s="202"/>
      <c r="S89" s="202"/>
      <c r="T89" s="202"/>
      <c r="U89" s="202"/>
      <c r="V89" s="202"/>
      <c r="W89" s="197"/>
    </row>
    <row r="90" spans="2:23" ht="15" customHeight="1">
      <c r="D90" s="85" t="str">
        <f xml:space="preserve"> '2.1 Model setup'!K85</f>
        <v>7.1 Transformerstationer (forrentning)</v>
      </c>
      <c r="K90" s="5" t="s">
        <v>3</v>
      </c>
      <c r="N90" s="1">
        <f xml:space="preserve"> '2.2 Generelle input'!N174</f>
        <v>1</v>
      </c>
      <c r="O90" s="202"/>
      <c r="P90" s="202"/>
      <c r="Q90" s="202"/>
      <c r="R90" s="202"/>
      <c r="S90" s="202"/>
      <c r="T90" s="202"/>
      <c r="U90" s="202"/>
      <c r="V90" s="202"/>
      <c r="W90" s="197"/>
    </row>
    <row r="91" spans="2:23" ht="15" customHeight="1">
      <c r="D91" s="85" t="str">
        <f xml:space="preserve"> '2.1 Model setup'!K86</f>
        <v>7.2 Netaktiver ekskl. målere og transformerstationer (forrentning)</v>
      </c>
      <c r="K91" s="5" t="s">
        <v>3</v>
      </c>
      <c r="N91" s="1">
        <f xml:space="preserve"> '2.2 Generelle input'!N175</f>
        <v>1</v>
      </c>
      <c r="O91" s="202"/>
      <c r="P91" s="202"/>
      <c r="Q91" s="202"/>
      <c r="R91" s="202"/>
      <c r="S91" s="202"/>
      <c r="T91" s="202"/>
      <c r="U91" s="202"/>
      <c r="V91" s="202"/>
      <c r="W91" s="197"/>
    </row>
    <row r="92" spans="2:23" ht="15" customHeight="1">
      <c r="D92" s="99" t="str">
        <f xml:space="preserve"> '2.1 Model setup'!K87</f>
        <v>7.3 Målere (forrentning)</v>
      </c>
      <c r="E92" s="27"/>
      <c r="F92" s="27"/>
      <c r="G92" s="27"/>
      <c r="H92" s="27"/>
      <c r="I92" s="27"/>
      <c r="J92" s="27"/>
      <c r="K92" s="32" t="s">
        <v>3</v>
      </c>
      <c r="L92" s="27"/>
      <c r="M92" s="27"/>
      <c r="N92" s="27">
        <f xml:space="preserve"> '2.2 Generelle input'!N176</f>
        <v>1</v>
      </c>
      <c r="O92" s="269"/>
      <c r="P92" s="269"/>
      <c r="Q92" s="269"/>
      <c r="R92" s="269"/>
      <c r="S92" s="269"/>
      <c r="T92" s="269"/>
      <c r="U92" s="269"/>
      <c r="V92" s="269"/>
      <c r="W92" s="270"/>
    </row>
    <row r="93" spans="2:23" ht="15" customHeight="1">
      <c r="D93" s="85"/>
      <c r="F93" s="86"/>
      <c r="G93" s="86"/>
      <c r="H93" s="86"/>
      <c r="I93" s="86"/>
      <c r="J93" s="86"/>
      <c r="K93" s="87"/>
      <c r="L93" s="85"/>
      <c r="M93" s="85"/>
      <c r="N93" s="86"/>
      <c r="O93" s="86"/>
      <c r="P93" s="86"/>
      <c r="Q93" s="86"/>
    </row>
    <row r="94" spans="2:23" ht="15" customHeight="1">
      <c r="D94" s="85"/>
      <c r="F94" s="86"/>
      <c r="G94" s="86"/>
      <c r="H94" s="86"/>
      <c r="I94" s="86"/>
      <c r="J94" s="86"/>
      <c r="K94" s="87"/>
      <c r="L94" s="85"/>
      <c r="M94" s="85"/>
      <c r="N94" s="86"/>
      <c r="O94" s="86"/>
      <c r="P94" s="86"/>
      <c r="Q94" s="86"/>
    </row>
    <row r="95" spans="2:23" ht="15" customHeight="1">
      <c r="D95" s="85"/>
      <c r="F95" s="86"/>
      <c r="G95" s="86"/>
      <c r="H95" s="86"/>
      <c r="I95" s="86"/>
      <c r="J95" s="86"/>
      <c r="K95" s="87"/>
      <c r="L95" s="85"/>
      <c r="M95" s="85"/>
      <c r="N95" s="86"/>
      <c r="O95" s="86"/>
      <c r="P95" s="86"/>
      <c r="Q95" s="86"/>
    </row>
    <row r="96" spans="2:23" s="475" customFormat="1" ht="15" customHeight="1">
      <c r="B96" s="479" t="str">
        <f xml:space="preserve"> COUNTA(B$10:B93) &amp; ") Byggeklodser"</f>
        <v>2) Byggeklodser</v>
      </c>
      <c r="C96" s="477"/>
      <c r="D96" s="478"/>
      <c r="K96" s="472"/>
    </row>
    <row r="98" spans="4:23" ht="15" customHeight="1">
      <c r="D98" s="88" t="s">
        <v>65</v>
      </c>
      <c r="E98" s="27"/>
      <c r="F98" s="27"/>
      <c r="G98" s="27"/>
      <c r="H98" s="27"/>
      <c r="I98" s="27"/>
      <c r="J98" s="27"/>
      <c r="K98" s="32"/>
      <c r="L98" s="27"/>
      <c r="M98" s="27"/>
      <c r="N98" s="27"/>
      <c r="O98" s="27"/>
      <c r="P98" s="27"/>
      <c r="Q98" s="27"/>
      <c r="R98" s="27"/>
      <c r="S98" s="27"/>
      <c r="T98" s="27"/>
      <c r="U98" s="27"/>
      <c r="V98" s="27"/>
      <c r="W98" s="185" t="s">
        <v>16</v>
      </c>
    </row>
    <row r="99" spans="4:23" ht="15" customHeight="1">
      <c r="D99" s="123" t="s">
        <v>240</v>
      </c>
      <c r="K99" s="5" t="s">
        <v>3</v>
      </c>
      <c r="O99" s="202"/>
      <c r="P99" s="202"/>
      <c r="Q99" s="202"/>
      <c r="R99" s="1">
        <f xml:space="preserve"> '2.3 Selskabsspecifikke input'!Q322 + '2.3 Selskabsspecifikke input'!R322</f>
        <v>0</v>
      </c>
      <c r="S99" s="1">
        <f xml:space="preserve"> '2.3 Selskabsspecifikke input'!S322</f>
        <v>0</v>
      </c>
      <c r="T99" s="1">
        <f xml:space="preserve"> '2.3 Selskabsspecifikke input'!T322</f>
        <v>0</v>
      </c>
      <c r="U99" s="1">
        <f xml:space="preserve"> '2.3 Selskabsspecifikke input'!U322</f>
        <v>0</v>
      </c>
      <c r="V99" s="1">
        <f xml:space="preserve"> '2.3 Selskabsspecifikke input'!V322</f>
        <v>0</v>
      </c>
      <c r="W99" s="4">
        <f xml:space="preserve"> SUM( R99:V99 )</f>
        <v>0</v>
      </c>
    </row>
    <row r="100" spans="4:23" ht="15" customHeight="1">
      <c r="D100" s="1" t="s">
        <v>242</v>
      </c>
      <c r="K100" s="5" t="s">
        <v>3</v>
      </c>
      <c r="O100" s="202"/>
      <c r="P100" s="202"/>
      <c r="Q100" s="202"/>
      <c r="R100" s="1">
        <f xml:space="preserve"> '2.3 Selskabsspecifikke input'!Q323 + '2.3 Selskabsspecifikke input'!R323</f>
        <v>0</v>
      </c>
      <c r="S100" s="1">
        <f xml:space="preserve"> '2.3 Selskabsspecifikke input'!S323</f>
        <v>0</v>
      </c>
      <c r="T100" s="1">
        <f xml:space="preserve"> '2.3 Selskabsspecifikke input'!T323</f>
        <v>0</v>
      </c>
      <c r="U100" s="1">
        <f xml:space="preserve"> '2.3 Selskabsspecifikke input'!U323</f>
        <v>0</v>
      </c>
      <c r="V100" s="1">
        <f xml:space="preserve"> '2.3 Selskabsspecifikke input'!V323</f>
        <v>0</v>
      </c>
      <c r="W100" s="4">
        <f xml:space="preserve"> SUM( R100:V100 )</f>
        <v>0</v>
      </c>
    </row>
    <row r="101" spans="4:23" ht="15" customHeight="1">
      <c r="D101" s="85" t="s">
        <v>243</v>
      </c>
      <c r="K101" s="5" t="s">
        <v>3</v>
      </c>
      <c r="O101" s="202"/>
      <c r="P101" s="202"/>
      <c r="Q101" s="202"/>
      <c r="R101" s="1">
        <f xml:space="preserve"> '2.3 Selskabsspecifikke input'!Q324 + '2.3 Selskabsspecifikke input'!R324</f>
        <v>0</v>
      </c>
      <c r="S101" s="1">
        <f xml:space="preserve"> '2.3 Selskabsspecifikke input'!S324</f>
        <v>0</v>
      </c>
      <c r="T101" s="1">
        <f xml:space="preserve"> '2.3 Selskabsspecifikke input'!T324</f>
        <v>0</v>
      </c>
      <c r="U101" s="1">
        <f xml:space="preserve"> '2.3 Selskabsspecifikke input'!U324</f>
        <v>0</v>
      </c>
      <c r="V101" s="1">
        <f xml:space="preserve"> '2.3 Selskabsspecifikke input'!V324</f>
        <v>0</v>
      </c>
      <c r="W101" s="4">
        <f xml:space="preserve"> SUM( R101:V101 )</f>
        <v>0</v>
      </c>
    </row>
    <row r="102" spans="4:23" ht="15" customHeight="1">
      <c r="D102" s="85" t="s">
        <v>241</v>
      </c>
      <c r="K102" s="5" t="s">
        <v>3</v>
      </c>
      <c r="O102" s="202"/>
      <c r="P102" s="202"/>
      <c r="Q102" s="202"/>
      <c r="R102" s="1">
        <f xml:space="preserve"> '2.3 Selskabsspecifikke input'!Q326 + '2.3 Selskabsspecifikke input'!R326</f>
        <v>0</v>
      </c>
      <c r="S102" s="1">
        <f xml:space="preserve"> '2.3 Selskabsspecifikke input'!S326</f>
        <v>0</v>
      </c>
      <c r="T102" s="1">
        <f xml:space="preserve"> '2.3 Selskabsspecifikke input'!T326</f>
        <v>0</v>
      </c>
      <c r="U102" s="1">
        <f xml:space="preserve"> '2.3 Selskabsspecifikke input'!U326</f>
        <v>0</v>
      </c>
      <c r="V102" s="1">
        <f xml:space="preserve"> '2.3 Selskabsspecifikke input'!V326</f>
        <v>0</v>
      </c>
      <c r="W102" s="4">
        <f xml:space="preserve"> SUM( R102:V102 )</f>
        <v>0</v>
      </c>
    </row>
    <row r="103" spans="4:23" ht="15" customHeight="1">
      <c r="D103" s="105" t="s">
        <v>16</v>
      </c>
      <c r="E103" s="33"/>
      <c r="F103" s="33"/>
      <c r="G103" s="33"/>
      <c r="H103" s="33"/>
      <c r="I103" s="33"/>
      <c r="J103" s="33"/>
      <c r="K103" s="187" t="s">
        <v>3</v>
      </c>
      <c r="L103" s="186"/>
      <c r="M103" s="186"/>
      <c r="N103" s="186"/>
      <c r="O103" s="388"/>
      <c r="P103" s="388"/>
      <c r="Q103" s="388"/>
      <c r="R103" s="186">
        <f t="shared" ref="R103:W103" si="0" xml:space="preserve"> SUM( R99:R102 )</f>
        <v>0</v>
      </c>
      <c r="S103" s="186">
        <f t="shared" si="0"/>
        <v>0</v>
      </c>
      <c r="T103" s="186">
        <f t="shared" si="0"/>
        <v>0</v>
      </c>
      <c r="U103" s="186">
        <f t="shared" si="0"/>
        <v>0</v>
      </c>
      <c r="V103" s="186">
        <f t="shared" si="0"/>
        <v>0</v>
      </c>
      <c r="W103" s="186">
        <f t="shared" si="0"/>
        <v>0</v>
      </c>
    </row>
    <row r="104" spans="4:23" ht="15" customHeight="1">
      <c r="D104" s="1"/>
    </row>
    <row r="106" spans="4:23" ht="15" customHeight="1">
      <c r="D106" s="35" t="s">
        <v>86</v>
      </c>
      <c r="E106" s="27"/>
      <c r="F106" s="27"/>
      <c r="G106" s="27"/>
      <c r="H106" s="27"/>
      <c r="I106" s="27"/>
      <c r="J106" s="27"/>
      <c r="K106" s="32"/>
      <c r="L106" s="27"/>
      <c r="M106" s="27"/>
      <c r="N106" s="27"/>
      <c r="O106" s="27"/>
      <c r="P106" s="27"/>
      <c r="Q106" s="27"/>
      <c r="R106" s="27"/>
      <c r="S106" s="27"/>
      <c r="T106" s="27"/>
      <c r="U106" s="27"/>
      <c r="V106" s="27"/>
      <c r="W106" s="185" t="s">
        <v>16</v>
      </c>
    </row>
    <row r="107" spans="4:23" ht="15" customHeight="1">
      <c r="D107" s="85" t="str">
        <f xml:space="preserve"> '2.1 Model setup'!K70</f>
        <v>1.1 Drift og vedligeholdelse af transformerstationer</v>
      </c>
      <c r="K107" s="5" t="str">
        <f t="shared" ref="K107:K125" si="1" xml:space="preserve"> Model.Units</f>
        <v>DKKt</v>
      </c>
      <c r="O107" s="202"/>
      <c r="P107" s="202"/>
      <c r="Q107" s="202"/>
      <c r="R107" s="1">
        <f xml:space="preserve"> '3.1 Opsplitning af forbrug'!R550</f>
        <v>0</v>
      </c>
      <c r="S107" s="1">
        <f xml:space="preserve"> '3.1 Opsplitning af forbrug'!S550</f>
        <v>0</v>
      </c>
      <c r="T107" s="1">
        <f xml:space="preserve"> '3.1 Opsplitning af forbrug'!T550</f>
        <v>0</v>
      </c>
      <c r="U107" s="1">
        <f xml:space="preserve"> '3.1 Opsplitning af forbrug'!U550</f>
        <v>0</v>
      </c>
      <c r="V107" s="1">
        <f xml:space="preserve"> '3.1 Opsplitning af forbrug'!V550</f>
        <v>0</v>
      </c>
      <c r="W107" s="4">
        <f t="shared" ref="W107:W124" si="2" xml:space="preserve"> SUM( R107:V107 )</f>
        <v>0</v>
      </c>
    </row>
    <row r="108" spans="4:23" ht="15" customHeight="1">
      <c r="D108" s="85" t="str">
        <f xml:space="preserve"> '2.1 Model setup'!K71</f>
        <v>1.2 Drift og vedligeholdelse af ledningsnet</v>
      </c>
      <c r="K108" s="5" t="str">
        <f t="shared" si="1"/>
        <v>DKKt</v>
      </c>
      <c r="O108" s="202"/>
      <c r="P108" s="202"/>
      <c r="Q108" s="202"/>
      <c r="R108" s="1">
        <f xml:space="preserve"> '3.1 Opsplitning af forbrug'!R551</f>
        <v>0</v>
      </c>
      <c r="S108" s="1">
        <f xml:space="preserve"> '3.1 Opsplitning af forbrug'!S551</f>
        <v>0</v>
      </c>
      <c r="T108" s="1">
        <f xml:space="preserve"> '3.1 Opsplitning af forbrug'!T551</f>
        <v>0</v>
      </c>
      <c r="U108" s="1">
        <f xml:space="preserve"> '3.1 Opsplitning af forbrug'!U551</f>
        <v>0</v>
      </c>
      <c r="V108" s="1">
        <f xml:space="preserve"> '3.1 Opsplitning af forbrug'!V551</f>
        <v>0</v>
      </c>
      <c r="W108" s="4">
        <f t="shared" si="2"/>
        <v>0</v>
      </c>
    </row>
    <row r="109" spans="4:23" ht="15" customHeight="1">
      <c r="D109" s="85" t="str">
        <f xml:space="preserve"> '2.1 Model setup'!K72</f>
        <v>1.3 Øvrige omkostninger til drift, styring og kontrol af elnettet</v>
      </c>
      <c r="K109" s="5" t="str">
        <f t="shared" si="1"/>
        <v>DKKt</v>
      </c>
      <c r="O109" s="202"/>
      <c r="P109" s="202"/>
      <c r="Q109" s="202"/>
      <c r="R109" s="1">
        <f xml:space="preserve"> '3.1 Opsplitning af forbrug'!R552</f>
        <v>0</v>
      </c>
      <c r="S109" s="1">
        <f xml:space="preserve"> '3.1 Opsplitning af forbrug'!S552</f>
        <v>0</v>
      </c>
      <c r="T109" s="1">
        <f xml:space="preserve"> '3.1 Opsplitning af forbrug'!T552</f>
        <v>0</v>
      </c>
      <c r="U109" s="1">
        <f xml:space="preserve"> '3.1 Opsplitning af forbrug'!U552</f>
        <v>0</v>
      </c>
      <c r="V109" s="1">
        <f xml:space="preserve"> '3.1 Opsplitning af forbrug'!V552</f>
        <v>0</v>
      </c>
      <c r="W109" s="4">
        <f t="shared" si="2"/>
        <v>0</v>
      </c>
    </row>
    <row r="110" spans="4:23" ht="15" customHeight="1">
      <c r="D110" s="85" t="str">
        <f xml:space="preserve"> '2.1 Model setup'!K73</f>
        <v>1.4 Omkostninger vedrørende 132-150/30-60 kV-stationer</v>
      </c>
      <c r="K110" s="5" t="str">
        <f t="shared" si="1"/>
        <v>DKKt</v>
      </c>
      <c r="O110" s="202"/>
      <c r="P110" s="202"/>
      <c r="Q110" s="202"/>
      <c r="R110" s="1">
        <f xml:space="preserve"> '3.1 Opsplitning af forbrug'!R553</f>
        <v>0</v>
      </c>
      <c r="S110" s="1">
        <f xml:space="preserve"> '3.1 Opsplitning af forbrug'!S553</f>
        <v>0</v>
      </c>
      <c r="T110" s="1">
        <f xml:space="preserve"> '3.1 Opsplitning af forbrug'!T553</f>
        <v>0</v>
      </c>
      <c r="U110" s="1">
        <f xml:space="preserve"> '3.1 Opsplitning af forbrug'!U553</f>
        <v>0</v>
      </c>
      <c r="V110" s="1">
        <f xml:space="preserve"> '3.1 Opsplitning af forbrug'!V553</f>
        <v>0</v>
      </c>
      <c r="W110" s="4">
        <f xml:space="preserve"> SUM( R110:V110 )</f>
        <v>0</v>
      </c>
    </row>
    <row r="111" spans="4:23" ht="15" customHeight="1">
      <c r="D111" s="85" t="str">
        <f xml:space="preserve"> '2.1 Model setup'!K74</f>
        <v>2.1 Drift og vedligeholdelse af målere</v>
      </c>
      <c r="K111" s="5" t="str">
        <f t="shared" si="1"/>
        <v>DKKt</v>
      </c>
      <c r="O111" s="202"/>
      <c r="P111" s="202"/>
      <c r="Q111" s="202"/>
      <c r="R111" s="1">
        <f xml:space="preserve"> '3.1 Opsplitning af forbrug'!R554</f>
        <v>0</v>
      </c>
      <c r="S111" s="1">
        <f xml:space="preserve"> '3.1 Opsplitning af forbrug'!S554</f>
        <v>0</v>
      </c>
      <c r="T111" s="1">
        <f xml:space="preserve"> '3.1 Opsplitning af forbrug'!T554</f>
        <v>0</v>
      </c>
      <c r="U111" s="1">
        <f xml:space="preserve"> '3.1 Opsplitning af forbrug'!U554</f>
        <v>0</v>
      </c>
      <c r="V111" s="1">
        <f xml:space="preserve"> '3.1 Opsplitning af forbrug'!V554</f>
        <v>0</v>
      </c>
      <c r="W111" s="4">
        <f t="shared" si="2"/>
        <v>0</v>
      </c>
    </row>
    <row r="112" spans="4:23" ht="15" customHeight="1">
      <c r="D112" s="85" t="str">
        <f xml:space="preserve"> '2.1 Model setup'!K75</f>
        <v>2.2 Indhentning og validering af målerdata</v>
      </c>
      <c r="K112" s="5" t="str">
        <f t="shared" si="1"/>
        <v>DKKt</v>
      </c>
      <c r="O112" s="202"/>
      <c r="P112" s="202"/>
      <c r="Q112" s="202"/>
      <c r="R112" s="1">
        <f xml:space="preserve"> '3.1 Opsplitning af forbrug'!R555</f>
        <v>0</v>
      </c>
      <c r="S112" s="1">
        <f xml:space="preserve"> '3.1 Opsplitning af forbrug'!S555</f>
        <v>0</v>
      </c>
      <c r="T112" s="1">
        <f xml:space="preserve"> '3.1 Opsplitning af forbrug'!T555</f>
        <v>0</v>
      </c>
      <c r="U112" s="1">
        <f xml:space="preserve"> '3.1 Opsplitning af forbrug'!U555</f>
        <v>0</v>
      </c>
      <c r="V112" s="1">
        <f xml:space="preserve"> '3.1 Opsplitning af forbrug'!V555</f>
        <v>0</v>
      </c>
      <c r="W112" s="4">
        <f t="shared" si="2"/>
        <v>0</v>
      </c>
    </row>
    <row r="113" spans="4:23" ht="15" customHeight="1">
      <c r="D113" s="85" t="str">
        <f xml:space="preserve"> '2.1 Model setup'!K76</f>
        <v>2.3 Måleradministration og kundehåndtering</v>
      </c>
      <c r="K113" s="5" t="str">
        <f t="shared" si="1"/>
        <v>DKKt</v>
      </c>
      <c r="O113" s="202"/>
      <c r="P113" s="202"/>
      <c r="Q113" s="202"/>
      <c r="R113" s="1">
        <f xml:space="preserve"> '3.1 Opsplitning af forbrug'!R556</f>
        <v>0</v>
      </c>
      <c r="S113" s="1">
        <f xml:space="preserve"> '3.1 Opsplitning af forbrug'!S556</f>
        <v>0</v>
      </c>
      <c r="T113" s="1">
        <f xml:space="preserve"> '3.1 Opsplitning af forbrug'!T556</f>
        <v>0</v>
      </c>
      <c r="U113" s="1">
        <f xml:space="preserve"> '3.1 Opsplitning af forbrug'!U556</f>
        <v>0</v>
      </c>
      <c r="V113" s="1">
        <f xml:space="preserve"> '3.1 Opsplitning af forbrug'!V556</f>
        <v>0</v>
      </c>
      <c r="W113" s="4">
        <f t="shared" si="2"/>
        <v>0</v>
      </c>
    </row>
    <row r="114" spans="4:23" ht="15" customHeight="1">
      <c r="D114" s="85" t="str">
        <f xml:space="preserve"> '2.1 Model setup'!K77</f>
        <v>3.1 Generel administration</v>
      </c>
      <c r="K114" s="5" t="str">
        <f t="shared" si="1"/>
        <v>DKKt</v>
      </c>
      <c r="O114" s="202"/>
      <c r="P114" s="202"/>
      <c r="Q114" s="202"/>
      <c r="R114" s="1">
        <f xml:space="preserve"> '3.1 Opsplitning af forbrug'!R557</f>
        <v>0</v>
      </c>
      <c r="S114" s="1">
        <f xml:space="preserve"> '3.1 Opsplitning af forbrug'!S557</f>
        <v>0</v>
      </c>
      <c r="T114" s="1">
        <f xml:space="preserve"> '3.1 Opsplitning af forbrug'!T557</f>
        <v>0</v>
      </c>
      <c r="U114" s="1">
        <f xml:space="preserve"> '3.1 Opsplitning af forbrug'!U557</f>
        <v>0</v>
      </c>
      <c r="V114" s="1">
        <f xml:space="preserve"> '3.1 Opsplitning af forbrug'!V557</f>
        <v>0</v>
      </c>
      <c r="W114" s="4">
        <f t="shared" si="2"/>
        <v>0</v>
      </c>
    </row>
    <row r="115" spans="4:23" ht="15" customHeight="1">
      <c r="D115" s="85" t="str">
        <f xml:space="preserve"> '2.1 Model setup'!K78</f>
        <v>4.1 Omkostninger vedrørende nettab i transformerstationer</v>
      </c>
      <c r="K115" s="5" t="str">
        <f t="shared" si="1"/>
        <v>DKKt</v>
      </c>
      <c r="O115" s="202"/>
      <c r="P115" s="202"/>
      <c r="Q115" s="202"/>
      <c r="R115" s="1">
        <f xml:space="preserve"> '3.1 Opsplitning af forbrug'!R558</f>
        <v>0</v>
      </c>
      <c r="S115" s="1">
        <f xml:space="preserve"> '3.1 Opsplitning af forbrug'!S558</f>
        <v>0</v>
      </c>
      <c r="T115" s="1">
        <f xml:space="preserve"> '3.1 Opsplitning af forbrug'!T558</f>
        <v>0</v>
      </c>
      <c r="U115" s="1">
        <f xml:space="preserve"> '3.1 Opsplitning af forbrug'!U558</f>
        <v>0</v>
      </c>
      <c r="V115" s="1">
        <f xml:space="preserve"> '3.1 Opsplitning af forbrug'!V558</f>
        <v>0</v>
      </c>
      <c r="W115" s="4">
        <f t="shared" si="2"/>
        <v>0</v>
      </c>
    </row>
    <row r="116" spans="4:23" ht="15" customHeight="1">
      <c r="D116" s="85" t="str">
        <f xml:space="preserve"> '2.1 Model setup'!K79</f>
        <v>4.2 Omkostninger vedrørende nettab i ledningsnettet</v>
      </c>
      <c r="K116" s="5" t="str">
        <f t="shared" si="1"/>
        <v>DKKt</v>
      </c>
      <c r="O116" s="202"/>
      <c r="P116" s="202"/>
      <c r="Q116" s="202"/>
      <c r="R116" s="1">
        <f xml:space="preserve"> '3.1 Opsplitning af forbrug'!R559</f>
        <v>0</v>
      </c>
      <c r="S116" s="1">
        <f xml:space="preserve"> '3.1 Opsplitning af forbrug'!S559</f>
        <v>0</v>
      </c>
      <c r="T116" s="1">
        <f xml:space="preserve"> '3.1 Opsplitning af forbrug'!T559</f>
        <v>0</v>
      </c>
      <c r="U116" s="1">
        <f xml:space="preserve"> '3.1 Opsplitning af forbrug'!U559</f>
        <v>0</v>
      </c>
      <c r="V116" s="1">
        <f xml:space="preserve"> '3.1 Opsplitning af forbrug'!V559</f>
        <v>0</v>
      </c>
      <c r="W116" s="4">
        <f t="shared" si="2"/>
        <v>0</v>
      </c>
    </row>
    <row r="117" spans="4:23" ht="15" customHeight="1">
      <c r="D117" s="85" t="str">
        <f xml:space="preserve"> '2.1 Model setup'!K80</f>
        <v>5.1 Omkostninger til overliggende net ifm. forbrug</v>
      </c>
      <c r="K117" s="5" t="str">
        <f t="shared" si="1"/>
        <v>DKKt</v>
      </c>
      <c r="O117" s="202"/>
      <c r="P117" s="202"/>
      <c r="Q117" s="202"/>
      <c r="R117" s="1">
        <f xml:space="preserve"> '3.1 Opsplitning af forbrug'!R560</f>
        <v>0</v>
      </c>
      <c r="S117" s="1">
        <f xml:space="preserve"> '3.1 Opsplitning af forbrug'!S560</f>
        <v>0</v>
      </c>
      <c r="T117" s="1">
        <f xml:space="preserve"> '3.1 Opsplitning af forbrug'!T560</f>
        <v>0</v>
      </c>
      <c r="U117" s="1">
        <f xml:space="preserve"> '3.1 Opsplitning af forbrug'!U560</f>
        <v>0</v>
      </c>
      <c r="V117" s="1">
        <f xml:space="preserve"> '3.1 Opsplitning af forbrug'!V560</f>
        <v>0</v>
      </c>
      <c r="W117" s="4">
        <f xml:space="preserve"> SUM( R117:V117 )</f>
        <v>0</v>
      </c>
    </row>
    <row r="118" spans="4:23" ht="15" customHeight="1">
      <c r="D118" s="85" t="str">
        <f xml:space="preserve"> '2.1 Model setup'!K81</f>
        <v>5.2 Øvrige omkostninger</v>
      </c>
      <c r="K118" s="5" t="str">
        <f t="shared" si="1"/>
        <v>DKKt</v>
      </c>
      <c r="O118" s="202"/>
      <c r="P118" s="202"/>
      <c r="Q118" s="202"/>
      <c r="R118" s="1">
        <f xml:space="preserve"> '3.1 Opsplitning af forbrug'!R561</f>
        <v>0</v>
      </c>
      <c r="S118" s="1">
        <f xml:space="preserve"> '3.1 Opsplitning af forbrug'!S561</f>
        <v>0</v>
      </c>
      <c r="T118" s="1">
        <f xml:space="preserve"> '3.1 Opsplitning af forbrug'!T561</f>
        <v>0</v>
      </c>
      <c r="U118" s="1">
        <f xml:space="preserve"> '3.1 Opsplitning af forbrug'!U561</f>
        <v>0</v>
      </c>
      <c r="V118" s="1">
        <f xml:space="preserve"> '3.1 Opsplitning af forbrug'!V561</f>
        <v>0</v>
      </c>
      <c r="W118" s="4">
        <f t="shared" si="2"/>
        <v>0</v>
      </c>
    </row>
    <row r="119" spans="4:23" ht="15" customHeight="1">
      <c r="D119" s="85" t="str">
        <f xml:space="preserve"> '2.1 Model setup'!K82</f>
        <v>6.1 Afskrivninger på transformerstationer</v>
      </c>
      <c r="K119" s="5" t="str">
        <f t="shared" si="1"/>
        <v>DKKt</v>
      </c>
      <c r="O119" s="202"/>
      <c r="P119" s="202"/>
      <c r="Q119" s="202"/>
      <c r="R119" s="1">
        <f xml:space="preserve"> '3.1 Opsplitning af forbrug'!R562</f>
        <v>0</v>
      </c>
      <c r="S119" s="1">
        <f xml:space="preserve"> '3.1 Opsplitning af forbrug'!S562</f>
        <v>0</v>
      </c>
      <c r="T119" s="1">
        <f xml:space="preserve"> '3.1 Opsplitning af forbrug'!T562</f>
        <v>0</v>
      </c>
      <c r="U119" s="1">
        <f xml:space="preserve"> '3.1 Opsplitning af forbrug'!U562</f>
        <v>0</v>
      </c>
      <c r="V119" s="1">
        <f xml:space="preserve"> '3.1 Opsplitning af forbrug'!V562</f>
        <v>0</v>
      </c>
      <c r="W119" s="4">
        <f t="shared" si="2"/>
        <v>0</v>
      </c>
    </row>
    <row r="120" spans="4:23" ht="15" customHeight="1">
      <c r="D120" s="85" t="str">
        <f xml:space="preserve"> '2.1 Model setup'!K83</f>
        <v>6.2 Afskrivninger på netaktiver ekskl. målere og transformerstationer</v>
      </c>
      <c r="K120" s="5" t="str">
        <f t="shared" si="1"/>
        <v>DKKt</v>
      </c>
      <c r="O120" s="202"/>
      <c r="P120" s="202"/>
      <c r="Q120" s="202"/>
      <c r="R120" s="1">
        <f xml:space="preserve"> '3.1 Opsplitning af forbrug'!R563</f>
        <v>0</v>
      </c>
      <c r="S120" s="1">
        <f xml:space="preserve"> '3.1 Opsplitning af forbrug'!S563</f>
        <v>0</v>
      </c>
      <c r="T120" s="1">
        <f xml:space="preserve"> '3.1 Opsplitning af forbrug'!T563</f>
        <v>0</v>
      </c>
      <c r="U120" s="1">
        <f xml:space="preserve"> '3.1 Opsplitning af forbrug'!U563</f>
        <v>0</v>
      </c>
      <c r="V120" s="1">
        <f xml:space="preserve"> '3.1 Opsplitning af forbrug'!V563</f>
        <v>0</v>
      </c>
      <c r="W120" s="4">
        <f t="shared" si="2"/>
        <v>0</v>
      </c>
    </row>
    <row r="121" spans="4:23" ht="15" customHeight="1">
      <c r="D121" s="85" t="str">
        <f xml:space="preserve"> '2.1 Model setup'!K84</f>
        <v>6.3 Afskrivninger på målere</v>
      </c>
      <c r="K121" s="5" t="str">
        <f t="shared" si="1"/>
        <v>DKKt</v>
      </c>
      <c r="O121" s="202"/>
      <c r="P121" s="202"/>
      <c r="Q121" s="202"/>
      <c r="R121" s="1">
        <f xml:space="preserve"> '3.1 Opsplitning af forbrug'!R564</f>
        <v>0</v>
      </c>
      <c r="S121" s="1">
        <f xml:space="preserve"> '3.1 Opsplitning af forbrug'!S564</f>
        <v>0</v>
      </c>
      <c r="T121" s="1">
        <f xml:space="preserve"> '3.1 Opsplitning af forbrug'!T564</f>
        <v>0</v>
      </c>
      <c r="U121" s="1">
        <f xml:space="preserve"> '3.1 Opsplitning af forbrug'!U564</f>
        <v>0</v>
      </c>
      <c r="V121" s="1">
        <f xml:space="preserve"> '3.1 Opsplitning af forbrug'!V564</f>
        <v>0</v>
      </c>
      <c r="W121" s="4">
        <f t="shared" si="2"/>
        <v>0</v>
      </c>
    </row>
    <row r="122" spans="4:23" ht="15" customHeight="1">
      <c r="D122" s="217" t="str">
        <f xml:space="preserve"> '2.1 Model setup'!K85</f>
        <v>7.1 Transformerstationer (forrentning)</v>
      </c>
      <c r="E122" s="218"/>
      <c r="F122" s="218"/>
      <c r="G122" s="218"/>
      <c r="H122" s="218"/>
      <c r="I122" s="218"/>
      <c r="J122" s="218"/>
      <c r="K122" s="219" t="str">
        <f t="shared" si="1"/>
        <v>DKKt</v>
      </c>
      <c r="L122" s="218"/>
      <c r="M122" s="218"/>
      <c r="N122" s="218"/>
      <c r="O122" s="399"/>
      <c r="P122" s="399"/>
      <c r="Q122" s="399"/>
      <c r="R122" s="218">
        <f xml:space="preserve"> '3.1 Opsplitning af forbrug'!R568</f>
        <v>0</v>
      </c>
      <c r="S122" s="218">
        <f xml:space="preserve"> '3.1 Opsplitning af forbrug'!S568</f>
        <v>0</v>
      </c>
      <c r="T122" s="218">
        <f xml:space="preserve"> '3.1 Opsplitning af forbrug'!T568</f>
        <v>0</v>
      </c>
      <c r="U122" s="218">
        <f xml:space="preserve"> '3.1 Opsplitning af forbrug'!U568</f>
        <v>0</v>
      </c>
      <c r="V122" s="218">
        <f xml:space="preserve"> '3.1 Opsplitning af forbrug'!V568</f>
        <v>0</v>
      </c>
      <c r="W122" s="319">
        <f t="shared" si="2"/>
        <v>0</v>
      </c>
    </row>
    <row r="123" spans="4:23" ht="15" customHeight="1">
      <c r="D123" s="85" t="str">
        <f xml:space="preserve"> '2.1 Model setup'!K86</f>
        <v>7.2 Netaktiver ekskl. målere og transformerstationer (forrentning)</v>
      </c>
      <c r="K123" s="5" t="str">
        <f t="shared" si="1"/>
        <v>DKKt</v>
      </c>
      <c r="O123" s="202"/>
      <c r="P123" s="202"/>
      <c r="Q123" s="202"/>
      <c r="R123" s="1">
        <f xml:space="preserve"> '3.1 Opsplitning af forbrug'!R569</f>
        <v>0</v>
      </c>
      <c r="S123" s="1">
        <f xml:space="preserve"> '3.1 Opsplitning af forbrug'!S569</f>
        <v>0</v>
      </c>
      <c r="T123" s="1">
        <f xml:space="preserve"> '3.1 Opsplitning af forbrug'!T569</f>
        <v>0</v>
      </c>
      <c r="U123" s="1">
        <f xml:space="preserve"> '3.1 Opsplitning af forbrug'!U569</f>
        <v>0</v>
      </c>
      <c r="V123" s="1">
        <f xml:space="preserve"> '3.1 Opsplitning af forbrug'!V569</f>
        <v>0</v>
      </c>
      <c r="W123" s="4">
        <f t="shared" si="2"/>
        <v>0</v>
      </c>
    </row>
    <row r="124" spans="4:23" ht="15" customHeight="1">
      <c r="D124" s="99" t="str">
        <f xml:space="preserve"> '2.1 Model setup'!K87</f>
        <v>7.3 Målere (forrentning)</v>
      </c>
      <c r="K124" s="5" t="str">
        <f t="shared" si="1"/>
        <v>DKKt</v>
      </c>
      <c r="O124" s="202"/>
      <c r="P124" s="202"/>
      <c r="Q124" s="202"/>
      <c r="R124" s="1">
        <f xml:space="preserve"> '3.1 Opsplitning af forbrug'!R570</f>
        <v>0</v>
      </c>
      <c r="S124" s="1">
        <f xml:space="preserve"> '3.1 Opsplitning af forbrug'!S570</f>
        <v>0</v>
      </c>
      <c r="T124" s="1">
        <f xml:space="preserve"> '3.1 Opsplitning af forbrug'!T570</f>
        <v>0</v>
      </c>
      <c r="U124" s="1">
        <f xml:space="preserve"> '3.1 Opsplitning af forbrug'!U570</f>
        <v>0</v>
      </c>
      <c r="V124" s="1">
        <f xml:space="preserve"> '3.1 Opsplitning af forbrug'!V570</f>
        <v>0</v>
      </c>
      <c r="W124" s="4">
        <f t="shared" si="2"/>
        <v>0</v>
      </c>
    </row>
    <row r="125" spans="4:23" ht="15" customHeight="1">
      <c r="D125" s="186" t="s">
        <v>16</v>
      </c>
      <c r="E125" s="33"/>
      <c r="F125" s="33"/>
      <c r="G125" s="33"/>
      <c r="H125" s="33"/>
      <c r="I125" s="33"/>
      <c r="J125" s="33"/>
      <c r="K125" s="187" t="str">
        <f t="shared" si="1"/>
        <v>DKKt</v>
      </c>
      <c r="L125" s="90" cm="1">
        <f t="array" ref="L125" xml:space="preserve"> -- ( SUMPRODUCT(-- ( ROUND( R125:W125, 5 ) &lt;&gt; ROUND( ('3.1 Opsplitning af forbrug'!R616:W616 + '3.1 Opsplitning af forbrug'!R617:W617 ), 5 ) ) ) &gt; 0 )</f>
        <v>0</v>
      </c>
      <c r="M125" s="186"/>
      <c r="N125" s="186"/>
      <c r="O125" s="388"/>
      <c r="P125" s="388"/>
      <c r="Q125" s="388"/>
      <c r="R125" s="186">
        <f t="shared" ref="R125:W125" si="3" xml:space="preserve"> SUM( R107:R124 )</f>
        <v>0</v>
      </c>
      <c r="S125" s="186">
        <f t="shared" si="3"/>
        <v>0</v>
      </c>
      <c r="T125" s="186">
        <f t="shared" si="3"/>
        <v>0</v>
      </c>
      <c r="U125" s="186">
        <f t="shared" si="3"/>
        <v>0</v>
      </c>
      <c r="V125" s="186">
        <f t="shared" si="3"/>
        <v>0</v>
      </c>
      <c r="W125" s="186">
        <f t="shared" si="3"/>
        <v>0</v>
      </c>
    </row>
    <row r="127" spans="4:23" ht="15" customHeight="1">
      <c r="D127" s="35" t="s">
        <v>109</v>
      </c>
      <c r="E127" s="27"/>
      <c r="F127" s="27"/>
      <c r="G127" s="27"/>
      <c r="H127" s="27"/>
      <c r="I127" s="27"/>
      <c r="J127" s="27"/>
      <c r="K127" s="32"/>
      <c r="L127" s="27"/>
      <c r="M127" s="27"/>
      <c r="N127" s="27"/>
      <c r="O127" s="27"/>
      <c r="P127" s="27"/>
      <c r="Q127" s="27"/>
      <c r="R127" s="27"/>
      <c r="S127" s="27"/>
      <c r="T127" s="27"/>
      <c r="U127" s="27"/>
      <c r="V127" s="27"/>
      <c r="W127" s="27"/>
    </row>
    <row r="128" spans="4:23" ht="15" customHeight="1">
      <c r="D128" s="85" t="str">
        <f xml:space="preserve"> '2.1 Model setup'!K70</f>
        <v>1.1 Drift og vedligeholdelse af transformerstationer</v>
      </c>
      <c r="K128" s="191" t="s">
        <v>134</v>
      </c>
      <c r="O128" s="202"/>
      <c r="P128" s="202"/>
      <c r="Q128" s="202"/>
      <c r="R128" s="121">
        <f t="shared" ref="R128:V137" si="4" xml:space="preserve"> IF(  ( $N15 * R$99 + $N35 * R$100 + $N55 * R$101 + $N75 * R$102 )  = 0, 0, R107 / ( $N15 * R$99 + $N35 * R$100 + $N55 * R$101 + $N75 * R$102 ) * tDKKtilDKK )</f>
        <v>0</v>
      </c>
      <c r="S128" s="121">
        <f t="shared" si="4"/>
        <v>0</v>
      </c>
      <c r="T128" s="121">
        <f t="shared" si="4"/>
        <v>0</v>
      </c>
      <c r="U128" s="121">
        <f t="shared" si="4"/>
        <v>0</v>
      </c>
      <c r="V128" s="121">
        <f t="shared" si="4"/>
        <v>0</v>
      </c>
      <c r="W128" s="121"/>
    </row>
    <row r="129" spans="4:23" ht="15" customHeight="1">
      <c r="D129" s="85" t="str">
        <f xml:space="preserve"> '2.1 Model setup'!K71</f>
        <v>1.2 Drift og vedligeholdelse af ledningsnet</v>
      </c>
      <c r="K129" s="5" t="s">
        <v>134</v>
      </c>
      <c r="O129" s="202"/>
      <c r="P129" s="202"/>
      <c r="Q129" s="202"/>
      <c r="R129" s="121">
        <f t="shared" si="4"/>
        <v>0</v>
      </c>
      <c r="S129" s="121">
        <f t="shared" si="4"/>
        <v>0</v>
      </c>
      <c r="T129" s="121">
        <f t="shared" si="4"/>
        <v>0</v>
      </c>
      <c r="U129" s="121">
        <f t="shared" si="4"/>
        <v>0</v>
      </c>
      <c r="V129" s="121">
        <f t="shared" si="4"/>
        <v>0</v>
      </c>
      <c r="W129" s="121"/>
    </row>
    <row r="130" spans="4:23" ht="15" customHeight="1">
      <c r="D130" s="85" t="str">
        <f xml:space="preserve"> '2.1 Model setup'!K72</f>
        <v>1.3 Øvrige omkostninger til drift, styring og kontrol af elnettet</v>
      </c>
      <c r="K130" s="5" t="s">
        <v>134</v>
      </c>
      <c r="O130" s="202"/>
      <c r="P130" s="202"/>
      <c r="Q130" s="202"/>
      <c r="R130" s="121">
        <f t="shared" si="4"/>
        <v>0</v>
      </c>
      <c r="S130" s="121">
        <f t="shared" si="4"/>
        <v>0</v>
      </c>
      <c r="T130" s="121">
        <f t="shared" si="4"/>
        <v>0</v>
      </c>
      <c r="U130" s="121">
        <f t="shared" si="4"/>
        <v>0</v>
      </c>
      <c r="V130" s="121">
        <f t="shared" si="4"/>
        <v>0</v>
      </c>
      <c r="W130" s="121"/>
    </row>
    <row r="131" spans="4:23" ht="15" customHeight="1">
      <c r="D131" s="85" t="str">
        <f xml:space="preserve"> '2.1 Model setup'!K73</f>
        <v>1.4 Omkostninger vedrørende 132-150/30-60 kV-stationer</v>
      </c>
      <c r="K131" s="5" t="s">
        <v>134</v>
      </c>
      <c r="O131" s="202"/>
      <c r="P131" s="202"/>
      <c r="Q131" s="202"/>
      <c r="R131" s="121">
        <f t="shared" si="4"/>
        <v>0</v>
      </c>
      <c r="S131" s="121">
        <f t="shared" si="4"/>
        <v>0</v>
      </c>
      <c r="T131" s="121">
        <f t="shared" si="4"/>
        <v>0</v>
      </c>
      <c r="U131" s="121">
        <f t="shared" si="4"/>
        <v>0</v>
      </c>
      <c r="V131" s="121">
        <f t="shared" si="4"/>
        <v>0</v>
      </c>
      <c r="W131" s="121"/>
    </row>
    <row r="132" spans="4:23" ht="15" customHeight="1">
      <c r="D132" s="85" t="str">
        <f xml:space="preserve"> '2.1 Model setup'!K74</f>
        <v>2.1 Drift og vedligeholdelse af målere</v>
      </c>
      <c r="K132" s="5" t="s">
        <v>134</v>
      </c>
      <c r="O132" s="202"/>
      <c r="P132" s="202"/>
      <c r="Q132" s="202"/>
      <c r="R132" s="121">
        <f t="shared" si="4"/>
        <v>0</v>
      </c>
      <c r="S132" s="121">
        <f t="shared" si="4"/>
        <v>0</v>
      </c>
      <c r="T132" s="121">
        <f t="shared" si="4"/>
        <v>0</v>
      </c>
      <c r="U132" s="121">
        <f t="shared" si="4"/>
        <v>0</v>
      </c>
      <c r="V132" s="121">
        <f t="shared" si="4"/>
        <v>0</v>
      </c>
      <c r="W132" s="121"/>
    </row>
    <row r="133" spans="4:23" ht="15" customHeight="1">
      <c r="D133" s="85" t="str">
        <f xml:space="preserve"> '2.1 Model setup'!K75</f>
        <v>2.2 Indhentning og validering af målerdata</v>
      </c>
      <c r="K133" s="5" t="s">
        <v>134</v>
      </c>
      <c r="O133" s="202"/>
      <c r="P133" s="202"/>
      <c r="Q133" s="202"/>
      <c r="R133" s="121">
        <f t="shared" si="4"/>
        <v>0</v>
      </c>
      <c r="S133" s="121">
        <f t="shared" si="4"/>
        <v>0</v>
      </c>
      <c r="T133" s="121">
        <f t="shared" si="4"/>
        <v>0</v>
      </c>
      <c r="U133" s="121">
        <f t="shared" si="4"/>
        <v>0</v>
      </c>
      <c r="V133" s="121">
        <f t="shared" si="4"/>
        <v>0</v>
      </c>
      <c r="W133" s="121"/>
    </row>
    <row r="134" spans="4:23" ht="15" customHeight="1">
      <c r="D134" s="85" t="str">
        <f xml:space="preserve"> '2.1 Model setup'!K76</f>
        <v>2.3 Måleradministration og kundehåndtering</v>
      </c>
      <c r="K134" s="5" t="s">
        <v>134</v>
      </c>
      <c r="O134" s="202"/>
      <c r="P134" s="202"/>
      <c r="Q134" s="202"/>
      <c r="R134" s="121">
        <f t="shared" si="4"/>
        <v>0</v>
      </c>
      <c r="S134" s="121">
        <f t="shared" si="4"/>
        <v>0</v>
      </c>
      <c r="T134" s="121">
        <f t="shared" si="4"/>
        <v>0</v>
      </c>
      <c r="U134" s="121">
        <f t="shared" si="4"/>
        <v>0</v>
      </c>
      <c r="V134" s="121">
        <f t="shared" si="4"/>
        <v>0</v>
      </c>
      <c r="W134" s="121"/>
    </row>
    <row r="135" spans="4:23" ht="15" customHeight="1">
      <c r="D135" s="85" t="str">
        <f xml:space="preserve"> '2.1 Model setup'!K77</f>
        <v>3.1 Generel administration</v>
      </c>
      <c r="K135" s="5" t="s">
        <v>134</v>
      </c>
      <c r="O135" s="202"/>
      <c r="P135" s="202"/>
      <c r="Q135" s="202"/>
      <c r="R135" s="121">
        <f t="shared" si="4"/>
        <v>0</v>
      </c>
      <c r="S135" s="121">
        <f t="shared" si="4"/>
        <v>0</v>
      </c>
      <c r="T135" s="121">
        <f t="shared" si="4"/>
        <v>0</v>
      </c>
      <c r="U135" s="121">
        <f t="shared" si="4"/>
        <v>0</v>
      </c>
      <c r="V135" s="121">
        <f t="shared" si="4"/>
        <v>0</v>
      </c>
      <c r="W135" s="121"/>
    </row>
    <row r="136" spans="4:23" ht="15" customHeight="1">
      <c r="D136" s="85" t="str">
        <f xml:space="preserve"> '2.1 Model setup'!K78</f>
        <v>4.1 Omkostninger vedrørende nettab i transformerstationer</v>
      </c>
      <c r="K136" s="5" t="s">
        <v>134</v>
      </c>
      <c r="O136" s="202"/>
      <c r="P136" s="202"/>
      <c r="Q136" s="202"/>
      <c r="R136" s="121">
        <f t="shared" si="4"/>
        <v>0</v>
      </c>
      <c r="S136" s="121">
        <f t="shared" si="4"/>
        <v>0</v>
      </c>
      <c r="T136" s="121">
        <f t="shared" si="4"/>
        <v>0</v>
      </c>
      <c r="U136" s="121">
        <f t="shared" si="4"/>
        <v>0</v>
      </c>
      <c r="V136" s="121">
        <f t="shared" si="4"/>
        <v>0</v>
      </c>
      <c r="W136" s="121"/>
    </row>
    <row r="137" spans="4:23" ht="15" customHeight="1">
      <c r="D137" s="85" t="str">
        <f xml:space="preserve"> '2.1 Model setup'!K79</f>
        <v>4.2 Omkostninger vedrørende nettab i ledningsnettet</v>
      </c>
      <c r="K137" s="5" t="s">
        <v>134</v>
      </c>
      <c r="O137" s="202"/>
      <c r="P137" s="202"/>
      <c r="Q137" s="202"/>
      <c r="R137" s="121">
        <f t="shared" si="4"/>
        <v>0</v>
      </c>
      <c r="S137" s="121">
        <f t="shared" si="4"/>
        <v>0</v>
      </c>
      <c r="T137" s="121">
        <f t="shared" si="4"/>
        <v>0</v>
      </c>
      <c r="U137" s="121">
        <f t="shared" si="4"/>
        <v>0</v>
      </c>
      <c r="V137" s="121">
        <f t="shared" si="4"/>
        <v>0</v>
      </c>
      <c r="W137" s="121"/>
    </row>
    <row r="138" spans="4:23" ht="15" customHeight="1">
      <c r="D138" s="85" t="str">
        <f xml:space="preserve"> '2.1 Model setup'!K80</f>
        <v>5.1 Omkostninger til overliggende net ifm. forbrug</v>
      </c>
      <c r="K138" s="5" t="s">
        <v>134</v>
      </c>
      <c r="O138" s="202"/>
      <c r="P138" s="202"/>
      <c r="Q138" s="202"/>
      <c r="R138" s="121">
        <f t="shared" ref="R138:V145" si="5" xml:space="preserve"> IF(  ( $N25 * R$99 + $N45 * R$100 + $N65 * R$101 + $N85 * R$102 )  = 0, 0, R117 / ( $N25 * R$99 + $N45 * R$100 + $N65 * R$101 + $N85 * R$102 ) * tDKKtilDKK )</f>
        <v>0</v>
      </c>
      <c r="S138" s="121">
        <f t="shared" si="5"/>
        <v>0</v>
      </c>
      <c r="T138" s="121">
        <f t="shared" si="5"/>
        <v>0</v>
      </c>
      <c r="U138" s="121">
        <f t="shared" si="5"/>
        <v>0</v>
      </c>
      <c r="V138" s="121">
        <f t="shared" si="5"/>
        <v>0</v>
      </c>
      <c r="W138" s="121"/>
    </row>
    <row r="139" spans="4:23" ht="15" customHeight="1">
      <c r="D139" s="85" t="str">
        <f xml:space="preserve"> '2.1 Model setup'!K81</f>
        <v>5.2 Øvrige omkostninger</v>
      </c>
      <c r="K139" s="5" t="s">
        <v>134</v>
      </c>
      <c r="O139" s="202"/>
      <c r="P139" s="202"/>
      <c r="Q139" s="202"/>
      <c r="R139" s="121">
        <f t="shared" si="5"/>
        <v>0</v>
      </c>
      <c r="S139" s="121">
        <f t="shared" si="5"/>
        <v>0</v>
      </c>
      <c r="T139" s="121">
        <f t="shared" si="5"/>
        <v>0</v>
      </c>
      <c r="U139" s="121">
        <f t="shared" si="5"/>
        <v>0</v>
      </c>
      <c r="V139" s="121">
        <f t="shared" si="5"/>
        <v>0</v>
      </c>
      <c r="W139" s="121"/>
    </row>
    <row r="140" spans="4:23" ht="15" customHeight="1">
      <c r="D140" s="85" t="str">
        <f xml:space="preserve"> '2.1 Model setup'!K82</f>
        <v>6.1 Afskrivninger på transformerstationer</v>
      </c>
      <c r="K140" s="5" t="s">
        <v>134</v>
      </c>
      <c r="O140" s="202"/>
      <c r="P140" s="202"/>
      <c r="Q140" s="202"/>
      <c r="R140" s="121">
        <f t="shared" si="5"/>
        <v>0</v>
      </c>
      <c r="S140" s="121">
        <f t="shared" si="5"/>
        <v>0</v>
      </c>
      <c r="T140" s="121">
        <f t="shared" si="5"/>
        <v>0</v>
      </c>
      <c r="U140" s="121">
        <f t="shared" si="5"/>
        <v>0</v>
      </c>
      <c r="V140" s="121">
        <f t="shared" si="5"/>
        <v>0</v>
      </c>
      <c r="W140" s="121"/>
    </row>
    <row r="141" spans="4:23" ht="15" customHeight="1">
      <c r="D141" s="85" t="str">
        <f xml:space="preserve"> '2.1 Model setup'!K83</f>
        <v>6.2 Afskrivninger på netaktiver ekskl. målere og transformerstationer</v>
      </c>
      <c r="K141" s="5" t="s">
        <v>134</v>
      </c>
      <c r="O141" s="202"/>
      <c r="P141" s="202"/>
      <c r="Q141" s="202"/>
      <c r="R141" s="121">
        <f t="shared" si="5"/>
        <v>0</v>
      </c>
      <c r="S141" s="121">
        <f t="shared" si="5"/>
        <v>0</v>
      </c>
      <c r="T141" s="121">
        <f t="shared" si="5"/>
        <v>0</v>
      </c>
      <c r="U141" s="121">
        <f t="shared" si="5"/>
        <v>0</v>
      </c>
      <c r="V141" s="121">
        <f t="shared" si="5"/>
        <v>0</v>
      </c>
      <c r="W141" s="121"/>
    </row>
    <row r="142" spans="4:23" ht="15" customHeight="1">
      <c r="D142" s="85" t="str">
        <f xml:space="preserve"> '2.1 Model setup'!K84</f>
        <v>6.3 Afskrivninger på målere</v>
      </c>
      <c r="K142" s="5" t="s">
        <v>134</v>
      </c>
      <c r="O142" s="202"/>
      <c r="P142" s="202"/>
      <c r="Q142" s="202"/>
      <c r="R142" s="121">
        <f t="shared" si="5"/>
        <v>0</v>
      </c>
      <c r="S142" s="121">
        <f t="shared" si="5"/>
        <v>0</v>
      </c>
      <c r="T142" s="121">
        <f t="shared" si="5"/>
        <v>0</v>
      </c>
      <c r="U142" s="121">
        <f t="shared" si="5"/>
        <v>0</v>
      </c>
      <c r="V142" s="121">
        <f t="shared" si="5"/>
        <v>0</v>
      </c>
      <c r="W142" s="121"/>
    </row>
    <row r="143" spans="4:23" ht="15" customHeight="1">
      <c r="D143" s="85" t="str">
        <f xml:space="preserve"> '2.1 Model setup'!K85</f>
        <v>7.1 Transformerstationer (forrentning)</v>
      </c>
      <c r="K143" s="5" t="s">
        <v>134</v>
      </c>
      <c r="O143" s="202"/>
      <c r="P143" s="202"/>
      <c r="Q143" s="202"/>
      <c r="R143" s="121">
        <f t="shared" si="5"/>
        <v>0</v>
      </c>
      <c r="S143" s="121">
        <f t="shared" si="5"/>
        <v>0</v>
      </c>
      <c r="T143" s="121">
        <f t="shared" si="5"/>
        <v>0</v>
      </c>
      <c r="U143" s="121">
        <f t="shared" si="5"/>
        <v>0</v>
      </c>
      <c r="V143" s="121">
        <f t="shared" si="5"/>
        <v>0</v>
      </c>
      <c r="W143" s="121"/>
    </row>
    <row r="144" spans="4:23" ht="15" customHeight="1">
      <c r="D144" s="85" t="str">
        <f xml:space="preserve"> '2.1 Model setup'!K86</f>
        <v>7.2 Netaktiver ekskl. målere og transformerstationer (forrentning)</v>
      </c>
      <c r="K144" s="5" t="s">
        <v>134</v>
      </c>
      <c r="O144" s="202"/>
      <c r="P144" s="202"/>
      <c r="Q144" s="202"/>
      <c r="R144" s="121">
        <f t="shared" si="5"/>
        <v>0</v>
      </c>
      <c r="S144" s="121">
        <f t="shared" si="5"/>
        <v>0</v>
      </c>
      <c r="T144" s="121">
        <f t="shared" si="5"/>
        <v>0</v>
      </c>
      <c r="U144" s="121">
        <f t="shared" si="5"/>
        <v>0</v>
      </c>
      <c r="V144" s="121">
        <f t="shared" si="5"/>
        <v>0</v>
      </c>
      <c r="W144" s="121"/>
    </row>
    <row r="145" spans="2:23" ht="15" customHeight="1">
      <c r="D145" s="99" t="str">
        <f xml:space="preserve"> '2.1 Model setup'!K87</f>
        <v>7.3 Målere (forrentning)</v>
      </c>
      <c r="E145" s="27"/>
      <c r="F145" s="27"/>
      <c r="G145" s="27"/>
      <c r="H145" s="27"/>
      <c r="I145" s="27"/>
      <c r="J145" s="27"/>
      <c r="K145" s="32" t="s">
        <v>134</v>
      </c>
      <c r="L145" s="27"/>
      <c r="M145" s="27"/>
      <c r="N145" s="27"/>
      <c r="O145" s="269"/>
      <c r="P145" s="269"/>
      <c r="Q145" s="269"/>
      <c r="R145" s="131">
        <f t="shared" si="5"/>
        <v>0</v>
      </c>
      <c r="S145" s="131">
        <f t="shared" si="5"/>
        <v>0</v>
      </c>
      <c r="T145" s="131">
        <f t="shared" si="5"/>
        <v>0</v>
      </c>
      <c r="U145" s="131">
        <f t="shared" si="5"/>
        <v>0</v>
      </c>
      <c r="V145" s="131">
        <f t="shared" si="5"/>
        <v>0</v>
      </c>
      <c r="W145" s="131"/>
    </row>
    <row r="149" spans="2:23" s="475" customFormat="1" ht="15" customHeight="1">
      <c r="B149" s="479" t="str">
        <f xml:space="preserve"> COUNTA(B$10:B146) &amp; ") Abonnnementspris"</f>
        <v>3) Abonnnementspris</v>
      </c>
      <c r="C149" s="477"/>
      <c r="D149" s="478"/>
      <c r="K149" s="472"/>
    </row>
    <row r="151" spans="2:23" ht="15" customHeight="1">
      <c r="D151" s="88" t="s">
        <v>110</v>
      </c>
    </row>
    <row r="152" spans="2:23" ht="15" customHeight="1">
      <c r="D152" s="123" t="s">
        <v>240</v>
      </c>
      <c r="E152" s="15"/>
      <c r="F152" s="15"/>
      <c r="G152" s="15"/>
      <c r="H152" s="15"/>
      <c r="I152" s="15"/>
      <c r="J152" s="15"/>
      <c r="K152" s="19" t="s">
        <v>134</v>
      </c>
      <c r="L152" s="15"/>
      <c r="M152" s="15"/>
      <c r="N152" s="15"/>
      <c r="O152" s="274"/>
      <c r="P152" s="274"/>
      <c r="Q152" s="274"/>
      <c r="R152" s="15" cm="1">
        <f t="array" ref="R152" xml:space="preserve"> MMULT( TRANSPOSE( $N$15:$N$32 ), R$128:R$145 )</f>
        <v>0</v>
      </c>
      <c r="S152" s="15" cm="1">
        <f t="array" ref="S152" xml:space="preserve"> MMULT( TRANSPOSE( $N$15:$N$32 ), S$128:S$145 )</f>
        <v>0</v>
      </c>
      <c r="T152" s="15" cm="1">
        <f t="array" ref="T152" xml:space="preserve"> MMULT( TRANSPOSE( $N$15:$N$32 ), T$128:T$145 )</f>
        <v>0</v>
      </c>
      <c r="U152" s="15" cm="1">
        <f t="array" ref="U152" xml:space="preserve"> MMULT( TRANSPOSE( $N$15:$N$32 ), U$128:U$145 )</f>
        <v>0</v>
      </c>
      <c r="V152" s="15" cm="1">
        <f t="array" ref="V152" xml:space="preserve"> MMULT( TRANSPOSE( $N$15:$N$32 ), V$128:V$145 )</f>
        <v>0</v>
      </c>
      <c r="W152" s="15"/>
    </row>
    <row r="153" spans="2:23" ht="15" customHeight="1">
      <c r="D153" s="1" t="s">
        <v>242</v>
      </c>
      <c r="K153" s="5" t="s">
        <v>134</v>
      </c>
      <c r="O153" s="202"/>
      <c r="P153" s="202"/>
      <c r="Q153" s="202"/>
      <c r="R153" s="1" cm="1">
        <f t="array" ref="R153" xml:space="preserve"> MMULT( TRANSPOSE( $N$35:$N$52 ), R$128:R$145 )</f>
        <v>0</v>
      </c>
      <c r="S153" s="1" cm="1">
        <f t="array" ref="S153" xml:space="preserve"> MMULT( TRANSPOSE( $N$35:$N$52 ), S$128:S$145 )</f>
        <v>0</v>
      </c>
      <c r="T153" s="1" cm="1">
        <f t="array" ref="T153" xml:space="preserve"> MMULT( TRANSPOSE( $N$35:$N$52 ), T$128:T$145 )</f>
        <v>0</v>
      </c>
      <c r="U153" s="1" cm="1">
        <f t="array" ref="U153" xml:space="preserve"> MMULT( TRANSPOSE( $N$35:$N$52 ), U$128:U$145 )</f>
        <v>0</v>
      </c>
      <c r="V153" s="1" cm="1">
        <f t="array" ref="V153" xml:space="preserve"> MMULT( TRANSPOSE( $N$35:$N$52 ), V$128:V$145 )</f>
        <v>0</v>
      </c>
    </row>
    <row r="154" spans="2:23" ht="15" customHeight="1">
      <c r="C154" s="1"/>
      <c r="D154" s="85" t="s">
        <v>243</v>
      </c>
      <c r="K154" s="5" t="s">
        <v>134</v>
      </c>
      <c r="O154" s="202"/>
      <c r="P154" s="202"/>
      <c r="Q154" s="202"/>
      <c r="R154" s="1" cm="1">
        <f t="array" ref="R154" xml:space="preserve"> MMULT( TRANSPOSE( $N$55:$N$72 ), R$128:R$145 )</f>
        <v>0</v>
      </c>
      <c r="S154" s="1" cm="1">
        <f t="array" ref="S154" xml:space="preserve"> MMULT( TRANSPOSE( $N$55:$N$72 ), S$128:S$145 )</f>
        <v>0</v>
      </c>
      <c r="T154" s="1" cm="1">
        <f t="array" ref="T154" xml:space="preserve"> MMULT( TRANSPOSE( $N$55:$N$72 ), T$128:T$145 )</f>
        <v>0</v>
      </c>
      <c r="U154" s="1" cm="1">
        <f t="array" ref="U154" xml:space="preserve"> MMULT( TRANSPOSE( $N$55:$N$72 ), U$128:U$145 )</f>
        <v>0</v>
      </c>
      <c r="V154" s="1" cm="1">
        <f t="array" ref="V154" xml:space="preserve"> MMULT( TRANSPOSE( $N$55:$N$72 ), V$128:V$145 )</f>
        <v>0</v>
      </c>
    </row>
    <row r="155" spans="2:23" ht="15" customHeight="1">
      <c r="D155" s="99" t="s">
        <v>241</v>
      </c>
      <c r="E155" s="27"/>
      <c r="F155" s="27"/>
      <c r="G155" s="27"/>
      <c r="H155" s="27"/>
      <c r="I155" s="27"/>
      <c r="J155" s="27"/>
      <c r="K155" s="32" t="s">
        <v>134</v>
      </c>
      <c r="L155" s="27"/>
      <c r="M155" s="27"/>
      <c r="N155" s="27"/>
      <c r="O155" s="269"/>
      <c r="P155" s="269"/>
      <c r="Q155" s="269"/>
      <c r="R155" s="27" cm="1">
        <f t="array" ref="R155" xml:space="preserve"> MMULT( TRANSPOSE( $N$75:$N$92 ), R$128:R$145 )</f>
        <v>0</v>
      </c>
      <c r="S155" s="27" cm="1">
        <f t="array" ref="S155" xml:space="preserve"> MMULT( TRANSPOSE( $N$75:$N$92 ), S$128:S$145 )</f>
        <v>0</v>
      </c>
      <c r="T155" s="27" cm="1">
        <f t="array" ref="T155" xml:space="preserve"> MMULT( TRANSPOSE( $N$75:$N$92 ), T$128:T$145 )</f>
        <v>0</v>
      </c>
      <c r="U155" s="27" cm="1">
        <f t="array" ref="U155" xml:space="preserve"> MMULT( TRANSPOSE( $N$75:$N$92 ), U$128:U$145 )</f>
        <v>0</v>
      </c>
      <c r="V155" s="27" cm="1">
        <f t="array" ref="V155" xml:space="preserve"> MMULT( TRANSPOSE( $N$75:$N$92 ), V$128:V$145 )</f>
        <v>0</v>
      </c>
      <c r="W155" s="27"/>
    </row>
    <row r="157" spans="2:23" ht="15" customHeight="1">
      <c r="D157" s="4" t="s">
        <v>301</v>
      </c>
      <c r="W157" s="89" t="s">
        <v>16</v>
      </c>
    </row>
    <row r="158" spans="2:23" ht="15" customHeight="1">
      <c r="D158" s="123" t="s">
        <v>240</v>
      </c>
      <c r="E158" s="15"/>
      <c r="F158" s="15"/>
      <c r="G158" s="15"/>
      <c r="H158" s="15"/>
      <c r="I158" s="15"/>
      <c r="J158" s="15"/>
      <c r="K158" s="19" t="str">
        <f xml:space="preserve"> Model.Units</f>
        <v>DKKt</v>
      </c>
      <c r="L158" s="15"/>
      <c r="M158" s="15"/>
      <c r="N158" s="15"/>
      <c r="O158" s="274"/>
      <c r="P158" s="274"/>
      <c r="Q158" s="274"/>
      <c r="R158" s="15">
        <f t="shared" ref="R158:V161" si="6" xml:space="preserve"> R99 * R152 / tDKKtilDKK</f>
        <v>0</v>
      </c>
      <c r="S158" s="15">
        <f t="shared" si="6"/>
        <v>0</v>
      </c>
      <c r="T158" s="15">
        <f t="shared" si="6"/>
        <v>0</v>
      </c>
      <c r="U158" s="15">
        <f t="shared" si="6"/>
        <v>0</v>
      </c>
      <c r="V158" s="15">
        <f t="shared" si="6"/>
        <v>0</v>
      </c>
      <c r="W158" s="18">
        <f xml:space="preserve"> SUM( R158:V158 )</f>
        <v>0</v>
      </c>
    </row>
    <row r="159" spans="2:23" ht="15" customHeight="1">
      <c r="D159" s="1" t="s">
        <v>242</v>
      </c>
      <c r="K159" s="5" t="str">
        <f xml:space="preserve"> Model.Units</f>
        <v>DKKt</v>
      </c>
      <c r="O159" s="202"/>
      <c r="P159" s="202"/>
      <c r="Q159" s="202"/>
      <c r="R159" s="1">
        <f t="shared" si="6"/>
        <v>0</v>
      </c>
      <c r="S159" s="1">
        <f t="shared" si="6"/>
        <v>0</v>
      </c>
      <c r="T159" s="1">
        <f t="shared" si="6"/>
        <v>0</v>
      </c>
      <c r="U159" s="1">
        <f t="shared" si="6"/>
        <v>0</v>
      </c>
      <c r="V159" s="1">
        <f t="shared" si="6"/>
        <v>0</v>
      </c>
      <c r="W159" s="4">
        <f xml:space="preserve"> SUM( R159:V159 )</f>
        <v>0</v>
      </c>
    </row>
    <row r="160" spans="2:23" ht="15" customHeight="1">
      <c r="C160" s="1"/>
      <c r="D160" s="85" t="s">
        <v>243</v>
      </c>
      <c r="K160" s="5" t="str">
        <f xml:space="preserve"> Model.Units</f>
        <v>DKKt</v>
      </c>
      <c r="O160" s="202"/>
      <c r="P160" s="202"/>
      <c r="Q160" s="202"/>
      <c r="R160" s="1">
        <f t="shared" si="6"/>
        <v>0</v>
      </c>
      <c r="S160" s="1">
        <f t="shared" si="6"/>
        <v>0</v>
      </c>
      <c r="T160" s="1">
        <f t="shared" si="6"/>
        <v>0</v>
      </c>
      <c r="U160" s="1">
        <f t="shared" si="6"/>
        <v>0</v>
      </c>
      <c r="V160" s="1">
        <f t="shared" si="6"/>
        <v>0</v>
      </c>
      <c r="W160" s="4">
        <f xml:space="preserve"> SUM( R160:V160 )</f>
        <v>0</v>
      </c>
    </row>
    <row r="161" spans="2:23" ht="15" customHeight="1">
      <c r="D161" s="85" t="s">
        <v>241</v>
      </c>
      <c r="K161" s="5" t="str">
        <f xml:space="preserve"> Model.Units</f>
        <v>DKKt</v>
      </c>
      <c r="O161" s="202"/>
      <c r="P161" s="202"/>
      <c r="Q161" s="202"/>
      <c r="R161" s="1">
        <f t="shared" si="6"/>
        <v>0</v>
      </c>
      <c r="S161" s="1">
        <f t="shared" si="6"/>
        <v>0</v>
      </c>
      <c r="T161" s="1">
        <f t="shared" si="6"/>
        <v>0</v>
      </c>
      <c r="U161" s="1">
        <f t="shared" si="6"/>
        <v>0</v>
      </c>
      <c r="V161" s="1">
        <f t="shared" si="6"/>
        <v>0</v>
      </c>
      <c r="W161" s="4">
        <f xml:space="preserve"> SUM( R161:V161 )</f>
        <v>0</v>
      </c>
    </row>
    <row r="162" spans="2:23" ht="15" customHeight="1">
      <c r="D162" s="105" t="s">
        <v>16</v>
      </c>
      <c r="E162" s="33"/>
      <c r="F162" s="33"/>
      <c r="G162" s="33"/>
      <c r="H162" s="33"/>
      <c r="I162" s="33"/>
      <c r="J162" s="33"/>
      <c r="K162" s="187" t="str">
        <f xml:space="preserve"> Model.Units</f>
        <v>DKKt</v>
      </c>
      <c r="L162" s="90" cm="1">
        <f t="array" ref="L162" xml:space="preserve"> -- ( SUMPRODUCT(-- ( ROUND( R162:W162, 5 ) &lt;&gt; ROUND( R125:W125, 5 )  ) ) &gt; 0 )</f>
        <v>0</v>
      </c>
      <c r="M162" s="33"/>
      <c r="N162" s="33"/>
      <c r="O162" s="271"/>
      <c r="P162" s="271"/>
      <c r="Q162" s="271"/>
      <c r="R162" s="186">
        <f t="shared" ref="R162:W162" si="7" xml:space="preserve"> SUM( R158:R161 )</f>
        <v>0</v>
      </c>
      <c r="S162" s="186">
        <f t="shared" si="7"/>
        <v>0</v>
      </c>
      <c r="T162" s="186">
        <f t="shared" si="7"/>
        <v>0</v>
      </c>
      <c r="U162" s="186">
        <f t="shared" si="7"/>
        <v>0</v>
      </c>
      <c r="V162" s="186">
        <f t="shared" si="7"/>
        <v>0</v>
      </c>
      <c r="W162" s="186">
        <f t="shared" si="7"/>
        <v>0</v>
      </c>
    </row>
    <row r="166" spans="2:23" s="475" customFormat="1" ht="15" customHeight="1">
      <c r="B166" s="479" t="s">
        <v>104</v>
      </c>
      <c r="C166" s="477"/>
      <c r="D166" s="478"/>
      <c r="K166" s="472"/>
    </row>
  </sheetData>
  <sheetProtection sheet="1" objects="1" scenarios="1"/>
  <conditionalFormatting sqref="I4:I5">
    <cfRule type="cellIs" dxfId="396" priority="25" operator="between">
      <formula>-ErrorTolerance</formula>
      <formula>ErrorTolerance</formula>
    </cfRule>
  </conditionalFormatting>
  <conditionalFormatting sqref="J2:Q3 B2:E3">
    <cfRule type="expression" dxfId="395" priority="26">
      <formula>$I$4&lt;ErrorTolerance</formula>
    </cfRule>
  </conditionalFormatting>
  <conditionalFormatting sqref="B3">
    <cfRule type="expression" dxfId="394" priority="82">
      <formula>$I$5&gt;=ErrorTolerance</formula>
    </cfRule>
  </conditionalFormatting>
  <conditionalFormatting sqref="L125">
    <cfRule type="cellIs" dxfId="393" priority="20" operator="greaterThan">
      <formula>0</formula>
    </cfRule>
  </conditionalFormatting>
  <conditionalFormatting sqref="L162">
    <cfRule type="cellIs" dxfId="392" priority="19" operator="greaterThan">
      <formula>0</formula>
    </cfRule>
  </conditionalFormatting>
  <conditionalFormatting sqref="I6">
    <cfRule type="cellIs" dxfId="391" priority="18" operator="between">
      <formula>-ErrorTolerance</formula>
      <formula>ErrorTolerance</formula>
    </cfRule>
  </conditionalFormatting>
  <conditionalFormatting sqref="I7">
    <cfRule type="cellIs" dxfId="390" priority="17" operator="between">
      <formula>-ErrorTolerance</formula>
      <formula>ErrorTolerance</formula>
    </cfRule>
  </conditionalFormatting>
  <conditionalFormatting sqref="H2">
    <cfRule type="expression" dxfId="389" priority="8">
      <formula>Model.Navigation.View=No</formula>
    </cfRule>
  </conditionalFormatting>
  <conditionalFormatting sqref="H2">
    <cfRule type="expression" dxfId="388" priority="7">
      <formula>Model.Navigation.View=No</formula>
    </cfRule>
  </conditionalFormatting>
  <conditionalFormatting sqref="F2">
    <cfRule type="expression" dxfId="387" priority="6">
      <formula>Model.Navigation.View=No</formula>
    </cfRule>
  </conditionalFormatting>
  <conditionalFormatting sqref="F2">
    <cfRule type="expression" dxfId="386" priority="5">
      <formula>Model.Navigation.View=No</formula>
    </cfRule>
  </conditionalFormatting>
  <conditionalFormatting sqref="I2">
    <cfRule type="expression" dxfId="385" priority="4">
      <formula>Model.Navigation.View=No</formula>
    </cfRule>
  </conditionalFormatting>
  <conditionalFormatting sqref="I2">
    <cfRule type="expression" dxfId="384" priority="3">
      <formula>Model.Navigation.View=No</formula>
    </cfRule>
  </conditionalFormatting>
  <conditionalFormatting sqref="G2">
    <cfRule type="expression" dxfId="383" priority="2">
      <formula>Model.Navigation.View=No</formula>
    </cfRule>
  </conditionalFormatting>
  <conditionalFormatting sqref="G2">
    <cfRule type="expression" dxfId="382" priority="1">
      <formula>Model.Navigation.View=No</formula>
    </cfRule>
  </conditionalFormatting>
  <hyperlinks>
    <hyperlink ref="G2" location="'3.2 Abonnement'!B11" tooltip="Gå til toppen af arket" display="'3.2 Abonnement'!B11" xr:uid="{AF19B934-24EE-424A-9A7C-AC196DB86018}"/>
    <hyperlink ref="H2" location="'2.3 Selskabsspecifikke input'!B2" tooltip="Gå til selskabsspecifikke input" display="'2.3 Selskabsspecifikke input'!B2" xr:uid="{ABC1B54B-1922-4E81-8B61-B72D1940C6A0}"/>
    <hyperlink ref="F2" location="Modeloverblik!B2" tooltip="Gå til modelbeskrivelse" display="Modeloverblik!B2" xr:uid="{2C9E8CBA-C2F6-42F9-965E-27AD0796A3AB}"/>
    <hyperlink ref="I2" location="'4.1 Fejl- og kontroloversigt'!B2" tooltip="Gå til fejl- og kontrolchecks" display="'4.1 Fejl- og kontroloversigt'!B2" xr:uid="{8060D181-5B85-46BA-B670-6A4D198682F3}"/>
  </hyperlinks>
  <pageMargins left="0.70866141732283472" right="0.70866141732283472" top="0.74803149606299213" bottom="0.74803149606299213" header="0.31496062992125984" footer="0.31496062992125984"/>
  <pageSetup paperSize="9" scale="56"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0BA77-0395-4460-B9F8-672A33F7521C}">
  <sheetPr codeName="Sheet28">
    <tabColor rgb="FF966432"/>
    <outlinePr summaryBelow="0"/>
    <pageSetUpPr fitToPage="1"/>
  </sheetPr>
  <dimension ref="A1:BV988"/>
  <sheetViews>
    <sheetView showGridLines="0" zoomScale="85" zoomScaleNormal="85" workbookViewId="0">
      <pane xSplit="14" ySplit="10" topLeftCell="O11" activePane="bottomRight" state="frozen"/>
      <selection activeCell="C6" sqref="C6"/>
      <selection pane="topRight" activeCell="C6" sqref="C6"/>
      <selection pane="bottomLeft" activeCell="C6" sqref="C6"/>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16" width="17" style="1" hidden="1" customWidth="1"/>
    <col min="17" max="17" width="18.6640625" style="1" hidden="1" customWidth="1"/>
    <col min="18" max="24" width="18.6640625" style="1" customWidth="1"/>
    <col min="25" max="74" width="16.6640625" style="1" hidden="1" customWidth="1"/>
    <col min="75" max="16384" width="9.1640625" style="1" hidden="1"/>
  </cols>
  <sheetData>
    <row r="1" spans="2:23" ht="4.9000000000000004" customHeight="1"/>
    <row r="2" spans="2:23" ht="19.899999999999999" customHeight="1">
      <c r="B2" s="6" t="str">
        <f ca="1" xml:space="preserve"> MID( CELL("filename", B2), FIND("]", CELL("filename",B2) ) + 1, Model.MaxChars)</f>
        <v>3.3 Forbrugstariffer og effekt</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2:23" ht="15" customHeight="1">
      <c r="B3" s="330" t="str">
        <f xml:space="preserve"> Header.Details</f>
        <v xml:space="preserve">Tarifmodel 3.0 og producentbetaling (V2) </v>
      </c>
      <c r="C3" s="7"/>
      <c r="D3" s="8"/>
      <c r="E3" s="9"/>
      <c r="F3" s="82" t="s">
        <v>2</v>
      </c>
      <c r="G3" s="16"/>
      <c r="H3" s="17"/>
      <c r="I3" s="83"/>
      <c r="J3" s="22"/>
      <c r="K3" s="24"/>
      <c r="L3" s="22"/>
      <c r="M3" s="22"/>
      <c r="N3" s="22"/>
      <c r="O3" s="22"/>
      <c r="P3" s="22"/>
      <c r="Q3" s="22"/>
    </row>
    <row r="4" spans="2:23" ht="15" customHeight="1">
      <c r="F4" s="74" t="s">
        <v>274</v>
      </c>
      <c r="G4" s="2"/>
      <c r="I4" s="25">
        <f xml:space="preserve"> SUM(L:L)</f>
        <v>0</v>
      </c>
    </row>
    <row r="5" spans="2:23" ht="15" customHeight="1">
      <c r="F5" s="74" t="s">
        <v>275</v>
      </c>
      <c r="G5" s="2"/>
      <c r="I5" s="84">
        <f xml:space="preserve"> SUM(M:M)</f>
        <v>0</v>
      </c>
    </row>
    <row r="6" spans="2:23" ht="15" customHeight="1">
      <c r="F6" s="74" t="s">
        <v>276</v>
      </c>
      <c r="G6" s="2"/>
      <c r="I6" s="25">
        <f xml:space="preserve"> SUM( L:L ) + SUM( '1.1 Provenu'!L:L ) + SUM( '1.2 Tarifoversigt'!L:L) + SUM( '1.3 Varslingsanalyse'!L:L) + SUM( '1.4 Hoveddata'!L:L) + SUM('2.1 Model setup'!L:L ) + SUM('2.2 Generelle input'!L:L ) + SUM( '2.3 Selskabsspecifikke input'!L:L) + SUM( '3.1 Opsplitning af forbrug'!L:L) + SUM( '3.2 Abonnement'!L:L) + SUM( '3.4 Tidsdifferentieret tarif'!L:L) + SUM('3.5 Indfødningstarif'!L:L)+ SUM( 'Hjælpeark, forbrugsnøgler'!L:L) + SUM( 'Hjælpeark, fall-back-metoden'!L:L )</f>
        <v>0</v>
      </c>
    </row>
    <row r="7" spans="2:23" ht="15" customHeight="1">
      <c r="F7" s="75" t="s">
        <v>236</v>
      </c>
      <c r="G7" s="26"/>
      <c r="H7" s="27"/>
      <c r="I7" s="329">
        <f xml:space="preserve"> '1.3 Varslingsanalyse'!I7</f>
        <v>0</v>
      </c>
    </row>
    <row r="8" spans="2:23" ht="15" customHeight="1">
      <c r="L8" s="484" t="str">
        <f xml:space="preserve"> Header.Labels</f>
        <v>Checks</v>
      </c>
      <c r="M8" s="484"/>
    </row>
    <row r="9" spans="2:23" ht="5.0999999999999996" customHeight="1">
      <c r="E9" s="14"/>
      <c r="F9" s="28"/>
      <c r="G9" s="28"/>
      <c r="H9" s="28"/>
      <c r="I9" s="28"/>
      <c r="J9" s="28"/>
      <c r="L9" s="485"/>
      <c r="M9" s="473"/>
      <c r="N9" s="28"/>
      <c r="O9" s="28"/>
      <c r="P9" s="28"/>
      <c r="Q9" s="28"/>
    </row>
    <row r="10" spans="2:23"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2:23" s="15" customFormat="1" ht="15" customHeight="1">
      <c r="C11" s="16"/>
      <c r="D11" s="17"/>
      <c r="F11" s="1"/>
      <c r="K11" s="19"/>
    </row>
    <row r="12" spans="2:23" s="475" customFormat="1" ht="15" customHeight="1">
      <c r="B12" s="479" t="str">
        <f xml:space="preserve"> COUNTA(B$10:B11) &amp; ") Allokeringsmæssig differentiering"</f>
        <v>1) Allokeringsmæssig differentiering</v>
      </c>
      <c r="C12" s="477"/>
      <c r="D12" s="478"/>
      <c r="K12" s="472"/>
    </row>
    <row r="14" spans="2:23" ht="15" customHeight="1">
      <c r="D14" s="35" t="s">
        <v>294</v>
      </c>
      <c r="E14" s="27"/>
      <c r="F14" s="27"/>
      <c r="G14" s="27"/>
      <c r="H14" s="27"/>
      <c r="I14" s="27"/>
      <c r="J14" s="27"/>
      <c r="K14" s="32"/>
      <c r="L14" s="27"/>
      <c r="M14" s="27"/>
      <c r="N14" s="27"/>
      <c r="O14" s="27"/>
      <c r="P14" s="27"/>
      <c r="Q14" s="27"/>
      <c r="R14" s="27"/>
      <c r="S14" s="27"/>
      <c r="T14" s="27"/>
      <c r="U14" s="27"/>
      <c r="V14" s="27"/>
      <c r="W14" s="185" t="s">
        <v>16</v>
      </c>
    </row>
    <row r="15" spans="2:23" ht="15" customHeight="1">
      <c r="D15" s="85" t="str">
        <f xml:space="preserve"> '2.1 Model setup'!K70</f>
        <v>1.1 Drift og vedligeholdelse af transformerstationer</v>
      </c>
      <c r="K15" s="5" t="str">
        <f t="shared" ref="K15:K30" si="0" xml:space="preserve"> Model.Units</f>
        <v>DKKt</v>
      </c>
      <c r="O15" s="202"/>
      <c r="P15" s="202"/>
      <c r="Q15" s="202"/>
      <c r="R15" s="1">
        <f xml:space="preserve"> '3.1 Opsplitning af forbrug'!R574</f>
        <v>0</v>
      </c>
      <c r="S15" s="1">
        <f xml:space="preserve"> '3.1 Opsplitning af forbrug'!S574</f>
        <v>0</v>
      </c>
      <c r="T15" s="1">
        <f xml:space="preserve"> '3.1 Opsplitning af forbrug'!T574</f>
        <v>0</v>
      </c>
      <c r="U15" s="1">
        <f xml:space="preserve"> '3.1 Opsplitning af forbrug'!U574</f>
        <v>0</v>
      </c>
      <c r="V15" s="1">
        <f xml:space="preserve"> '3.1 Opsplitning af forbrug'!V574</f>
        <v>0</v>
      </c>
      <c r="W15" s="4">
        <f t="shared" ref="W15:W29" si="1" xml:space="preserve"> SUM( R15:V15 )</f>
        <v>0</v>
      </c>
    </row>
    <row r="16" spans="2:23" ht="15" customHeight="1">
      <c r="D16" s="85" t="str">
        <f xml:space="preserve"> '2.1 Model setup'!K71</f>
        <v>1.2 Drift og vedligeholdelse af ledningsnet</v>
      </c>
      <c r="K16" s="5" t="str">
        <f t="shared" si="0"/>
        <v>DKKt</v>
      </c>
      <c r="O16" s="202"/>
      <c r="P16" s="202"/>
      <c r="Q16" s="202"/>
      <c r="R16" s="1">
        <f xml:space="preserve"> '3.1 Opsplitning af forbrug'!R575</f>
        <v>0</v>
      </c>
      <c r="S16" s="1">
        <f xml:space="preserve"> '3.1 Opsplitning af forbrug'!S575</f>
        <v>0</v>
      </c>
      <c r="T16" s="1">
        <f xml:space="preserve"> '3.1 Opsplitning af forbrug'!T575</f>
        <v>0</v>
      </c>
      <c r="U16" s="1">
        <f xml:space="preserve"> '3.1 Opsplitning af forbrug'!U575</f>
        <v>0</v>
      </c>
      <c r="V16" s="1">
        <f xml:space="preserve"> '3.1 Opsplitning af forbrug'!V575</f>
        <v>0</v>
      </c>
      <c r="W16" s="4">
        <f t="shared" si="1"/>
        <v>0</v>
      </c>
    </row>
    <row r="17" spans="4:23" ht="15" customHeight="1">
      <c r="D17" s="85" t="str">
        <f xml:space="preserve"> '2.1 Model setup'!K72</f>
        <v>1.3 Øvrige omkostninger til drift, styring og kontrol af elnettet</v>
      </c>
      <c r="K17" s="5" t="str">
        <f t="shared" si="0"/>
        <v>DKKt</v>
      </c>
      <c r="O17" s="202"/>
      <c r="P17" s="202"/>
      <c r="Q17" s="202"/>
      <c r="R17" s="1">
        <f xml:space="preserve"> '3.1 Opsplitning af forbrug'!R576</f>
        <v>0</v>
      </c>
      <c r="S17" s="1">
        <f xml:space="preserve"> '3.1 Opsplitning af forbrug'!S576</f>
        <v>0</v>
      </c>
      <c r="T17" s="1">
        <f xml:space="preserve"> '3.1 Opsplitning af forbrug'!T576</f>
        <v>0</v>
      </c>
      <c r="U17" s="1">
        <f xml:space="preserve"> '3.1 Opsplitning af forbrug'!U576</f>
        <v>0</v>
      </c>
      <c r="V17" s="1">
        <f xml:space="preserve"> '3.1 Opsplitning af forbrug'!V576</f>
        <v>0</v>
      </c>
      <c r="W17" s="4">
        <f t="shared" si="1"/>
        <v>0</v>
      </c>
    </row>
    <row r="18" spans="4:23" ht="15" customHeight="1">
      <c r="D18" s="85" t="str">
        <f xml:space="preserve"> '2.1 Model setup'!K73</f>
        <v>1.4 Omkostninger vedrørende 132-150/30-60 kV-stationer</v>
      </c>
      <c r="K18" s="5" t="str">
        <f t="shared" si="0"/>
        <v>DKKt</v>
      </c>
      <c r="O18" s="202"/>
      <c r="P18" s="202"/>
      <c r="Q18" s="202"/>
      <c r="R18" s="1">
        <f xml:space="preserve"> '3.1 Opsplitning af forbrug'!R577</f>
        <v>0</v>
      </c>
      <c r="S18" s="1">
        <f xml:space="preserve"> '3.1 Opsplitning af forbrug'!S577</f>
        <v>0</v>
      </c>
      <c r="T18" s="1">
        <f xml:space="preserve"> '3.1 Opsplitning af forbrug'!T577</f>
        <v>0</v>
      </c>
      <c r="U18" s="1">
        <f xml:space="preserve"> '3.1 Opsplitning af forbrug'!U577</f>
        <v>0</v>
      </c>
      <c r="V18" s="1">
        <f xml:space="preserve"> '3.1 Opsplitning af forbrug'!V577</f>
        <v>0</v>
      </c>
      <c r="W18" s="4">
        <f xml:space="preserve"> SUM( R18:V18 )</f>
        <v>0</v>
      </c>
    </row>
    <row r="19" spans="4:23" ht="15" customHeight="1">
      <c r="D19" s="85" t="str">
        <f xml:space="preserve"> '2.1 Model setup'!K74</f>
        <v>2.1 Drift og vedligeholdelse af målere</v>
      </c>
      <c r="K19" s="5" t="str">
        <f t="shared" si="0"/>
        <v>DKKt</v>
      </c>
      <c r="O19" s="202"/>
      <c r="P19" s="202"/>
      <c r="Q19" s="202"/>
      <c r="R19" s="1">
        <f xml:space="preserve"> '3.1 Opsplitning af forbrug'!R578</f>
        <v>0</v>
      </c>
      <c r="S19" s="1">
        <f xml:space="preserve"> '3.1 Opsplitning af forbrug'!S578</f>
        <v>0</v>
      </c>
      <c r="T19" s="1">
        <f xml:space="preserve"> '3.1 Opsplitning af forbrug'!T578</f>
        <v>0</v>
      </c>
      <c r="U19" s="1">
        <f xml:space="preserve"> '3.1 Opsplitning af forbrug'!U578</f>
        <v>0</v>
      </c>
      <c r="V19" s="1">
        <f xml:space="preserve"> '3.1 Opsplitning af forbrug'!V578</f>
        <v>0</v>
      </c>
      <c r="W19" s="4">
        <f t="shared" si="1"/>
        <v>0</v>
      </c>
    </row>
    <row r="20" spans="4:23" ht="15" customHeight="1">
      <c r="D20" s="85" t="str">
        <f xml:space="preserve"> '2.1 Model setup'!K75</f>
        <v>2.2 Indhentning og validering af målerdata</v>
      </c>
      <c r="K20" s="5" t="str">
        <f t="shared" si="0"/>
        <v>DKKt</v>
      </c>
      <c r="O20" s="202"/>
      <c r="P20" s="202"/>
      <c r="Q20" s="202"/>
      <c r="R20" s="1">
        <f xml:space="preserve"> '3.1 Opsplitning af forbrug'!R579</f>
        <v>0</v>
      </c>
      <c r="S20" s="1">
        <f xml:space="preserve"> '3.1 Opsplitning af forbrug'!S579</f>
        <v>0</v>
      </c>
      <c r="T20" s="1">
        <f xml:space="preserve"> '3.1 Opsplitning af forbrug'!T579</f>
        <v>0</v>
      </c>
      <c r="U20" s="1">
        <f xml:space="preserve"> '3.1 Opsplitning af forbrug'!U579</f>
        <v>0</v>
      </c>
      <c r="V20" s="1">
        <f xml:space="preserve"> '3.1 Opsplitning af forbrug'!V579</f>
        <v>0</v>
      </c>
      <c r="W20" s="4">
        <f t="shared" si="1"/>
        <v>0</v>
      </c>
    </row>
    <row r="21" spans="4:23" ht="15" customHeight="1">
      <c r="D21" s="85" t="str">
        <f xml:space="preserve"> '2.1 Model setup'!K76</f>
        <v>2.3 Måleradministration og kundehåndtering</v>
      </c>
      <c r="K21" s="5" t="str">
        <f t="shared" si="0"/>
        <v>DKKt</v>
      </c>
      <c r="O21" s="202"/>
      <c r="P21" s="202"/>
      <c r="Q21" s="202"/>
      <c r="R21" s="1">
        <f xml:space="preserve"> '3.1 Opsplitning af forbrug'!R580</f>
        <v>0</v>
      </c>
      <c r="S21" s="1">
        <f xml:space="preserve"> '3.1 Opsplitning af forbrug'!S580</f>
        <v>0</v>
      </c>
      <c r="T21" s="1">
        <f xml:space="preserve"> '3.1 Opsplitning af forbrug'!T580</f>
        <v>0</v>
      </c>
      <c r="U21" s="1">
        <f xml:space="preserve"> '3.1 Opsplitning af forbrug'!U580</f>
        <v>0</v>
      </c>
      <c r="V21" s="1">
        <f xml:space="preserve"> '3.1 Opsplitning af forbrug'!V580</f>
        <v>0</v>
      </c>
      <c r="W21" s="4">
        <f t="shared" si="1"/>
        <v>0</v>
      </c>
    </row>
    <row r="22" spans="4:23" ht="15" customHeight="1">
      <c r="D22" s="85" t="str">
        <f xml:space="preserve"> '2.1 Model setup'!K77</f>
        <v>3.1 Generel administration</v>
      </c>
      <c r="K22" s="5" t="str">
        <f t="shared" si="0"/>
        <v>DKKt</v>
      </c>
      <c r="O22" s="202"/>
      <c r="P22" s="202"/>
      <c r="Q22" s="202"/>
      <c r="R22" s="1">
        <f xml:space="preserve"> '3.1 Opsplitning af forbrug'!R581</f>
        <v>0</v>
      </c>
      <c r="S22" s="1">
        <f xml:space="preserve"> '3.1 Opsplitning af forbrug'!S581</f>
        <v>0</v>
      </c>
      <c r="T22" s="1">
        <f xml:space="preserve"> '3.1 Opsplitning af forbrug'!T581</f>
        <v>0</v>
      </c>
      <c r="U22" s="1">
        <f xml:space="preserve"> '3.1 Opsplitning af forbrug'!U581</f>
        <v>0</v>
      </c>
      <c r="V22" s="1">
        <f xml:space="preserve"> '3.1 Opsplitning af forbrug'!V581</f>
        <v>0</v>
      </c>
      <c r="W22" s="4">
        <f t="shared" si="1"/>
        <v>0</v>
      </c>
    </row>
    <row r="23" spans="4:23" ht="15" customHeight="1">
      <c r="D23" s="85" t="str">
        <f xml:space="preserve"> '2.1 Model setup'!K78</f>
        <v>4.1 Omkostninger vedrørende nettab i transformerstationer</v>
      </c>
      <c r="K23" s="5" t="str">
        <f t="shared" si="0"/>
        <v>DKKt</v>
      </c>
      <c r="O23" s="202"/>
      <c r="P23" s="202"/>
      <c r="Q23" s="202"/>
      <c r="R23" s="1">
        <f xml:space="preserve"> '3.1 Opsplitning af forbrug'!R582</f>
        <v>0</v>
      </c>
      <c r="S23" s="1">
        <f xml:space="preserve"> '3.1 Opsplitning af forbrug'!S582</f>
        <v>0</v>
      </c>
      <c r="T23" s="1">
        <f xml:space="preserve"> '3.1 Opsplitning af forbrug'!T582</f>
        <v>0</v>
      </c>
      <c r="U23" s="1">
        <f xml:space="preserve"> '3.1 Opsplitning af forbrug'!U582</f>
        <v>0</v>
      </c>
      <c r="V23" s="1">
        <f xml:space="preserve"> '3.1 Opsplitning af forbrug'!V582</f>
        <v>0</v>
      </c>
      <c r="W23" s="4">
        <f t="shared" si="1"/>
        <v>0</v>
      </c>
    </row>
    <row r="24" spans="4:23" ht="15" customHeight="1">
      <c r="D24" s="85" t="str">
        <f xml:space="preserve"> '2.1 Model setup'!K79</f>
        <v>4.2 Omkostninger vedrørende nettab i ledningsnettet</v>
      </c>
      <c r="K24" s="5" t="str">
        <f t="shared" si="0"/>
        <v>DKKt</v>
      </c>
      <c r="O24" s="202"/>
      <c r="P24" s="202"/>
      <c r="Q24" s="202"/>
      <c r="R24" s="1">
        <f xml:space="preserve"> '3.1 Opsplitning af forbrug'!R583</f>
        <v>0</v>
      </c>
      <c r="S24" s="1">
        <f xml:space="preserve"> '3.1 Opsplitning af forbrug'!S583</f>
        <v>0</v>
      </c>
      <c r="T24" s="1">
        <f xml:space="preserve"> '3.1 Opsplitning af forbrug'!T583</f>
        <v>0</v>
      </c>
      <c r="U24" s="1">
        <f xml:space="preserve"> '3.1 Opsplitning af forbrug'!U583</f>
        <v>0</v>
      </c>
      <c r="V24" s="1">
        <f xml:space="preserve"> '3.1 Opsplitning af forbrug'!V583</f>
        <v>0</v>
      </c>
      <c r="W24" s="4">
        <f t="shared" si="1"/>
        <v>0</v>
      </c>
    </row>
    <row r="25" spans="4:23" ht="15" customHeight="1">
      <c r="D25" s="85" t="str">
        <f xml:space="preserve"> '2.1 Model setup'!K80</f>
        <v>5.1 Omkostninger til overliggende net ifm. forbrug</v>
      </c>
      <c r="K25" s="5" t="str">
        <f t="shared" si="0"/>
        <v>DKKt</v>
      </c>
      <c r="O25" s="202"/>
      <c r="P25" s="202"/>
      <c r="Q25" s="202"/>
      <c r="R25" s="1">
        <f xml:space="preserve"> '3.1 Opsplitning af forbrug'!R584</f>
        <v>0</v>
      </c>
      <c r="S25" s="1">
        <f xml:space="preserve"> '3.1 Opsplitning af forbrug'!S584</f>
        <v>0</v>
      </c>
      <c r="T25" s="1">
        <f xml:space="preserve"> '3.1 Opsplitning af forbrug'!T584</f>
        <v>0</v>
      </c>
      <c r="U25" s="1">
        <f xml:space="preserve"> '3.1 Opsplitning af forbrug'!U584</f>
        <v>0</v>
      </c>
      <c r="V25" s="1">
        <f xml:space="preserve"> '3.1 Opsplitning af forbrug'!V584</f>
        <v>0</v>
      </c>
      <c r="W25" s="4">
        <f xml:space="preserve"> SUM( R25:V25 )</f>
        <v>0</v>
      </c>
    </row>
    <row r="26" spans="4:23" ht="15" customHeight="1">
      <c r="D26" s="85" t="str">
        <f xml:space="preserve"> '2.1 Model setup'!K81</f>
        <v>5.2 Øvrige omkostninger</v>
      </c>
      <c r="K26" s="5" t="str">
        <f t="shared" si="0"/>
        <v>DKKt</v>
      </c>
      <c r="O26" s="202"/>
      <c r="P26" s="202"/>
      <c r="Q26" s="202"/>
      <c r="R26" s="1">
        <f xml:space="preserve"> '3.1 Opsplitning af forbrug'!R585</f>
        <v>0</v>
      </c>
      <c r="S26" s="1">
        <f xml:space="preserve"> '3.1 Opsplitning af forbrug'!S585</f>
        <v>0</v>
      </c>
      <c r="T26" s="1">
        <f xml:space="preserve"> '3.1 Opsplitning af forbrug'!T585</f>
        <v>0</v>
      </c>
      <c r="U26" s="1">
        <f xml:space="preserve"> '3.1 Opsplitning af forbrug'!U585</f>
        <v>0</v>
      </c>
      <c r="V26" s="1">
        <f xml:space="preserve"> '3.1 Opsplitning af forbrug'!V585</f>
        <v>0</v>
      </c>
      <c r="W26" s="4">
        <f t="shared" si="1"/>
        <v>0</v>
      </c>
    </row>
    <row r="27" spans="4:23" ht="15" customHeight="1">
      <c r="D27" s="85" t="str">
        <f xml:space="preserve"> '2.1 Model setup'!K82</f>
        <v>6.1 Afskrivninger på transformerstationer</v>
      </c>
      <c r="K27" s="5" t="str">
        <f t="shared" si="0"/>
        <v>DKKt</v>
      </c>
      <c r="O27" s="202"/>
      <c r="P27" s="202"/>
      <c r="Q27" s="202"/>
      <c r="R27" s="1">
        <f xml:space="preserve"> '3.1 Opsplitning af forbrug'!R586</f>
        <v>0</v>
      </c>
      <c r="S27" s="1">
        <f xml:space="preserve"> '3.1 Opsplitning af forbrug'!S586</f>
        <v>0</v>
      </c>
      <c r="T27" s="1">
        <f xml:space="preserve"> '3.1 Opsplitning af forbrug'!T586</f>
        <v>0</v>
      </c>
      <c r="U27" s="1">
        <f xml:space="preserve"> '3.1 Opsplitning af forbrug'!U586</f>
        <v>0</v>
      </c>
      <c r="V27" s="1">
        <f xml:space="preserve"> '3.1 Opsplitning af forbrug'!V586</f>
        <v>0</v>
      </c>
      <c r="W27" s="4">
        <f t="shared" si="1"/>
        <v>0</v>
      </c>
    </row>
    <row r="28" spans="4:23" ht="15" customHeight="1">
      <c r="D28" s="85" t="str">
        <f xml:space="preserve"> '2.1 Model setup'!K83</f>
        <v>6.2 Afskrivninger på netaktiver ekskl. målere og transformerstationer</v>
      </c>
      <c r="K28" s="5" t="str">
        <f t="shared" si="0"/>
        <v>DKKt</v>
      </c>
      <c r="O28" s="202"/>
      <c r="P28" s="202"/>
      <c r="Q28" s="202"/>
      <c r="R28" s="1">
        <f xml:space="preserve"> '3.1 Opsplitning af forbrug'!R587</f>
        <v>0</v>
      </c>
      <c r="S28" s="1">
        <f xml:space="preserve"> '3.1 Opsplitning af forbrug'!S587</f>
        <v>0</v>
      </c>
      <c r="T28" s="1">
        <f xml:space="preserve"> '3.1 Opsplitning af forbrug'!T587</f>
        <v>0</v>
      </c>
      <c r="U28" s="1">
        <f xml:space="preserve"> '3.1 Opsplitning af forbrug'!U587</f>
        <v>0</v>
      </c>
      <c r="V28" s="1">
        <f xml:space="preserve"> '3.1 Opsplitning af forbrug'!V587</f>
        <v>0</v>
      </c>
      <c r="W28" s="4">
        <f t="shared" si="1"/>
        <v>0</v>
      </c>
    </row>
    <row r="29" spans="4:23" ht="15" customHeight="1">
      <c r="D29" s="85" t="str">
        <f xml:space="preserve"> '2.1 Model setup'!K84</f>
        <v>6.3 Afskrivninger på målere</v>
      </c>
      <c r="K29" s="5" t="str">
        <f t="shared" si="0"/>
        <v>DKKt</v>
      </c>
      <c r="O29" s="202"/>
      <c r="P29" s="202"/>
      <c r="Q29" s="202"/>
      <c r="R29" s="1">
        <f xml:space="preserve"> '3.1 Opsplitning af forbrug'!R588</f>
        <v>0</v>
      </c>
      <c r="S29" s="1">
        <f xml:space="preserve"> '3.1 Opsplitning af forbrug'!S588</f>
        <v>0</v>
      </c>
      <c r="T29" s="1">
        <f xml:space="preserve"> '3.1 Opsplitning af forbrug'!T588</f>
        <v>0</v>
      </c>
      <c r="U29" s="1">
        <f xml:space="preserve"> '3.1 Opsplitning af forbrug'!U588</f>
        <v>0</v>
      </c>
      <c r="V29" s="1">
        <f xml:space="preserve"> '3.1 Opsplitning af forbrug'!V588</f>
        <v>0</v>
      </c>
      <c r="W29" s="4">
        <f t="shared" si="1"/>
        <v>0</v>
      </c>
    </row>
    <row r="30" spans="4:23" ht="15" customHeight="1">
      <c r="D30" s="186" t="s">
        <v>16</v>
      </c>
      <c r="E30" s="33"/>
      <c r="F30" s="33"/>
      <c r="G30" s="33"/>
      <c r="H30" s="33"/>
      <c r="I30" s="33"/>
      <c r="J30" s="33"/>
      <c r="K30" s="187" t="str">
        <f t="shared" si="0"/>
        <v>DKKt</v>
      </c>
      <c r="L30" s="90"/>
      <c r="M30" s="186"/>
      <c r="N30" s="186"/>
      <c r="O30" s="388"/>
      <c r="P30" s="388"/>
      <c r="Q30" s="388"/>
      <c r="R30" s="186">
        <f t="shared" ref="R30:W30" si="2" xml:space="preserve"> SUM( R15:R29 )</f>
        <v>0</v>
      </c>
      <c r="S30" s="186">
        <f t="shared" si="2"/>
        <v>0</v>
      </c>
      <c r="T30" s="186">
        <f t="shared" si="2"/>
        <v>0</v>
      </c>
      <c r="U30" s="186">
        <f t="shared" si="2"/>
        <v>0</v>
      </c>
      <c r="V30" s="186">
        <f t="shared" si="2"/>
        <v>0</v>
      </c>
      <c r="W30" s="186">
        <f t="shared" si="2"/>
        <v>0</v>
      </c>
    </row>
    <row r="32" spans="4:23" ht="15" customHeight="1">
      <c r="D32" s="35" t="s">
        <v>292</v>
      </c>
      <c r="E32" s="27"/>
      <c r="F32" s="27"/>
      <c r="G32" s="27"/>
      <c r="H32" s="27"/>
      <c r="I32" s="27"/>
      <c r="J32" s="27"/>
      <c r="K32" s="32"/>
      <c r="L32" s="27"/>
      <c r="M32" s="27"/>
      <c r="N32" s="27"/>
      <c r="O32" s="27"/>
      <c r="P32" s="27"/>
      <c r="Q32" s="27"/>
      <c r="R32" s="27"/>
      <c r="S32" s="27"/>
      <c r="T32" s="27"/>
      <c r="U32" s="27"/>
      <c r="V32" s="27"/>
      <c r="W32" s="185" t="s">
        <v>16</v>
      </c>
    </row>
    <row r="33" spans="4:23" ht="15" customHeight="1">
      <c r="D33" s="85" t="str">
        <f xml:space="preserve"> '2.1 Model setup'!K70</f>
        <v>1.1 Drift og vedligeholdelse af transformerstationer</v>
      </c>
      <c r="K33" s="5" t="str">
        <f t="shared" ref="K33:K51" si="3" xml:space="preserve"> Model.Units</f>
        <v>DKKt</v>
      </c>
      <c r="O33" s="202"/>
      <c r="P33" s="202"/>
      <c r="Q33" s="202"/>
      <c r="R33" s="1">
        <f xml:space="preserve"> '3.1 Opsplitning af forbrug'!R630</f>
        <v>0</v>
      </c>
      <c r="S33" s="1">
        <f xml:space="preserve"> '3.1 Opsplitning af forbrug'!S630</f>
        <v>0</v>
      </c>
      <c r="T33" s="1">
        <f xml:space="preserve"> '3.1 Opsplitning af forbrug'!T630</f>
        <v>0</v>
      </c>
      <c r="U33" s="1">
        <f xml:space="preserve"> '3.1 Opsplitning af forbrug'!U630</f>
        <v>0</v>
      </c>
      <c r="V33" s="1">
        <f xml:space="preserve"> '3.1 Opsplitning af forbrug'!V630</f>
        <v>0</v>
      </c>
      <c r="W33" s="4">
        <f t="shared" ref="W33:W50" si="4" xml:space="preserve"> SUM( R33:V33 )</f>
        <v>0</v>
      </c>
    </row>
    <row r="34" spans="4:23" ht="15" customHeight="1">
      <c r="D34" s="85" t="str">
        <f xml:space="preserve"> '2.1 Model setup'!K71</f>
        <v>1.2 Drift og vedligeholdelse af ledningsnet</v>
      </c>
      <c r="K34" s="5" t="str">
        <f t="shared" si="3"/>
        <v>DKKt</v>
      </c>
      <c r="O34" s="202"/>
      <c r="P34" s="202"/>
      <c r="Q34" s="202"/>
      <c r="R34" s="1">
        <f xml:space="preserve"> '3.1 Opsplitning af forbrug'!R631</f>
        <v>0</v>
      </c>
      <c r="S34" s="1">
        <f xml:space="preserve"> '3.1 Opsplitning af forbrug'!S631</f>
        <v>0</v>
      </c>
      <c r="T34" s="1">
        <f xml:space="preserve"> '3.1 Opsplitning af forbrug'!T631</f>
        <v>0</v>
      </c>
      <c r="U34" s="1">
        <f xml:space="preserve"> '3.1 Opsplitning af forbrug'!U631</f>
        <v>0</v>
      </c>
      <c r="V34" s="1">
        <f xml:space="preserve"> '3.1 Opsplitning af forbrug'!V631</f>
        <v>0</v>
      </c>
      <c r="W34" s="4">
        <f t="shared" si="4"/>
        <v>0</v>
      </c>
    </row>
    <row r="35" spans="4:23" ht="15" customHeight="1">
      <c r="D35" s="85" t="str">
        <f xml:space="preserve"> '2.1 Model setup'!K72</f>
        <v>1.3 Øvrige omkostninger til drift, styring og kontrol af elnettet</v>
      </c>
      <c r="K35" s="5" t="str">
        <f t="shared" si="3"/>
        <v>DKKt</v>
      </c>
      <c r="O35" s="202"/>
      <c r="P35" s="202"/>
      <c r="Q35" s="202"/>
      <c r="R35" s="1">
        <f xml:space="preserve"> '3.1 Opsplitning af forbrug'!R632</f>
        <v>0</v>
      </c>
      <c r="S35" s="1">
        <f xml:space="preserve"> '3.1 Opsplitning af forbrug'!S632</f>
        <v>0</v>
      </c>
      <c r="T35" s="1">
        <f xml:space="preserve"> '3.1 Opsplitning af forbrug'!T632</f>
        <v>0</v>
      </c>
      <c r="U35" s="1">
        <f xml:space="preserve"> '3.1 Opsplitning af forbrug'!U632</f>
        <v>0</v>
      </c>
      <c r="V35" s="1">
        <f xml:space="preserve"> '3.1 Opsplitning af forbrug'!V632</f>
        <v>0</v>
      </c>
      <c r="W35" s="4">
        <f t="shared" si="4"/>
        <v>0</v>
      </c>
    </row>
    <row r="36" spans="4:23" ht="15" customHeight="1">
      <c r="D36" s="85" t="str">
        <f xml:space="preserve"> '2.1 Model setup'!K73</f>
        <v>1.4 Omkostninger vedrørende 132-150/30-60 kV-stationer</v>
      </c>
      <c r="K36" s="5" t="str">
        <f t="shared" si="3"/>
        <v>DKKt</v>
      </c>
      <c r="O36" s="202"/>
      <c r="P36" s="202"/>
      <c r="Q36" s="202"/>
      <c r="R36" s="1">
        <f xml:space="preserve"> '3.1 Opsplitning af forbrug'!R633</f>
        <v>0</v>
      </c>
      <c r="S36" s="1">
        <f xml:space="preserve"> '3.1 Opsplitning af forbrug'!S633</f>
        <v>0</v>
      </c>
      <c r="T36" s="1">
        <f xml:space="preserve"> '3.1 Opsplitning af forbrug'!T633</f>
        <v>0</v>
      </c>
      <c r="U36" s="1">
        <f xml:space="preserve"> '3.1 Opsplitning af forbrug'!U633</f>
        <v>0</v>
      </c>
      <c r="V36" s="1">
        <f xml:space="preserve"> '3.1 Opsplitning af forbrug'!V633</f>
        <v>0</v>
      </c>
      <c r="W36" s="4">
        <f xml:space="preserve"> SUM( R36:V36 )</f>
        <v>0</v>
      </c>
    </row>
    <row r="37" spans="4:23" ht="15" customHeight="1">
      <c r="D37" s="85" t="str">
        <f xml:space="preserve"> '2.1 Model setup'!K74</f>
        <v>2.1 Drift og vedligeholdelse af målere</v>
      </c>
      <c r="K37" s="5" t="str">
        <f t="shared" si="3"/>
        <v>DKKt</v>
      </c>
      <c r="O37" s="202"/>
      <c r="P37" s="202"/>
      <c r="Q37" s="202"/>
      <c r="R37" s="1">
        <f xml:space="preserve"> '3.1 Opsplitning af forbrug'!R634</f>
        <v>0</v>
      </c>
      <c r="S37" s="1">
        <f xml:space="preserve"> '3.1 Opsplitning af forbrug'!S634</f>
        <v>0</v>
      </c>
      <c r="T37" s="1">
        <f xml:space="preserve"> '3.1 Opsplitning af forbrug'!T634</f>
        <v>0</v>
      </c>
      <c r="U37" s="1">
        <f xml:space="preserve"> '3.1 Opsplitning af forbrug'!U634</f>
        <v>0</v>
      </c>
      <c r="V37" s="1">
        <f xml:space="preserve"> '3.1 Opsplitning af forbrug'!V634</f>
        <v>0</v>
      </c>
      <c r="W37" s="4">
        <f t="shared" si="4"/>
        <v>0</v>
      </c>
    </row>
    <row r="38" spans="4:23" ht="15" customHeight="1">
      <c r="D38" s="85" t="str">
        <f xml:space="preserve"> '2.1 Model setup'!K75</f>
        <v>2.2 Indhentning og validering af målerdata</v>
      </c>
      <c r="K38" s="5" t="str">
        <f t="shared" si="3"/>
        <v>DKKt</v>
      </c>
      <c r="O38" s="202"/>
      <c r="P38" s="202"/>
      <c r="Q38" s="202"/>
      <c r="R38" s="1">
        <f xml:space="preserve"> '3.1 Opsplitning af forbrug'!R635</f>
        <v>0</v>
      </c>
      <c r="S38" s="1">
        <f xml:space="preserve"> '3.1 Opsplitning af forbrug'!S635</f>
        <v>0</v>
      </c>
      <c r="T38" s="1">
        <f xml:space="preserve"> '3.1 Opsplitning af forbrug'!T635</f>
        <v>0</v>
      </c>
      <c r="U38" s="1">
        <f xml:space="preserve"> '3.1 Opsplitning af forbrug'!U635</f>
        <v>0</v>
      </c>
      <c r="V38" s="1">
        <f xml:space="preserve"> '3.1 Opsplitning af forbrug'!V635</f>
        <v>0</v>
      </c>
      <c r="W38" s="4">
        <f t="shared" si="4"/>
        <v>0</v>
      </c>
    </row>
    <row r="39" spans="4:23" ht="15" customHeight="1">
      <c r="D39" s="85" t="str">
        <f xml:space="preserve"> '2.1 Model setup'!K76</f>
        <v>2.3 Måleradministration og kundehåndtering</v>
      </c>
      <c r="K39" s="5" t="str">
        <f t="shared" si="3"/>
        <v>DKKt</v>
      </c>
      <c r="O39" s="202"/>
      <c r="P39" s="202"/>
      <c r="Q39" s="202"/>
      <c r="R39" s="1">
        <f xml:space="preserve"> '3.1 Opsplitning af forbrug'!R636</f>
        <v>0</v>
      </c>
      <c r="S39" s="1">
        <f xml:space="preserve"> '3.1 Opsplitning af forbrug'!S636</f>
        <v>0</v>
      </c>
      <c r="T39" s="1">
        <f xml:space="preserve"> '3.1 Opsplitning af forbrug'!T636</f>
        <v>0</v>
      </c>
      <c r="U39" s="1">
        <f xml:space="preserve"> '3.1 Opsplitning af forbrug'!U636</f>
        <v>0</v>
      </c>
      <c r="V39" s="1">
        <f xml:space="preserve"> '3.1 Opsplitning af forbrug'!V636</f>
        <v>0</v>
      </c>
      <c r="W39" s="4">
        <f t="shared" si="4"/>
        <v>0</v>
      </c>
    </row>
    <row r="40" spans="4:23" ht="15" customHeight="1">
      <c r="D40" s="85" t="str">
        <f xml:space="preserve"> '2.1 Model setup'!K77</f>
        <v>3.1 Generel administration</v>
      </c>
      <c r="K40" s="5" t="str">
        <f t="shared" si="3"/>
        <v>DKKt</v>
      </c>
      <c r="O40" s="202"/>
      <c r="P40" s="202"/>
      <c r="Q40" s="202"/>
      <c r="R40" s="1">
        <f xml:space="preserve"> '3.1 Opsplitning af forbrug'!R637</f>
        <v>0</v>
      </c>
      <c r="S40" s="1">
        <f xml:space="preserve"> '3.1 Opsplitning af forbrug'!S637</f>
        <v>0</v>
      </c>
      <c r="T40" s="1">
        <f xml:space="preserve"> '3.1 Opsplitning af forbrug'!T637</f>
        <v>0</v>
      </c>
      <c r="U40" s="1">
        <f xml:space="preserve"> '3.1 Opsplitning af forbrug'!U637</f>
        <v>0</v>
      </c>
      <c r="V40" s="1">
        <f xml:space="preserve"> '3.1 Opsplitning af forbrug'!V637</f>
        <v>0</v>
      </c>
      <c r="W40" s="4">
        <f t="shared" si="4"/>
        <v>0</v>
      </c>
    </row>
    <row r="41" spans="4:23" ht="15" customHeight="1">
      <c r="D41" s="85" t="str">
        <f xml:space="preserve"> '2.1 Model setup'!K78</f>
        <v>4.1 Omkostninger vedrørende nettab i transformerstationer</v>
      </c>
      <c r="K41" s="5" t="str">
        <f t="shared" si="3"/>
        <v>DKKt</v>
      </c>
      <c r="O41" s="202"/>
      <c r="P41" s="202"/>
      <c r="Q41" s="202"/>
      <c r="R41" s="1">
        <f xml:space="preserve"> '3.1 Opsplitning af forbrug'!R638</f>
        <v>0</v>
      </c>
      <c r="S41" s="1">
        <f xml:space="preserve"> '3.1 Opsplitning af forbrug'!S638</f>
        <v>0</v>
      </c>
      <c r="T41" s="1">
        <f xml:space="preserve"> '3.1 Opsplitning af forbrug'!T638</f>
        <v>0</v>
      </c>
      <c r="U41" s="1">
        <f xml:space="preserve"> '3.1 Opsplitning af forbrug'!U638</f>
        <v>0</v>
      </c>
      <c r="V41" s="1">
        <f xml:space="preserve"> '3.1 Opsplitning af forbrug'!V638</f>
        <v>0</v>
      </c>
      <c r="W41" s="4">
        <f t="shared" si="4"/>
        <v>0</v>
      </c>
    </row>
    <row r="42" spans="4:23" ht="15" customHeight="1">
      <c r="D42" s="85" t="str">
        <f xml:space="preserve"> '2.1 Model setup'!K79</f>
        <v>4.2 Omkostninger vedrørende nettab i ledningsnettet</v>
      </c>
      <c r="K42" s="5" t="str">
        <f t="shared" si="3"/>
        <v>DKKt</v>
      </c>
      <c r="O42" s="202"/>
      <c r="P42" s="202"/>
      <c r="Q42" s="202"/>
      <c r="R42" s="1">
        <f xml:space="preserve"> '3.1 Opsplitning af forbrug'!R639</f>
        <v>0</v>
      </c>
      <c r="S42" s="1">
        <f xml:space="preserve"> '3.1 Opsplitning af forbrug'!S639</f>
        <v>0</v>
      </c>
      <c r="T42" s="1">
        <f xml:space="preserve"> '3.1 Opsplitning af forbrug'!T639</f>
        <v>0</v>
      </c>
      <c r="U42" s="1">
        <f xml:space="preserve"> '3.1 Opsplitning af forbrug'!U639</f>
        <v>0</v>
      </c>
      <c r="V42" s="1">
        <f xml:space="preserve"> '3.1 Opsplitning af forbrug'!V639</f>
        <v>0</v>
      </c>
      <c r="W42" s="4">
        <f t="shared" si="4"/>
        <v>0</v>
      </c>
    </row>
    <row r="43" spans="4:23" ht="15" customHeight="1">
      <c r="D43" s="85" t="str">
        <f xml:space="preserve"> '2.1 Model setup'!K80</f>
        <v>5.1 Omkostninger til overliggende net ifm. forbrug</v>
      </c>
      <c r="K43" s="5" t="str">
        <f t="shared" si="3"/>
        <v>DKKt</v>
      </c>
      <c r="O43" s="202"/>
      <c r="P43" s="202"/>
      <c r="Q43" s="202"/>
      <c r="R43" s="1">
        <f xml:space="preserve"> '3.1 Opsplitning af forbrug'!R640</f>
        <v>0</v>
      </c>
      <c r="S43" s="1">
        <f xml:space="preserve"> '3.1 Opsplitning af forbrug'!S640</f>
        <v>0</v>
      </c>
      <c r="T43" s="1">
        <f xml:space="preserve"> '3.1 Opsplitning af forbrug'!T640</f>
        <v>0</v>
      </c>
      <c r="U43" s="1">
        <f xml:space="preserve"> '3.1 Opsplitning af forbrug'!U640</f>
        <v>0</v>
      </c>
      <c r="V43" s="1">
        <f xml:space="preserve"> '3.1 Opsplitning af forbrug'!V640</f>
        <v>0</v>
      </c>
      <c r="W43" s="4">
        <f xml:space="preserve"> SUM( R43:V43 )</f>
        <v>0</v>
      </c>
    </row>
    <row r="44" spans="4:23" ht="15" customHeight="1">
      <c r="D44" s="85" t="str">
        <f xml:space="preserve"> '2.1 Model setup'!K81</f>
        <v>5.2 Øvrige omkostninger</v>
      </c>
      <c r="K44" s="5" t="str">
        <f t="shared" si="3"/>
        <v>DKKt</v>
      </c>
      <c r="O44" s="202"/>
      <c r="P44" s="202"/>
      <c r="Q44" s="202"/>
      <c r="R44" s="1">
        <f xml:space="preserve"> '3.1 Opsplitning af forbrug'!R641</f>
        <v>0</v>
      </c>
      <c r="S44" s="1">
        <f xml:space="preserve"> '3.1 Opsplitning af forbrug'!S641</f>
        <v>0</v>
      </c>
      <c r="T44" s="1">
        <f xml:space="preserve"> '3.1 Opsplitning af forbrug'!T641</f>
        <v>0</v>
      </c>
      <c r="U44" s="1">
        <f xml:space="preserve"> '3.1 Opsplitning af forbrug'!U641</f>
        <v>0</v>
      </c>
      <c r="V44" s="1">
        <f xml:space="preserve"> '3.1 Opsplitning af forbrug'!V641</f>
        <v>0</v>
      </c>
      <c r="W44" s="4">
        <f t="shared" si="4"/>
        <v>0</v>
      </c>
    </row>
    <row r="45" spans="4:23" ht="15" customHeight="1">
      <c r="D45" s="85" t="str">
        <f xml:space="preserve"> '2.1 Model setup'!K82</f>
        <v>6.1 Afskrivninger på transformerstationer</v>
      </c>
      <c r="K45" s="5" t="str">
        <f t="shared" si="3"/>
        <v>DKKt</v>
      </c>
      <c r="O45" s="202"/>
      <c r="P45" s="202"/>
      <c r="Q45" s="202"/>
      <c r="R45" s="1">
        <f xml:space="preserve"> '3.1 Opsplitning af forbrug'!R642</f>
        <v>0</v>
      </c>
      <c r="S45" s="1">
        <f xml:space="preserve"> '3.1 Opsplitning af forbrug'!S642</f>
        <v>0</v>
      </c>
      <c r="T45" s="1">
        <f xml:space="preserve"> '3.1 Opsplitning af forbrug'!T642</f>
        <v>0</v>
      </c>
      <c r="U45" s="1">
        <f xml:space="preserve"> '3.1 Opsplitning af forbrug'!U642</f>
        <v>0</v>
      </c>
      <c r="V45" s="1">
        <f xml:space="preserve"> '3.1 Opsplitning af forbrug'!V642</f>
        <v>0</v>
      </c>
      <c r="W45" s="4">
        <f t="shared" si="4"/>
        <v>0</v>
      </c>
    </row>
    <row r="46" spans="4:23" ht="15" customHeight="1">
      <c r="D46" s="85" t="str">
        <f xml:space="preserve"> '2.1 Model setup'!K83</f>
        <v>6.2 Afskrivninger på netaktiver ekskl. målere og transformerstationer</v>
      </c>
      <c r="K46" s="5" t="str">
        <f t="shared" si="3"/>
        <v>DKKt</v>
      </c>
      <c r="O46" s="202"/>
      <c r="P46" s="202"/>
      <c r="Q46" s="202"/>
      <c r="R46" s="1">
        <f xml:space="preserve"> '3.1 Opsplitning af forbrug'!R643</f>
        <v>0</v>
      </c>
      <c r="S46" s="1">
        <f xml:space="preserve"> '3.1 Opsplitning af forbrug'!S643</f>
        <v>0</v>
      </c>
      <c r="T46" s="1">
        <f xml:space="preserve"> '3.1 Opsplitning af forbrug'!T643</f>
        <v>0</v>
      </c>
      <c r="U46" s="1">
        <f xml:space="preserve"> '3.1 Opsplitning af forbrug'!U643</f>
        <v>0</v>
      </c>
      <c r="V46" s="1">
        <f xml:space="preserve"> '3.1 Opsplitning af forbrug'!V643</f>
        <v>0</v>
      </c>
      <c r="W46" s="4">
        <f t="shared" si="4"/>
        <v>0</v>
      </c>
    </row>
    <row r="47" spans="4:23" ht="15" customHeight="1">
      <c r="D47" s="85" t="str">
        <f xml:space="preserve"> '2.1 Model setup'!K84</f>
        <v>6.3 Afskrivninger på målere</v>
      </c>
      <c r="K47" s="5" t="str">
        <f t="shared" si="3"/>
        <v>DKKt</v>
      </c>
      <c r="O47" s="202"/>
      <c r="P47" s="202"/>
      <c r="Q47" s="202"/>
      <c r="R47" s="1">
        <f xml:space="preserve"> '3.1 Opsplitning af forbrug'!R644</f>
        <v>0</v>
      </c>
      <c r="S47" s="1">
        <f xml:space="preserve"> '3.1 Opsplitning af forbrug'!S644</f>
        <v>0</v>
      </c>
      <c r="T47" s="1">
        <f xml:space="preserve"> '3.1 Opsplitning af forbrug'!T644</f>
        <v>0</v>
      </c>
      <c r="U47" s="1">
        <f xml:space="preserve"> '3.1 Opsplitning af forbrug'!U644</f>
        <v>0</v>
      </c>
      <c r="V47" s="1">
        <f xml:space="preserve"> '3.1 Opsplitning af forbrug'!V644</f>
        <v>0</v>
      </c>
      <c r="W47" s="4">
        <f t="shared" si="4"/>
        <v>0</v>
      </c>
    </row>
    <row r="48" spans="4:23" ht="15" customHeight="1">
      <c r="D48" s="85" t="str">
        <f xml:space="preserve"> '2.1 Model setup'!K85</f>
        <v>7.1 Transformerstationer (forrentning)</v>
      </c>
      <c r="K48" s="5" t="str">
        <f t="shared" si="3"/>
        <v>DKKt</v>
      </c>
      <c r="O48" s="202"/>
      <c r="P48" s="202"/>
      <c r="Q48" s="202"/>
      <c r="R48" s="1">
        <f xml:space="preserve"> '3.1 Opsplitning af forbrug'!R645</f>
        <v>0</v>
      </c>
      <c r="S48" s="1">
        <f xml:space="preserve"> '3.1 Opsplitning af forbrug'!S645</f>
        <v>0</v>
      </c>
      <c r="T48" s="1">
        <f xml:space="preserve"> '3.1 Opsplitning af forbrug'!T645</f>
        <v>0</v>
      </c>
      <c r="U48" s="1">
        <f xml:space="preserve"> '3.1 Opsplitning af forbrug'!U645</f>
        <v>0</v>
      </c>
      <c r="V48" s="1">
        <f xml:space="preserve"> '3.1 Opsplitning af forbrug'!V645</f>
        <v>0</v>
      </c>
      <c r="W48" s="4">
        <f t="shared" si="4"/>
        <v>0</v>
      </c>
    </row>
    <row r="49" spans="4:23" ht="15" customHeight="1">
      <c r="D49" s="85" t="str">
        <f xml:space="preserve"> '2.1 Model setup'!K86</f>
        <v>7.2 Netaktiver ekskl. målere og transformerstationer (forrentning)</v>
      </c>
      <c r="K49" s="5" t="str">
        <f t="shared" si="3"/>
        <v>DKKt</v>
      </c>
      <c r="O49" s="202"/>
      <c r="P49" s="202"/>
      <c r="Q49" s="202"/>
      <c r="R49" s="1">
        <f xml:space="preserve"> '3.1 Opsplitning af forbrug'!R646</f>
        <v>0</v>
      </c>
      <c r="S49" s="1">
        <f xml:space="preserve"> '3.1 Opsplitning af forbrug'!S646</f>
        <v>0</v>
      </c>
      <c r="T49" s="1">
        <f xml:space="preserve"> '3.1 Opsplitning af forbrug'!T646</f>
        <v>0</v>
      </c>
      <c r="U49" s="1">
        <f xml:space="preserve"> '3.1 Opsplitning af forbrug'!U646</f>
        <v>0</v>
      </c>
      <c r="V49" s="1">
        <f xml:space="preserve"> '3.1 Opsplitning af forbrug'!V646</f>
        <v>0</v>
      </c>
      <c r="W49" s="4">
        <f t="shared" si="4"/>
        <v>0</v>
      </c>
    </row>
    <row r="50" spans="4:23" ht="15" customHeight="1">
      <c r="D50" s="99" t="str">
        <f xml:space="preserve"> '2.1 Model setup'!K87</f>
        <v>7.3 Målere (forrentning)</v>
      </c>
      <c r="K50" s="5" t="str">
        <f t="shared" si="3"/>
        <v>DKKt</v>
      </c>
      <c r="O50" s="202"/>
      <c r="P50" s="202"/>
      <c r="Q50" s="202"/>
      <c r="R50" s="1">
        <f xml:space="preserve"> '3.1 Opsplitning af forbrug'!R647</f>
        <v>0</v>
      </c>
      <c r="S50" s="1">
        <f xml:space="preserve"> '3.1 Opsplitning af forbrug'!S647</f>
        <v>0</v>
      </c>
      <c r="T50" s="1">
        <f xml:space="preserve"> '3.1 Opsplitning af forbrug'!T647</f>
        <v>0</v>
      </c>
      <c r="U50" s="1">
        <f xml:space="preserve"> '3.1 Opsplitning af forbrug'!U647</f>
        <v>0</v>
      </c>
      <c r="V50" s="1">
        <f xml:space="preserve"> '3.1 Opsplitning af forbrug'!V647</f>
        <v>0</v>
      </c>
      <c r="W50" s="4">
        <f t="shared" si="4"/>
        <v>0</v>
      </c>
    </row>
    <row r="51" spans="4:23" ht="15" customHeight="1">
      <c r="D51" s="186" t="s">
        <v>16</v>
      </c>
      <c r="E51" s="33"/>
      <c r="F51" s="33"/>
      <c r="G51" s="33"/>
      <c r="H51" s="33"/>
      <c r="I51" s="33"/>
      <c r="J51" s="33"/>
      <c r="K51" s="187" t="str">
        <f t="shared" si="3"/>
        <v>DKKt</v>
      </c>
      <c r="L51" s="90" cm="1">
        <f t="array" ref="L51" xml:space="preserve"> -- ( SUMPRODUCT(-- ( R51:W51 &lt;&gt; ('3.1 Opsplitning af forbrug'!R619:W619 + '3.1 Opsplitning af forbrug'!R620:W620 - '3.1 Opsplitning af forbrug'!R31:W31 ) ) ) &gt; 0 )</f>
        <v>0</v>
      </c>
      <c r="M51" s="186"/>
      <c r="N51" s="186"/>
      <c r="O51" s="388"/>
      <c r="P51" s="388"/>
      <c r="Q51" s="388"/>
      <c r="R51" s="186">
        <f t="shared" ref="R51:W51" si="5" xml:space="preserve"> SUM( R33:R50 )</f>
        <v>0</v>
      </c>
      <c r="S51" s="186">
        <f t="shared" si="5"/>
        <v>0</v>
      </c>
      <c r="T51" s="186">
        <f t="shared" si="5"/>
        <v>0</v>
      </c>
      <c r="U51" s="186">
        <f t="shared" si="5"/>
        <v>0</v>
      </c>
      <c r="V51" s="186">
        <f t="shared" si="5"/>
        <v>0</v>
      </c>
      <c r="W51" s="186">
        <f t="shared" si="5"/>
        <v>0</v>
      </c>
    </row>
    <row r="52" spans="4:23" ht="15" customHeight="1">
      <c r="R52" s="50"/>
    </row>
    <row r="53" spans="4:23" ht="15" customHeight="1">
      <c r="D53" s="97" t="s">
        <v>43</v>
      </c>
      <c r="E53" s="27"/>
      <c r="F53" s="156"/>
      <c r="G53" s="156"/>
      <c r="H53" s="156"/>
      <c r="I53" s="156"/>
      <c r="J53" s="156"/>
      <c r="K53" s="87"/>
    </row>
    <row r="54" spans="4:23" ht="15" customHeight="1">
      <c r="D54" s="85" t="str">
        <f xml:space="preserve"> '2.1 Model setup'!K70</f>
        <v>1.1 Drift og vedligeholdelse af transformerstationer</v>
      </c>
      <c r="F54" s="56"/>
      <c r="G54" s="56"/>
      <c r="H54" s="56"/>
      <c r="I54" s="56"/>
      <c r="J54" s="56"/>
      <c r="K54" s="117" t="s">
        <v>41</v>
      </c>
      <c r="L54" s="15"/>
      <c r="M54" s="15"/>
      <c r="N54" s="193" t="str">
        <f xml:space="preserve"> '2.2 Generelle input'!N269</f>
        <v>Lav</v>
      </c>
      <c r="O54" s="400"/>
      <c r="P54" s="400"/>
      <c r="Q54" s="400"/>
      <c r="R54" s="274"/>
      <c r="S54" s="274"/>
      <c r="T54" s="274"/>
      <c r="U54" s="274"/>
      <c r="V54" s="274"/>
      <c r="W54" s="274"/>
    </row>
    <row r="55" spans="4:23" ht="15" customHeight="1">
      <c r="D55" s="85" t="str">
        <f xml:space="preserve"> '2.1 Model setup'!K71</f>
        <v>1.2 Drift og vedligeholdelse af ledningsnet</v>
      </c>
      <c r="F55"/>
      <c r="G55"/>
      <c r="H55"/>
      <c r="I55"/>
      <c r="J55"/>
      <c r="K55" s="87" t="s">
        <v>41</v>
      </c>
      <c r="N55" s="194" t="str">
        <f xml:space="preserve"> '2.2 Generelle input'!N270</f>
        <v>Høj</v>
      </c>
      <c r="O55" s="401"/>
      <c r="P55" s="401"/>
      <c r="Q55" s="401"/>
      <c r="R55" s="202"/>
      <c r="S55" s="202"/>
      <c r="T55" s="202"/>
      <c r="U55" s="202"/>
      <c r="V55" s="202"/>
      <c r="W55" s="202"/>
    </row>
    <row r="56" spans="4:23" ht="15" customHeight="1">
      <c r="D56" s="85" t="str">
        <f xml:space="preserve"> '2.1 Model setup'!K72</f>
        <v>1.3 Øvrige omkostninger til drift, styring og kontrol af elnettet</v>
      </c>
      <c r="F56"/>
      <c r="G56"/>
      <c r="H56"/>
      <c r="I56"/>
      <c r="J56"/>
      <c r="K56" s="87" t="s">
        <v>41</v>
      </c>
      <c r="N56" s="194" t="str">
        <f xml:space="preserve"> '2.2 Generelle input'!N271</f>
        <v>Høj</v>
      </c>
      <c r="O56" s="401"/>
      <c r="P56" s="401"/>
      <c r="Q56" s="401"/>
      <c r="R56" s="202"/>
      <c r="S56" s="202"/>
      <c r="T56" s="202"/>
      <c r="U56" s="202"/>
      <c r="V56" s="202"/>
      <c r="W56" s="202"/>
    </row>
    <row r="57" spans="4:23" ht="15" customHeight="1">
      <c r="D57" s="85" t="str">
        <f xml:space="preserve"> '2.1 Model setup'!K73</f>
        <v>1.4 Omkostninger vedrørende 132-150/30-60 kV-stationer</v>
      </c>
      <c r="F57"/>
      <c r="G57"/>
      <c r="H57"/>
      <c r="I57"/>
      <c r="J57"/>
      <c r="K57" s="87" t="s">
        <v>41</v>
      </c>
      <c r="N57" s="194" t="str">
        <f xml:space="preserve"> '2.2 Generelle input'!N272</f>
        <v>Ej relevant</v>
      </c>
      <c r="O57" s="401"/>
      <c r="P57" s="401"/>
      <c r="Q57" s="401"/>
      <c r="R57" s="202"/>
      <c r="S57" s="202"/>
      <c r="T57" s="202"/>
      <c r="U57" s="202"/>
      <c r="V57" s="202"/>
      <c r="W57" s="202"/>
    </row>
    <row r="58" spans="4:23" ht="15" customHeight="1">
      <c r="D58" s="85" t="str">
        <f xml:space="preserve"> '2.1 Model setup'!K74</f>
        <v>2.1 Drift og vedligeholdelse af målere</v>
      </c>
      <c r="F58"/>
      <c r="G58"/>
      <c r="H58"/>
      <c r="I58"/>
      <c r="J58"/>
      <c r="K58" s="87" t="s">
        <v>41</v>
      </c>
      <c r="N58" s="194" t="str">
        <f xml:space="preserve"> '2.2 Generelle input'!N273</f>
        <v>Ej relevant</v>
      </c>
      <c r="O58" s="401"/>
      <c r="P58" s="401"/>
      <c r="Q58" s="401"/>
      <c r="R58" s="202"/>
      <c r="S58" s="202"/>
      <c r="T58" s="202"/>
      <c r="U58" s="202"/>
      <c r="V58" s="202"/>
      <c r="W58" s="202"/>
    </row>
    <row r="59" spans="4:23" ht="15" customHeight="1">
      <c r="D59" s="85" t="str">
        <f xml:space="preserve"> '2.1 Model setup'!K75</f>
        <v>2.2 Indhentning og validering af målerdata</v>
      </c>
      <c r="F59"/>
      <c r="G59"/>
      <c r="H59"/>
      <c r="I59"/>
      <c r="J59"/>
      <c r="K59" s="87" t="s">
        <v>41</v>
      </c>
      <c r="N59" s="194" t="str">
        <f xml:space="preserve"> '2.2 Generelle input'!N274</f>
        <v>Ej relevant</v>
      </c>
      <c r="O59" s="401"/>
      <c r="P59" s="401"/>
      <c r="Q59" s="401"/>
      <c r="R59" s="202"/>
      <c r="S59" s="202"/>
      <c r="T59" s="202"/>
      <c r="U59" s="202"/>
      <c r="V59" s="202"/>
      <c r="W59" s="202"/>
    </row>
    <row r="60" spans="4:23" ht="15" customHeight="1">
      <c r="D60" s="85" t="str">
        <f xml:space="preserve"> '2.1 Model setup'!K76</f>
        <v>2.3 Måleradministration og kundehåndtering</v>
      </c>
      <c r="F60"/>
      <c r="G60"/>
      <c r="H60"/>
      <c r="I60"/>
      <c r="J60"/>
      <c r="K60" s="87" t="s">
        <v>41</v>
      </c>
      <c r="N60" s="194" t="str">
        <f xml:space="preserve"> '2.2 Generelle input'!N275</f>
        <v>Ej relevant</v>
      </c>
      <c r="O60" s="401"/>
      <c r="P60" s="401"/>
      <c r="Q60" s="401"/>
      <c r="R60" s="202"/>
      <c r="S60" s="202"/>
      <c r="T60" s="202"/>
      <c r="U60" s="202"/>
      <c r="V60" s="202"/>
      <c r="W60" s="202"/>
    </row>
    <row r="61" spans="4:23" ht="15" customHeight="1">
      <c r="D61" s="85" t="str">
        <f xml:space="preserve"> '2.1 Model setup'!K77</f>
        <v>3.1 Generel administration</v>
      </c>
      <c r="F61"/>
      <c r="G61"/>
      <c r="H61"/>
      <c r="I61"/>
      <c r="J61"/>
      <c r="K61" s="87" t="s">
        <v>41</v>
      </c>
      <c r="N61" s="194" t="str">
        <f xml:space="preserve"> '2.2 Generelle input'!N276</f>
        <v>Ej relevant</v>
      </c>
      <c r="O61" s="401"/>
      <c r="P61" s="401"/>
      <c r="Q61" s="401"/>
      <c r="R61" s="202"/>
      <c r="S61" s="202"/>
      <c r="T61" s="202"/>
      <c r="U61" s="202"/>
      <c r="V61" s="202"/>
      <c r="W61" s="202"/>
    </row>
    <row r="62" spans="4:23" ht="15" customHeight="1">
      <c r="D62" s="85" t="str">
        <f xml:space="preserve"> '2.1 Model setup'!K78</f>
        <v>4.1 Omkostninger vedrørende nettab i transformerstationer</v>
      </c>
      <c r="F62"/>
      <c r="G62"/>
      <c r="H62"/>
      <c r="I62"/>
      <c r="J62"/>
      <c r="K62" s="87" t="s">
        <v>41</v>
      </c>
      <c r="N62" s="194" t="str">
        <f xml:space="preserve"> '2.2 Generelle input'!N277</f>
        <v>Lav</v>
      </c>
      <c r="O62" s="401"/>
      <c r="P62" s="401"/>
      <c r="Q62" s="401"/>
      <c r="R62" s="202"/>
      <c r="S62" s="202"/>
      <c r="T62" s="202"/>
      <c r="U62" s="202"/>
      <c r="V62" s="202"/>
      <c r="W62" s="202"/>
    </row>
    <row r="63" spans="4:23" ht="15" customHeight="1">
      <c r="D63" s="85" t="str">
        <f xml:space="preserve"> '2.1 Model setup'!K79</f>
        <v>4.2 Omkostninger vedrørende nettab i ledningsnettet</v>
      </c>
      <c r="F63"/>
      <c r="G63"/>
      <c r="H63"/>
      <c r="I63"/>
      <c r="J63"/>
      <c r="K63" s="87" t="s">
        <v>41</v>
      </c>
      <c r="N63" s="194" t="str">
        <f xml:space="preserve"> '2.2 Generelle input'!N278</f>
        <v>Høj</v>
      </c>
      <c r="O63" s="401"/>
      <c r="P63" s="401"/>
      <c r="Q63" s="401"/>
      <c r="R63" s="202"/>
      <c r="S63" s="202"/>
      <c r="T63" s="202"/>
      <c r="U63" s="202"/>
      <c r="V63" s="202"/>
      <c r="W63" s="202"/>
    </row>
    <row r="64" spans="4:23" ht="15" customHeight="1">
      <c r="D64" s="85" t="str">
        <f xml:space="preserve"> '2.1 Model setup'!K80</f>
        <v>5.1 Omkostninger til overliggende net ifm. forbrug</v>
      </c>
      <c r="F64"/>
      <c r="G64"/>
      <c r="H64"/>
      <c r="I64"/>
      <c r="J64"/>
      <c r="K64" s="87" t="s">
        <v>41</v>
      </c>
      <c r="N64" s="194" t="str">
        <f xml:space="preserve"> '2.2 Generelle input'!N279</f>
        <v>Høj</v>
      </c>
      <c r="O64" s="401"/>
      <c r="P64" s="401"/>
      <c r="Q64" s="401"/>
      <c r="R64" s="202"/>
      <c r="S64" s="202"/>
      <c r="T64" s="202"/>
      <c r="U64" s="202"/>
      <c r="V64" s="202"/>
      <c r="W64" s="202"/>
    </row>
    <row r="65" spans="4:23" ht="15" customHeight="1">
      <c r="D65" s="85" t="str">
        <f xml:space="preserve"> '2.1 Model setup'!K81</f>
        <v>5.2 Øvrige omkostninger</v>
      </c>
      <c r="F65"/>
      <c r="G65"/>
      <c r="H65"/>
      <c r="I65"/>
      <c r="J65"/>
      <c r="K65" s="87" t="s">
        <v>41</v>
      </c>
      <c r="N65" s="194" t="str">
        <f xml:space="preserve"> '2.3 Selskabsspecifikke input'!N176</f>
        <v>Lav</v>
      </c>
      <c r="O65" s="401"/>
      <c r="P65" s="401"/>
      <c r="Q65" s="401"/>
      <c r="R65" s="202"/>
      <c r="S65" s="202"/>
      <c r="T65" s="202"/>
      <c r="U65" s="202"/>
      <c r="V65" s="202"/>
      <c r="W65" s="202"/>
    </row>
    <row r="66" spans="4:23" ht="15" customHeight="1">
      <c r="D66" s="85" t="str">
        <f xml:space="preserve"> '2.1 Model setup'!K82</f>
        <v>6.1 Afskrivninger på transformerstationer</v>
      </c>
      <c r="F66"/>
      <c r="G66"/>
      <c r="H66"/>
      <c r="I66"/>
      <c r="J66"/>
      <c r="K66" s="87" t="s">
        <v>41</v>
      </c>
      <c r="N66" s="194" t="str">
        <f xml:space="preserve"> '2.2 Generelle input'!N282</f>
        <v>Lav</v>
      </c>
      <c r="O66" s="401"/>
      <c r="P66" s="401"/>
      <c r="Q66" s="401"/>
      <c r="R66" s="202"/>
      <c r="S66" s="202"/>
      <c r="T66" s="202"/>
      <c r="U66" s="202"/>
      <c r="V66" s="202"/>
      <c r="W66" s="202"/>
    </row>
    <row r="67" spans="4:23" ht="15" customHeight="1">
      <c r="D67" s="85" t="str">
        <f xml:space="preserve"> '2.1 Model setup'!K83</f>
        <v>6.2 Afskrivninger på netaktiver ekskl. målere og transformerstationer</v>
      </c>
      <c r="F67"/>
      <c r="G67"/>
      <c r="H67"/>
      <c r="I67"/>
      <c r="J67"/>
      <c r="K67" s="87" t="s">
        <v>41</v>
      </c>
      <c r="N67" s="194" t="str">
        <f xml:space="preserve"> '2.2 Generelle input'!N283</f>
        <v>Høj</v>
      </c>
      <c r="O67" s="401"/>
      <c r="P67" s="401"/>
      <c r="Q67" s="401"/>
      <c r="R67" s="202"/>
      <c r="S67" s="202"/>
      <c r="T67" s="202"/>
      <c r="U67" s="202"/>
      <c r="V67" s="202"/>
      <c r="W67" s="202"/>
    </row>
    <row r="68" spans="4:23" ht="15" customHeight="1">
      <c r="D68" s="99" t="str">
        <f xml:space="preserve"> '2.1 Model setup'!K84</f>
        <v>6.3 Afskrivninger på målere</v>
      </c>
      <c r="E68" s="27"/>
      <c r="F68" s="60"/>
      <c r="G68" s="60"/>
      <c r="H68" s="60"/>
      <c r="I68" s="60"/>
      <c r="J68" s="60"/>
      <c r="K68" s="98" t="s">
        <v>41</v>
      </c>
      <c r="L68" s="27"/>
      <c r="M68" s="27"/>
      <c r="N68" s="195" t="str">
        <f xml:space="preserve"> '2.2 Generelle input'!N284</f>
        <v>Ej relevant</v>
      </c>
      <c r="O68" s="402"/>
      <c r="P68" s="402"/>
      <c r="Q68" s="402"/>
      <c r="R68" s="269"/>
      <c r="S68" s="269"/>
      <c r="T68" s="269"/>
      <c r="U68" s="269"/>
      <c r="V68" s="269"/>
      <c r="W68" s="269"/>
    </row>
    <row r="70" spans="4:23" ht="15" customHeight="1">
      <c r="D70" s="97" t="s">
        <v>295</v>
      </c>
      <c r="E70" s="27"/>
      <c r="F70" s="156"/>
      <c r="G70" s="156"/>
      <c r="H70" s="156"/>
      <c r="I70" s="156"/>
      <c r="J70" s="156"/>
      <c r="K70" s="87"/>
    </row>
    <row r="71" spans="4:23" ht="15" customHeight="1">
      <c r="D71" s="85" t="str">
        <f xml:space="preserve"> '2.1 Model setup'!K70</f>
        <v>1.1 Drift og vedligeholdelse af transformerstationer</v>
      </c>
      <c r="F71" s="56"/>
      <c r="G71" s="56"/>
      <c r="H71" s="56"/>
      <c r="I71" s="56"/>
      <c r="J71" s="56"/>
      <c r="K71" s="117" t="s">
        <v>132</v>
      </c>
      <c r="L71" s="15"/>
      <c r="M71" s="15"/>
      <c r="N71" s="193">
        <f xml:space="preserve"> -- ( '2.3 Selskabsspecifikke input'!W77 &lt;&gt; 0 )</f>
        <v>0</v>
      </c>
      <c r="O71" s="400"/>
      <c r="P71" s="400"/>
      <c r="Q71" s="400"/>
      <c r="R71" s="274"/>
      <c r="S71" s="274"/>
      <c r="T71" s="274"/>
      <c r="U71" s="274"/>
      <c r="V71" s="274"/>
      <c r="W71" s="274"/>
    </row>
    <row r="72" spans="4:23" ht="15" customHeight="1">
      <c r="D72" s="85" t="str">
        <f xml:space="preserve"> '2.1 Model setup'!K71</f>
        <v>1.2 Drift og vedligeholdelse af ledningsnet</v>
      </c>
      <c r="F72"/>
      <c r="G72"/>
      <c r="H72"/>
      <c r="I72"/>
      <c r="J72"/>
      <c r="K72" s="87" t="s">
        <v>132</v>
      </c>
      <c r="N72" s="194">
        <f xml:space="preserve"> -- ( '2.3 Selskabsspecifikke input'!W78 &lt;&gt; 0 )</f>
        <v>0</v>
      </c>
      <c r="O72" s="401"/>
      <c r="P72" s="401"/>
      <c r="Q72" s="401"/>
      <c r="R72" s="202"/>
      <c r="S72" s="202"/>
      <c r="T72" s="202"/>
      <c r="U72" s="202"/>
      <c r="V72" s="202"/>
      <c r="W72" s="202"/>
    </row>
    <row r="73" spans="4:23" ht="15" customHeight="1">
      <c r="D73" s="85" t="str">
        <f xml:space="preserve"> '2.1 Model setup'!K72</f>
        <v>1.3 Øvrige omkostninger til drift, styring og kontrol af elnettet</v>
      </c>
      <c r="F73"/>
      <c r="G73"/>
      <c r="H73"/>
      <c r="I73"/>
      <c r="J73"/>
      <c r="K73" s="87" t="s">
        <v>132</v>
      </c>
      <c r="N73" s="194">
        <f xml:space="preserve"> -- ( '2.3 Selskabsspecifikke input'!W79 &lt;&gt; 0 )</f>
        <v>0</v>
      </c>
      <c r="O73" s="401"/>
      <c r="P73" s="401"/>
      <c r="Q73" s="401"/>
      <c r="R73" s="202"/>
      <c r="S73" s="202"/>
      <c r="T73" s="202"/>
      <c r="U73" s="202"/>
      <c r="V73" s="202"/>
      <c r="W73" s="202"/>
    </row>
    <row r="74" spans="4:23" ht="15" customHeight="1">
      <c r="D74" s="85" t="str">
        <f xml:space="preserve"> '2.1 Model setup'!K73</f>
        <v>1.4 Omkostninger vedrørende 132-150/30-60 kV-stationer</v>
      </c>
      <c r="F74"/>
      <c r="G74"/>
      <c r="H74"/>
      <c r="I74"/>
      <c r="J74"/>
      <c r="K74" s="87" t="s">
        <v>566</v>
      </c>
      <c r="N74" s="194">
        <f xml:space="preserve"> -- ( '2.3 Selskabsspecifikke input'!W80 &lt;&gt; 0 )</f>
        <v>0</v>
      </c>
      <c r="O74" s="401"/>
      <c r="P74" s="401"/>
      <c r="Q74" s="401"/>
      <c r="R74" s="202"/>
      <c r="S74" s="202"/>
      <c r="T74" s="202"/>
      <c r="U74" s="202"/>
      <c r="V74" s="202"/>
      <c r="W74" s="202"/>
    </row>
    <row r="75" spans="4:23" ht="15" customHeight="1">
      <c r="D75" s="85" t="str">
        <f xml:space="preserve"> '2.1 Model setup'!K74</f>
        <v>2.1 Drift og vedligeholdelse af målere</v>
      </c>
      <c r="F75"/>
      <c r="G75"/>
      <c r="H75"/>
      <c r="I75"/>
      <c r="J75"/>
      <c r="K75" s="87" t="s">
        <v>132</v>
      </c>
      <c r="N75" s="194">
        <f xml:space="preserve"> -- ( '2.3 Selskabsspecifikke input'!W81 &lt;&gt; 0 )</f>
        <v>0</v>
      </c>
      <c r="O75" s="401"/>
      <c r="P75" s="401"/>
      <c r="Q75" s="401"/>
      <c r="R75" s="202"/>
      <c r="S75" s="202"/>
      <c r="T75" s="202"/>
      <c r="U75" s="202"/>
      <c r="V75" s="202"/>
      <c r="W75" s="202"/>
    </row>
    <row r="76" spans="4:23" ht="15" customHeight="1">
      <c r="D76" s="85" t="str">
        <f xml:space="preserve"> '2.1 Model setup'!K75</f>
        <v>2.2 Indhentning og validering af målerdata</v>
      </c>
      <c r="F76"/>
      <c r="G76"/>
      <c r="H76"/>
      <c r="I76"/>
      <c r="J76"/>
      <c r="K76" s="87" t="s">
        <v>132</v>
      </c>
      <c r="N76" s="194">
        <f xml:space="preserve"> -- ( '2.3 Selskabsspecifikke input'!W82 &lt;&gt; 0 )</f>
        <v>0</v>
      </c>
      <c r="O76" s="401"/>
      <c r="P76" s="401"/>
      <c r="Q76" s="401"/>
      <c r="R76" s="202"/>
      <c r="S76" s="202"/>
      <c r="T76" s="202"/>
      <c r="U76" s="202"/>
      <c r="V76" s="202"/>
      <c r="W76" s="202"/>
    </row>
    <row r="77" spans="4:23" ht="15" customHeight="1">
      <c r="D77" s="85" t="str">
        <f xml:space="preserve"> '2.1 Model setup'!K76</f>
        <v>2.3 Måleradministration og kundehåndtering</v>
      </c>
      <c r="F77"/>
      <c r="G77"/>
      <c r="H77"/>
      <c r="I77"/>
      <c r="J77"/>
      <c r="K77" s="87" t="s">
        <v>132</v>
      </c>
      <c r="N77" s="194">
        <f xml:space="preserve"> -- ( '2.3 Selskabsspecifikke input'!W83 &lt;&gt; 0 )</f>
        <v>0</v>
      </c>
      <c r="O77" s="401"/>
      <c r="P77" s="401"/>
      <c r="Q77" s="401"/>
      <c r="R77" s="202"/>
      <c r="S77" s="202"/>
      <c r="T77" s="202"/>
      <c r="U77" s="202"/>
      <c r="V77" s="202"/>
      <c r="W77" s="202"/>
    </row>
    <row r="78" spans="4:23" ht="15" customHeight="1">
      <c r="D78" s="85" t="str">
        <f xml:space="preserve"> '2.1 Model setup'!K77</f>
        <v>3.1 Generel administration</v>
      </c>
      <c r="F78"/>
      <c r="G78"/>
      <c r="H78"/>
      <c r="I78"/>
      <c r="J78"/>
      <c r="K78" s="87" t="s">
        <v>132</v>
      </c>
      <c r="N78" s="194">
        <f xml:space="preserve"> -- ( '2.3 Selskabsspecifikke input'!W84 &lt;&gt; 0 )</f>
        <v>0</v>
      </c>
      <c r="O78" s="401"/>
      <c r="P78" s="401"/>
      <c r="Q78" s="401"/>
      <c r="R78" s="202"/>
      <c r="S78" s="202"/>
      <c r="T78" s="202"/>
      <c r="U78" s="202"/>
      <c r="V78" s="202"/>
      <c r="W78" s="202"/>
    </row>
    <row r="79" spans="4:23" ht="15" customHeight="1">
      <c r="D79" s="85" t="str">
        <f xml:space="preserve"> '2.1 Model setup'!K78</f>
        <v>4.1 Omkostninger vedrørende nettab i transformerstationer</v>
      </c>
      <c r="F79"/>
      <c r="G79"/>
      <c r="H79"/>
      <c r="I79"/>
      <c r="J79"/>
      <c r="K79" s="87" t="s">
        <v>132</v>
      </c>
      <c r="N79" s="194">
        <f xml:space="preserve"> -- ( '2.3 Selskabsspecifikke input'!W85 &lt;&gt; 0 )</f>
        <v>0</v>
      </c>
      <c r="O79" s="401"/>
      <c r="P79" s="401"/>
      <c r="Q79" s="401"/>
      <c r="R79" s="202"/>
      <c r="S79" s="202"/>
      <c r="T79" s="202"/>
      <c r="U79" s="202"/>
      <c r="V79" s="202"/>
      <c r="W79" s="202"/>
    </row>
    <row r="80" spans="4:23" ht="15" customHeight="1">
      <c r="D80" s="85" t="str">
        <f xml:space="preserve"> '2.1 Model setup'!K79</f>
        <v>4.2 Omkostninger vedrørende nettab i ledningsnettet</v>
      </c>
      <c r="F80"/>
      <c r="G80"/>
      <c r="H80"/>
      <c r="I80"/>
      <c r="J80"/>
      <c r="K80" s="87" t="s">
        <v>132</v>
      </c>
      <c r="N80" s="194">
        <f xml:space="preserve"> -- ( '2.3 Selskabsspecifikke input'!W86 &lt;&gt; 0 )</f>
        <v>0</v>
      </c>
      <c r="O80" s="401"/>
      <c r="P80" s="401"/>
      <c r="Q80" s="401"/>
      <c r="R80" s="202"/>
      <c r="S80" s="202"/>
      <c r="T80" s="202"/>
      <c r="U80" s="202"/>
      <c r="V80" s="202"/>
      <c r="W80" s="202"/>
    </row>
    <row r="81" spans="4:23" ht="15" customHeight="1">
      <c r="D81" s="85" t="str">
        <f xml:space="preserve"> '2.1 Model setup'!K80</f>
        <v>5.1 Omkostninger til overliggende net ifm. forbrug</v>
      </c>
      <c r="F81"/>
      <c r="G81"/>
      <c r="H81"/>
      <c r="I81"/>
      <c r="J81"/>
      <c r="K81" s="87" t="s">
        <v>132</v>
      </c>
      <c r="N81" s="194">
        <f xml:space="preserve"> -- ( '2.3 Selskabsspecifikke input'!W87 &lt;&gt; 0 )</f>
        <v>0</v>
      </c>
      <c r="O81" s="401"/>
      <c r="P81" s="401"/>
      <c r="Q81" s="401"/>
      <c r="R81" s="202"/>
      <c r="S81" s="202"/>
      <c r="T81" s="202"/>
      <c r="U81" s="202"/>
      <c r="V81" s="202"/>
      <c r="W81" s="202"/>
    </row>
    <row r="82" spans="4:23" ht="15" customHeight="1">
      <c r="D82" s="85" t="str">
        <f xml:space="preserve"> '2.1 Model setup'!K81</f>
        <v>5.2 Øvrige omkostninger</v>
      </c>
      <c r="F82"/>
      <c r="G82"/>
      <c r="H82"/>
      <c r="I82"/>
      <c r="J82"/>
      <c r="K82" s="87" t="s">
        <v>132</v>
      </c>
      <c r="N82" s="194">
        <f xml:space="preserve"> -- ( '2.3 Selskabsspecifikke input'!W88 &lt;&gt; 0 )</f>
        <v>0</v>
      </c>
      <c r="O82" s="401"/>
      <c r="P82" s="401"/>
      <c r="Q82" s="401"/>
      <c r="R82" s="202"/>
      <c r="S82" s="202"/>
      <c r="T82" s="202"/>
      <c r="U82" s="202"/>
      <c r="V82" s="202"/>
      <c r="W82" s="202"/>
    </row>
    <row r="83" spans="4:23" ht="15" customHeight="1">
      <c r="D83" s="85" t="str">
        <f xml:space="preserve"> '2.1 Model setup'!K82</f>
        <v>6.1 Afskrivninger på transformerstationer</v>
      </c>
      <c r="F83"/>
      <c r="G83"/>
      <c r="H83"/>
      <c r="I83"/>
      <c r="J83"/>
      <c r="K83" s="87" t="s">
        <v>132</v>
      </c>
      <c r="N83" s="194">
        <f xml:space="preserve"> -- ( '2.3 Selskabsspecifikke input'!W89 &lt;&gt; 0 )</f>
        <v>0</v>
      </c>
      <c r="O83" s="401"/>
      <c r="P83" s="401"/>
      <c r="Q83" s="401"/>
      <c r="R83" s="202"/>
      <c r="S83" s="202"/>
      <c r="T83" s="202"/>
      <c r="U83" s="202"/>
      <c r="V83" s="202"/>
      <c r="W83" s="202"/>
    </row>
    <row r="84" spans="4:23" ht="15" customHeight="1">
      <c r="D84" s="85" t="str">
        <f xml:space="preserve"> '2.1 Model setup'!K83</f>
        <v>6.2 Afskrivninger på netaktiver ekskl. målere og transformerstationer</v>
      </c>
      <c r="F84"/>
      <c r="G84"/>
      <c r="H84"/>
      <c r="I84"/>
      <c r="J84"/>
      <c r="K84" s="87" t="s">
        <v>132</v>
      </c>
      <c r="N84" s="194">
        <f xml:space="preserve"> -- ( '2.3 Selskabsspecifikke input'!W90 &lt;&gt; 0 )</f>
        <v>0</v>
      </c>
      <c r="O84" s="401"/>
      <c r="P84" s="401"/>
      <c r="Q84" s="401"/>
      <c r="R84" s="202"/>
      <c r="S84" s="202"/>
      <c r="T84" s="202"/>
      <c r="U84" s="202"/>
      <c r="V84" s="202"/>
      <c r="W84" s="202"/>
    </row>
    <row r="85" spans="4:23" ht="15" customHeight="1">
      <c r="D85" s="99" t="str">
        <f xml:space="preserve"> '2.1 Model setup'!K84</f>
        <v>6.3 Afskrivninger på målere</v>
      </c>
      <c r="E85" s="27"/>
      <c r="F85" s="60"/>
      <c r="G85" s="60"/>
      <c r="H85" s="60"/>
      <c r="I85" s="60"/>
      <c r="J85" s="60"/>
      <c r="K85" s="98" t="s">
        <v>132</v>
      </c>
      <c r="L85" s="27"/>
      <c r="M85" s="27"/>
      <c r="N85" s="195">
        <f xml:space="preserve"> -- ( '2.3 Selskabsspecifikke input'!W91 &lt;&gt; 0 )</f>
        <v>0</v>
      </c>
      <c r="O85" s="402"/>
      <c r="P85" s="402"/>
      <c r="Q85" s="402"/>
      <c r="R85" s="269"/>
      <c r="S85" s="269"/>
      <c r="T85" s="269"/>
      <c r="U85" s="269"/>
      <c r="V85" s="269"/>
      <c r="W85" s="269"/>
    </row>
    <row r="87" spans="4:23" ht="15" customHeight="1">
      <c r="D87" s="35" t="s">
        <v>492</v>
      </c>
      <c r="E87" s="27"/>
      <c r="F87" s="27"/>
      <c r="G87" s="27"/>
      <c r="H87" s="27"/>
      <c r="I87" s="27"/>
      <c r="J87" s="27"/>
      <c r="K87" s="32"/>
      <c r="L87" s="27"/>
      <c r="M87" s="27"/>
      <c r="N87" s="27"/>
      <c r="O87" s="27"/>
      <c r="P87" s="27"/>
      <c r="Q87" s="27"/>
      <c r="R87" s="27"/>
      <c r="S87" s="27"/>
      <c r="T87" s="27"/>
      <c r="U87" s="27"/>
      <c r="V87" s="27"/>
      <c r="W87" s="185" t="s">
        <v>16</v>
      </c>
    </row>
    <row r="88" spans="4:23" ht="15" customHeight="1">
      <c r="D88" s="85" t="str">
        <f xml:space="preserve"> '2.1 Model setup'!K70</f>
        <v>1.1 Drift og vedligeholdelse af transformerstationer</v>
      </c>
      <c r="K88" s="5" t="str">
        <f t="shared" ref="K88:K105" si="6" xml:space="preserve"> Model.Units2</f>
        <v>kWh</v>
      </c>
      <c r="L88" s="85"/>
      <c r="O88" s="202"/>
      <c r="P88" s="202"/>
      <c r="Q88" s="202"/>
      <c r="R88" s="1">
        <f xml:space="preserve"> '3.1 Opsplitning af forbrug'!R146</f>
        <v>0</v>
      </c>
      <c r="S88" s="1">
        <f xml:space="preserve"> '3.1 Opsplitning af forbrug'!S146</f>
        <v>0</v>
      </c>
      <c r="T88" s="1">
        <f xml:space="preserve"> '3.1 Opsplitning af forbrug'!T146</f>
        <v>0</v>
      </c>
      <c r="U88" s="1">
        <f xml:space="preserve"> '3.1 Opsplitning af forbrug'!U146</f>
        <v>0</v>
      </c>
      <c r="V88" s="1">
        <f xml:space="preserve"> '3.1 Opsplitning af forbrug'!V146</f>
        <v>0</v>
      </c>
      <c r="W88" s="4">
        <f t="shared" ref="W88:W105" si="7" xml:space="preserve"> SUM( R88:V88 )</f>
        <v>0</v>
      </c>
    </row>
    <row r="89" spans="4:23" ht="15" customHeight="1">
      <c r="D89" s="85" t="str">
        <f xml:space="preserve"> '2.1 Model setup'!K71</f>
        <v>1.2 Drift og vedligeholdelse af ledningsnet</v>
      </c>
      <c r="K89" s="5" t="str">
        <f t="shared" si="6"/>
        <v>kWh</v>
      </c>
      <c r="L89" s="85"/>
      <c r="O89" s="202"/>
      <c r="P89" s="202"/>
      <c r="Q89" s="202"/>
      <c r="R89" s="1">
        <f xml:space="preserve"> '3.1 Opsplitning af forbrug'!R147</f>
        <v>0</v>
      </c>
      <c r="S89" s="1">
        <f xml:space="preserve"> '3.1 Opsplitning af forbrug'!S147</f>
        <v>0</v>
      </c>
      <c r="T89" s="1">
        <f xml:space="preserve"> '3.1 Opsplitning af forbrug'!T147</f>
        <v>0</v>
      </c>
      <c r="U89" s="1">
        <f xml:space="preserve"> '3.1 Opsplitning af forbrug'!U147</f>
        <v>0</v>
      </c>
      <c r="V89" s="1">
        <f xml:space="preserve"> '3.1 Opsplitning af forbrug'!V147</f>
        <v>0</v>
      </c>
      <c r="W89" s="4">
        <f t="shared" si="7"/>
        <v>0</v>
      </c>
    </row>
    <row r="90" spans="4:23" ht="15" customHeight="1">
      <c r="D90" s="85" t="str">
        <f xml:space="preserve"> '2.1 Model setup'!K72</f>
        <v>1.3 Øvrige omkostninger til drift, styring og kontrol af elnettet</v>
      </c>
      <c r="K90" s="5" t="str">
        <f t="shared" si="6"/>
        <v>kWh</v>
      </c>
      <c r="L90" s="85"/>
      <c r="O90" s="202"/>
      <c r="P90" s="202"/>
      <c r="Q90" s="202"/>
      <c r="R90" s="1">
        <f xml:space="preserve"> '3.1 Opsplitning af forbrug'!R148</f>
        <v>0</v>
      </c>
      <c r="S90" s="1">
        <f xml:space="preserve"> '3.1 Opsplitning af forbrug'!S148</f>
        <v>0</v>
      </c>
      <c r="T90" s="1">
        <f xml:space="preserve"> '3.1 Opsplitning af forbrug'!T148</f>
        <v>0</v>
      </c>
      <c r="U90" s="1">
        <f xml:space="preserve"> '3.1 Opsplitning af forbrug'!U148</f>
        <v>0</v>
      </c>
      <c r="V90" s="1">
        <f xml:space="preserve"> '3.1 Opsplitning af forbrug'!V148</f>
        <v>0</v>
      </c>
      <c r="W90" s="4">
        <f t="shared" si="7"/>
        <v>0</v>
      </c>
    </row>
    <row r="91" spans="4:23" ht="15" customHeight="1">
      <c r="D91" s="85" t="str">
        <f xml:space="preserve"> '2.1 Model setup'!K73</f>
        <v>1.4 Omkostninger vedrørende 132-150/30-60 kV-stationer</v>
      </c>
      <c r="K91" s="5" t="str">
        <f t="shared" si="6"/>
        <v>kWh</v>
      </c>
      <c r="L91" s="85"/>
      <c r="O91" s="202"/>
      <c r="P91" s="202"/>
      <c r="Q91" s="202"/>
      <c r="R91" s="1">
        <f xml:space="preserve"> '3.1 Opsplitning af forbrug'!R149</f>
        <v>0</v>
      </c>
      <c r="S91" s="1">
        <f xml:space="preserve"> '3.1 Opsplitning af forbrug'!S149</f>
        <v>0</v>
      </c>
      <c r="T91" s="1">
        <f xml:space="preserve"> '3.1 Opsplitning af forbrug'!T149</f>
        <v>0</v>
      </c>
      <c r="U91" s="1">
        <f xml:space="preserve"> '3.1 Opsplitning af forbrug'!U149</f>
        <v>0</v>
      </c>
      <c r="V91" s="1">
        <f xml:space="preserve"> '3.1 Opsplitning af forbrug'!V149</f>
        <v>0</v>
      </c>
      <c r="W91" s="4">
        <f xml:space="preserve"> SUM( R91:V91 )</f>
        <v>0</v>
      </c>
    </row>
    <row r="92" spans="4:23" ht="15" customHeight="1">
      <c r="D92" s="85" t="str">
        <f xml:space="preserve"> '2.1 Model setup'!K74</f>
        <v>2.1 Drift og vedligeholdelse af målere</v>
      </c>
      <c r="K92" s="5" t="str">
        <f t="shared" si="6"/>
        <v>kWh</v>
      </c>
      <c r="L92" s="85"/>
      <c r="O92" s="202"/>
      <c r="P92" s="202"/>
      <c r="Q92" s="202"/>
      <c r="R92" s="1">
        <f xml:space="preserve"> '3.1 Opsplitning af forbrug'!R150</f>
        <v>0</v>
      </c>
      <c r="S92" s="1">
        <f xml:space="preserve"> '3.1 Opsplitning af forbrug'!S150</f>
        <v>0</v>
      </c>
      <c r="T92" s="1">
        <f xml:space="preserve"> '3.1 Opsplitning af forbrug'!T150</f>
        <v>0</v>
      </c>
      <c r="U92" s="1">
        <f xml:space="preserve"> '3.1 Opsplitning af forbrug'!U150</f>
        <v>0</v>
      </c>
      <c r="V92" s="1">
        <f xml:space="preserve"> '3.1 Opsplitning af forbrug'!V150</f>
        <v>0</v>
      </c>
      <c r="W92" s="4">
        <f t="shared" si="7"/>
        <v>0</v>
      </c>
    </row>
    <row r="93" spans="4:23" ht="15" customHeight="1">
      <c r="D93" s="85" t="str">
        <f xml:space="preserve"> '2.1 Model setup'!K75</f>
        <v>2.2 Indhentning og validering af målerdata</v>
      </c>
      <c r="K93" s="5" t="str">
        <f t="shared" si="6"/>
        <v>kWh</v>
      </c>
      <c r="L93" s="85"/>
      <c r="O93" s="202"/>
      <c r="P93" s="202"/>
      <c r="Q93" s="202"/>
      <c r="R93" s="1">
        <f xml:space="preserve"> '3.1 Opsplitning af forbrug'!R151</f>
        <v>0</v>
      </c>
      <c r="S93" s="1">
        <f xml:space="preserve"> '3.1 Opsplitning af forbrug'!S151</f>
        <v>0</v>
      </c>
      <c r="T93" s="1">
        <f xml:space="preserve"> '3.1 Opsplitning af forbrug'!T151</f>
        <v>0</v>
      </c>
      <c r="U93" s="1">
        <f xml:space="preserve"> '3.1 Opsplitning af forbrug'!U151</f>
        <v>0</v>
      </c>
      <c r="V93" s="1">
        <f xml:space="preserve"> '3.1 Opsplitning af forbrug'!V151</f>
        <v>0</v>
      </c>
      <c r="W93" s="4">
        <f t="shared" si="7"/>
        <v>0</v>
      </c>
    </row>
    <row r="94" spans="4:23" ht="15" customHeight="1">
      <c r="D94" s="85" t="str">
        <f xml:space="preserve"> '2.1 Model setup'!K76</f>
        <v>2.3 Måleradministration og kundehåndtering</v>
      </c>
      <c r="K94" s="5" t="str">
        <f t="shared" si="6"/>
        <v>kWh</v>
      </c>
      <c r="L94" s="85"/>
      <c r="O94" s="202"/>
      <c r="P94" s="202"/>
      <c r="Q94" s="202"/>
      <c r="R94" s="1">
        <f xml:space="preserve"> '3.1 Opsplitning af forbrug'!R152</f>
        <v>0</v>
      </c>
      <c r="S94" s="1">
        <f xml:space="preserve"> '3.1 Opsplitning af forbrug'!S152</f>
        <v>0</v>
      </c>
      <c r="T94" s="1">
        <f xml:space="preserve"> '3.1 Opsplitning af forbrug'!T152</f>
        <v>0</v>
      </c>
      <c r="U94" s="1">
        <f xml:space="preserve"> '3.1 Opsplitning af forbrug'!U152</f>
        <v>0</v>
      </c>
      <c r="V94" s="1">
        <f xml:space="preserve"> '3.1 Opsplitning af forbrug'!V152</f>
        <v>0</v>
      </c>
      <c r="W94" s="4">
        <f t="shared" si="7"/>
        <v>0</v>
      </c>
    </row>
    <row r="95" spans="4:23" ht="15" customHeight="1">
      <c r="D95" s="85" t="str">
        <f xml:space="preserve"> '2.1 Model setup'!K77</f>
        <v>3.1 Generel administration</v>
      </c>
      <c r="K95" s="5" t="str">
        <f t="shared" si="6"/>
        <v>kWh</v>
      </c>
      <c r="L95" s="85"/>
      <c r="O95" s="202"/>
      <c r="P95" s="202"/>
      <c r="Q95" s="202"/>
      <c r="R95" s="1">
        <f xml:space="preserve"> '3.1 Opsplitning af forbrug'!R153</f>
        <v>0</v>
      </c>
      <c r="S95" s="1">
        <f xml:space="preserve"> '3.1 Opsplitning af forbrug'!S153</f>
        <v>0</v>
      </c>
      <c r="T95" s="1">
        <f xml:space="preserve"> '3.1 Opsplitning af forbrug'!T153</f>
        <v>0</v>
      </c>
      <c r="U95" s="1">
        <f xml:space="preserve"> '3.1 Opsplitning af forbrug'!U153</f>
        <v>0</v>
      </c>
      <c r="V95" s="1">
        <f xml:space="preserve"> '3.1 Opsplitning af forbrug'!V153</f>
        <v>0</v>
      </c>
      <c r="W95" s="4">
        <f t="shared" si="7"/>
        <v>0</v>
      </c>
    </row>
    <row r="96" spans="4:23" ht="15" customHeight="1">
      <c r="D96" s="85" t="str">
        <f xml:space="preserve"> '2.1 Model setup'!K78</f>
        <v>4.1 Omkostninger vedrørende nettab i transformerstationer</v>
      </c>
      <c r="K96" s="5" t="str">
        <f t="shared" si="6"/>
        <v>kWh</v>
      </c>
      <c r="L96" s="85"/>
      <c r="O96" s="202"/>
      <c r="P96" s="202"/>
      <c r="Q96" s="202"/>
      <c r="R96" s="1">
        <f xml:space="preserve"> '3.1 Opsplitning af forbrug'!R154</f>
        <v>0</v>
      </c>
      <c r="S96" s="1">
        <f xml:space="preserve"> '3.1 Opsplitning af forbrug'!S154</f>
        <v>0</v>
      </c>
      <c r="T96" s="1">
        <f xml:space="preserve"> '3.1 Opsplitning af forbrug'!T154</f>
        <v>0</v>
      </c>
      <c r="U96" s="1">
        <f xml:space="preserve"> '3.1 Opsplitning af forbrug'!U154</f>
        <v>0</v>
      </c>
      <c r="V96" s="1">
        <f xml:space="preserve"> '3.1 Opsplitning af forbrug'!V154</f>
        <v>0</v>
      </c>
      <c r="W96" s="4">
        <f t="shared" si="7"/>
        <v>0</v>
      </c>
    </row>
    <row r="97" spans="4:23" ht="15" customHeight="1">
      <c r="D97" s="85" t="str">
        <f xml:space="preserve"> '2.1 Model setup'!K79</f>
        <v>4.2 Omkostninger vedrørende nettab i ledningsnettet</v>
      </c>
      <c r="K97" s="5" t="str">
        <f t="shared" si="6"/>
        <v>kWh</v>
      </c>
      <c r="L97" s="85"/>
      <c r="O97" s="202"/>
      <c r="P97" s="202"/>
      <c r="Q97" s="202"/>
      <c r="R97" s="1">
        <f xml:space="preserve"> '3.1 Opsplitning af forbrug'!R155</f>
        <v>0</v>
      </c>
      <c r="S97" s="1">
        <f xml:space="preserve"> '3.1 Opsplitning af forbrug'!S155</f>
        <v>0</v>
      </c>
      <c r="T97" s="1">
        <f xml:space="preserve"> '3.1 Opsplitning af forbrug'!T155</f>
        <v>0</v>
      </c>
      <c r="U97" s="1">
        <f xml:space="preserve"> '3.1 Opsplitning af forbrug'!U155</f>
        <v>0</v>
      </c>
      <c r="V97" s="1">
        <f xml:space="preserve"> '3.1 Opsplitning af forbrug'!V155</f>
        <v>0</v>
      </c>
      <c r="W97" s="4">
        <f t="shared" si="7"/>
        <v>0</v>
      </c>
    </row>
    <row r="98" spans="4:23" ht="15" customHeight="1">
      <c r="D98" s="85" t="str">
        <f xml:space="preserve"> '2.1 Model setup'!K80</f>
        <v>5.1 Omkostninger til overliggende net ifm. forbrug</v>
      </c>
      <c r="K98" s="5" t="str">
        <f t="shared" si="6"/>
        <v>kWh</v>
      </c>
      <c r="L98" s="85"/>
      <c r="O98" s="202"/>
      <c r="P98" s="202"/>
      <c r="Q98" s="202"/>
      <c r="R98" s="1">
        <f xml:space="preserve"> '3.1 Opsplitning af forbrug'!R157</f>
        <v>0</v>
      </c>
      <c r="S98" s="1">
        <f xml:space="preserve"> '3.1 Opsplitning af forbrug'!S157</f>
        <v>0</v>
      </c>
      <c r="T98" s="1">
        <f xml:space="preserve"> '3.1 Opsplitning af forbrug'!T157</f>
        <v>0</v>
      </c>
      <c r="U98" s="1">
        <f xml:space="preserve"> '3.1 Opsplitning af forbrug'!U157</f>
        <v>0</v>
      </c>
      <c r="V98" s="1">
        <f xml:space="preserve"> '3.1 Opsplitning af forbrug'!V157</f>
        <v>0</v>
      </c>
      <c r="W98" s="4">
        <f xml:space="preserve"> SUM( R98:V98 )</f>
        <v>0</v>
      </c>
    </row>
    <row r="99" spans="4:23" ht="15" customHeight="1">
      <c r="D99" s="85" t="str">
        <f xml:space="preserve"> '2.1 Model setup'!K81</f>
        <v>5.2 Øvrige omkostninger</v>
      </c>
      <c r="K99" s="5" t="str">
        <f t="shared" si="6"/>
        <v>kWh</v>
      </c>
      <c r="L99" s="85"/>
      <c r="O99" s="202"/>
      <c r="P99" s="202"/>
      <c r="Q99" s="202"/>
      <c r="R99" s="1">
        <f xml:space="preserve"> '3.1 Opsplitning af forbrug'!R157</f>
        <v>0</v>
      </c>
      <c r="S99" s="1">
        <f xml:space="preserve"> '3.1 Opsplitning af forbrug'!S157</f>
        <v>0</v>
      </c>
      <c r="T99" s="1">
        <f xml:space="preserve"> '3.1 Opsplitning af forbrug'!T157</f>
        <v>0</v>
      </c>
      <c r="U99" s="1">
        <f xml:space="preserve"> '3.1 Opsplitning af forbrug'!U157</f>
        <v>0</v>
      </c>
      <c r="V99" s="1">
        <f xml:space="preserve"> '3.1 Opsplitning af forbrug'!V157</f>
        <v>0</v>
      </c>
      <c r="W99" s="4">
        <f t="shared" si="7"/>
        <v>0</v>
      </c>
    </row>
    <row r="100" spans="4:23" ht="15" customHeight="1">
      <c r="D100" s="85" t="str">
        <f xml:space="preserve"> '2.1 Model setup'!K82</f>
        <v>6.1 Afskrivninger på transformerstationer</v>
      </c>
      <c r="K100" s="5" t="str">
        <f t="shared" si="6"/>
        <v>kWh</v>
      </c>
      <c r="L100" s="85"/>
      <c r="O100" s="202"/>
      <c r="P100" s="202"/>
      <c r="Q100" s="202"/>
      <c r="R100" s="1">
        <f xml:space="preserve"> '3.1 Opsplitning af forbrug'!R158</f>
        <v>0</v>
      </c>
      <c r="S100" s="1">
        <f xml:space="preserve"> '3.1 Opsplitning af forbrug'!S158</f>
        <v>0</v>
      </c>
      <c r="T100" s="1">
        <f xml:space="preserve"> '3.1 Opsplitning af forbrug'!T158</f>
        <v>0</v>
      </c>
      <c r="U100" s="1">
        <f xml:space="preserve"> '3.1 Opsplitning af forbrug'!U158</f>
        <v>0</v>
      </c>
      <c r="V100" s="1">
        <f xml:space="preserve"> '3.1 Opsplitning af forbrug'!V158</f>
        <v>0</v>
      </c>
      <c r="W100" s="4">
        <f t="shared" si="7"/>
        <v>0</v>
      </c>
    </row>
    <row r="101" spans="4:23" ht="15" customHeight="1">
      <c r="D101" s="85" t="str">
        <f xml:space="preserve"> '2.1 Model setup'!K83</f>
        <v>6.2 Afskrivninger på netaktiver ekskl. målere og transformerstationer</v>
      </c>
      <c r="K101" s="5" t="str">
        <f t="shared" si="6"/>
        <v>kWh</v>
      </c>
      <c r="L101" s="85"/>
      <c r="O101" s="202"/>
      <c r="P101" s="202"/>
      <c r="Q101" s="202"/>
      <c r="R101" s="1">
        <f xml:space="preserve"> '3.1 Opsplitning af forbrug'!R159</f>
        <v>0</v>
      </c>
      <c r="S101" s="1">
        <f xml:space="preserve"> '3.1 Opsplitning af forbrug'!S159</f>
        <v>0</v>
      </c>
      <c r="T101" s="1">
        <f xml:space="preserve"> '3.1 Opsplitning af forbrug'!T159</f>
        <v>0</v>
      </c>
      <c r="U101" s="1">
        <f xml:space="preserve"> '3.1 Opsplitning af forbrug'!U159</f>
        <v>0</v>
      </c>
      <c r="V101" s="1">
        <f xml:space="preserve"> '3.1 Opsplitning af forbrug'!V159</f>
        <v>0</v>
      </c>
      <c r="W101" s="4">
        <f t="shared" si="7"/>
        <v>0</v>
      </c>
    </row>
    <row r="102" spans="4:23" ht="15" customHeight="1">
      <c r="D102" s="85" t="str">
        <f xml:space="preserve"> '2.1 Model setup'!K84</f>
        <v>6.3 Afskrivninger på målere</v>
      </c>
      <c r="K102" s="5" t="str">
        <f t="shared" si="6"/>
        <v>kWh</v>
      </c>
      <c r="L102" s="85"/>
      <c r="O102" s="202"/>
      <c r="P102" s="202"/>
      <c r="Q102" s="202"/>
      <c r="R102" s="1">
        <f xml:space="preserve"> '3.1 Opsplitning af forbrug'!R160</f>
        <v>0</v>
      </c>
      <c r="S102" s="1">
        <f xml:space="preserve"> '3.1 Opsplitning af forbrug'!S160</f>
        <v>0</v>
      </c>
      <c r="T102" s="1">
        <f xml:space="preserve"> '3.1 Opsplitning af forbrug'!T160</f>
        <v>0</v>
      </c>
      <c r="U102" s="1">
        <f xml:space="preserve"> '3.1 Opsplitning af forbrug'!U160</f>
        <v>0</v>
      </c>
      <c r="V102" s="1">
        <f xml:space="preserve"> '3.1 Opsplitning af forbrug'!V160</f>
        <v>0</v>
      </c>
      <c r="W102" s="4">
        <f t="shared" si="7"/>
        <v>0</v>
      </c>
    </row>
    <row r="103" spans="4:23" ht="15" customHeight="1">
      <c r="D103" s="357" t="str">
        <f xml:space="preserve"> '2.1 Model setup'!K85</f>
        <v>7.1 Transformerstationer (forrentning)</v>
      </c>
      <c r="E103" s="358"/>
      <c r="F103" s="358"/>
      <c r="G103" s="358"/>
      <c r="H103" s="358"/>
      <c r="I103" s="358"/>
      <c r="J103" s="358"/>
      <c r="K103" s="359" t="str">
        <f t="shared" si="6"/>
        <v>kWh</v>
      </c>
      <c r="L103" s="357"/>
      <c r="M103" s="358"/>
      <c r="N103" s="358"/>
      <c r="O103" s="403"/>
      <c r="P103" s="403"/>
      <c r="Q103" s="403"/>
      <c r="R103" s="358">
        <f xml:space="preserve"> '3.3 Forbrugstariffer og effekt'!R$110</f>
        <v>0</v>
      </c>
      <c r="S103" s="358">
        <f xml:space="preserve"> '3.3 Forbrugstariffer og effekt'!S$110</f>
        <v>0</v>
      </c>
      <c r="T103" s="358">
        <f xml:space="preserve"> '3.3 Forbrugstariffer og effekt'!T$110</f>
        <v>0</v>
      </c>
      <c r="U103" s="358">
        <f xml:space="preserve"> '3.3 Forbrugstariffer og effekt'!U$110</f>
        <v>0</v>
      </c>
      <c r="V103" s="358">
        <f xml:space="preserve"> '3.3 Forbrugstariffer og effekt'!V$110</f>
        <v>0</v>
      </c>
      <c r="W103" s="523">
        <f t="shared" si="7"/>
        <v>0</v>
      </c>
    </row>
    <row r="104" spans="4:23" ht="15" customHeight="1">
      <c r="D104" s="85" t="str">
        <f xml:space="preserve"> '2.1 Model setup'!K86</f>
        <v>7.2 Netaktiver ekskl. målere og transformerstationer (forrentning)</v>
      </c>
      <c r="K104" s="5" t="str">
        <f t="shared" si="6"/>
        <v>kWh</v>
      </c>
      <c r="L104" s="85"/>
      <c r="O104" s="202"/>
      <c r="P104" s="202"/>
      <c r="Q104" s="202"/>
      <c r="R104" s="1">
        <f xml:space="preserve"> '3.3 Forbrugstariffer og effekt'!R$110</f>
        <v>0</v>
      </c>
      <c r="S104" s="1">
        <f xml:space="preserve"> '3.3 Forbrugstariffer og effekt'!S$110</f>
        <v>0</v>
      </c>
      <c r="T104" s="1">
        <f xml:space="preserve"> '3.3 Forbrugstariffer og effekt'!T$110</f>
        <v>0</v>
      </c>
      <c r="U104" s="1">
        <f xml:space="preserve"> '3.3 Forbrugstariffer og effekt'!U$110</f>
        <v>0</v>
      </c>
      <c r="V104" s="1">
        <f xml:space="preserve"> '3.3 Forbrugstariffer og effekt'!V$110</f>
        <v>0</v>
      </c>
      <c r="W104" s="4">
        <f t="shared" si="7"/>
        <v>0</v>
      </c>
    </row>
    <row r="105" spans="4:23" ht="15" customHeight="1">
      <c r="D105" s="99" t="str">
        <f xml:space="preserve"> '2.1 Model setup'!K87</f>
        <v>7.3 Målere (forrentning)</v>
      </c>
      <c r="E105" s="27"/>
      <c r="F105" s="27"/>
      <c r="G105" s="27"/>
      <c r="H105" s="27"/>
      <c r="I105" s="27"/>
      <c r="J105" s="27"/>
      <c r="K105" s="32" t="str">
        <f t="shared" si="6"/>
        <v>kWh</v>
      </c>
      <c r="L105" s="99"/>
      <c r="M105" s="27"/>
      <c r="N105" s="27"/>
      <c r="O105" s="269"/>
      <c r="P105" s="269"/>
      <c r="Q105" s="269"/>
      <c r="R105" s="27">
        <f xml:space="preserve"> '3.3 Forbrugstariffer og effekt'!R$110</f>
        <v>0</v>
      </c>
      <c r="S105" s="27">
        <f xml:space="preserve"> '3.3 Forbrugstariffer og effekt'!S$110</f>
        <v>0</v>
      </c>
      <c r="T105" s="27">
        <f xml:space="preserve"> '3.3 Forbrugstariffer og effekt'!T$110</f>
        <v>0</v>
      </c>
      <c r="U105" s="27">
        <f xml:space="preserve"> '3.3 Forbrugstariffer og effekt'!U$110</f>
        <v>0</v>
      </c>
      <c r="V105" s="27">
        <f xml:space="preserve"> '3.3 Forbrugstariffer og effekt'!V$110</f>
        <v>0</v>
      </c>
      <c r="W105" s="35">
        <f t="shared" si="7"/>
        <v>0</v>
      </c>
    </row>
    <row r="107" spans="4:23" ht="15" customHeight="1">
      <c r="D107" s="97" t="s">
        <v>40</v>
      </c>
      <c r="E107" s="27"/>
      <c r="F107" s="107"/>
      <c r="G107" s="107"/>
      <c r="H107" s="107"/>
      <c r="I107" s="107"/>
      <c r="J107" s="107"/>
      <c r="K107" s="114"/>
      <c r="W107" s="89" t="s">
        <v>16</v>
      </c>
    </row>
    <row r="108" spans="4:23" ht="15" customHeight="1">
      <c r="D108" s="123" t="s">
        <v>508</v>
      </c>
      <c r="E108" s="15"/>
      <c r="F108" s="155"/>
      <c r="G108" s="155"/>
      <c r="H108" s="155"/>
      <c r="I108" s="155"/>
      <c r="J108" s="155"/>
      <c r="K108" s="117" t="str">
        <f xml:space="preserve"> Model.Units2</f>
        <v>kWh</v>
      </c>
      <c r="L108" s="15"/>
      <c r="M108" s="15"/>
      <c r="N108" s="15"/>
      <c r="O108" s="274"/>
      <c r="P108" s="274"/>
      <c r="Q108" s="274"/>
      <c r="R108" s="15">
        <f xml:space="preserve"> '2.3 Selskabsspecifikke input'!R298</f>
        <v>0</v>
      </c>
      <c r="S108" s="15">
        <f xml:space="preserve"> '2.3 Selskabsspecifikke input'!S298</f>
        <v>0</v>
      </c>
      <c r="T108" s="15">
        <f xml:space="preserve"> '2.3 Selskabsspecifikke input'!T298</f>
        <v>0</v>
      </c>
      <c r="U108" s="15">
        <f xml:space="preserve"> '2.3 Selskabsspecifikke input'!U298</f>
        <v>0</v>
      </c>
      <c r="V108" s="15">
        <f xml:space="preserve"> '2.3 Selskabsspecifikke input'!V298</f>
        <v>0</v>
      </c>
      <c r="W108" s="18">
        <f xml:space="preserve"> SUM( R108:V108 )</f>
        <v>0</v>
      </c>
    </row>
    <row r="109" spans="4:23" ht="15" customHeight="1">
      <c r="D109" s="85" t="s">
        <v>123</v>
      </c>
      <c r="F109" s="86"/>
      <c r="G109" s="86"/>
      <c r="H109" s="86"/>
      <c r="I109" s="86"/>
      <c r="J109" s="86"/>
      <c r="K109" s="87" t="str">
        <f xml:space="preserve"> Model.Units2</f>
        <v>kWh</v>
      </c>
      <c r="O109" s="202"/>
      <c r="P109" s="202"/>
      <c r="Q109" s="202"/>
      <c r="R109" s="1">
        <f xml:space="preserve"> '2.3 Selskabsspecifikke input'!R184</f>
        <v>0</v>
      </c>
      <c r="S109" s="1">
        <f xml:space="preserve"> '2.3 Selskabsspecifikke input'!S184</f>
        <v>0</v>
      </c>
      <c r="T109" s="1">
        <f xml:space="preserve"> '2.3 Selskabsspecifikke input'!T184</f>
        <v>0</v>
      </c>
      <c r="U109" s="1">
        <f xml:space="preserve"> '2.3 Selskabsspecifikke input'!U184</f>
        <v>0</v>
      </c>
      <c r="V109" s="1">
        <f xml:space="preserve"> '2.3 Selskabsspecifikke input'!V184</f>
        <v>0</v>
      </c>
      <c r="W109" s="4">
        <f xml:space="preserve"> SUM( R109:V109 )</f>
        <v>0</v>
      </c>
    </row>
    <row r="110" spans="4:23" ht="15" customHeight="1">
      <c r="D110" s="105" t="s">
        <v>16</v>
      </c>
      <c r="E110" s="186"/>
      <c r="F110" s="120"/>
      <c r="G110" s="120"/>
      <c r="H110" s="120"/>
      <c r="I110" s="120"/>
      <c r="J110" s="120"/>
      <c r="K110" s="106" t="str">
        <f xml:space="preserve"> Model.Units2</f>
        <v>kWh</v>
      </c>
      <c r="L110" s="186"/>
      <c r="M110" s="186"/>
      <c r="N110" s="186"/>
      <c r="O110" s="388"/>
      <c r="P110" s="388"/>
      <c r="Q110" s="388"/>
      <c r="R110" s="186">
        <f xml:space="preserve"> R108 + R109</f>
        <v>0</v>
      </c>
      <c r="S110" s="186">
        <f xml:space="preserve"> S108 + S109</f>
        <v>0</v>
      </c>
      <c r="T110" s="186">
        <f xml:space="preserve"> T108 + T109</f>
        <v>0</v>
      </c>
      <c r="U110" s="186">
        <f xml:space="preserve"> U108 + U109</f>
        <v>0</v>
      </c>
      <c r="V110" s="186">
        <f xml:space="preserve"> V108 + V109</f>
        <v>0</v>
      </c>
      <c r="W110" s="186">
        <f xml:space="preserve"> SUM( R110:V110 )</f>
        <v>0</v>
      </c>
    </row>
    <row r="112" spans="4:23" ht="15" customHeight="1">
      <c r="D112" s="35" t="s">
        <v>133</v>
      </c>
      <c r="E112" s="27"/>
      <c r="F112" s="27"/>
      <c r="G112" s="27"/>
      <c r="H112" s="27"/>
      <c r="I112" s="27"/>
      <c r="J112" s="27"/>
      <c r="K112" s="32"/>
      <c r="L112" s="27"/>
      <c r="M112" s="27"/>
      <c r="N112" s="27"/>
      <c r="O112" s="27"/>
      <c r="P112" s="27"/>
      <c r="Q112" s="27"/>
      <c r="R112" s="27"/>
      <c r="S112" s="27"/>
      <c r="T112" s="27"/>
      <c r="U112" s="27"/>
      <c r="V112" s="27"/>
      <c r="W112" s="185" t="s">
        <v>16</v>
      </c>
    </row>
    <row r="113" spans="4:23" ht="15" customHeight="1">
      <c r="D113" s="85" t="str">
        <f xml:space="preserve"> '2.1 Model setup'!K70</f>
        <v>1.1 Drift og vedligeholdelse af transformerstationer</v>
      </c>
      <c r="K113" s="5" t="s">
        <v>4</v>
      </c>
      <c r="L113" s="85">
        <f t="shared" ref="L113:L126" si="8" xml:space="preserve"> -- ( IF( COUNTIF( R113:V113, "&lt;&gt;0" ) = 0, 0, ROUND( SUM( R113:V113 ), 5 ) &lt;&gt; 1 ) )</f>
        <v>0</v>
      </c>
      <c r="O113" s="202"/>
      <c r="P113" s="202"/>
      <c r="Q113" s="202"/>
      <c r="R113" s="640">
        <f xml:space="preserve"> IFERROR( IF( OR( R$10 = $S$10, R$10 = $U$10 ), IF( $S$110 = 0, 0, IF( $U$110 = 0, 1, SUM( R88:$V88 ) / ( SUM( $S88:$V88 ) + SUM( $U88:$V88 ) ) ) ), 0 ), 0 )</f>
        <v>0</v>
      </c>
      <c r="S113" s="640">
        <f xml:space="preserve"> IFERROR( IF( OR( S$10 = $S$10, S$10 = $U$10 ), IF( $S$110 = 0, 0, IF( $U$110 = 0, 1, SUM( S88:$V88 ) / ( SUM( $S88:$V88 ) + SUM( $U88:$V88 ) ) ) ), 0 ), 0 )</f>
        <v>0</v>
      </c>
      <c r="T113" s="640">
        <f xml:space="preserve"> IFERROR( IF( OR( T$10 = $S$10, T$10 = $U$10 ), IF( $S$110 = 0, 0, IF( $U$110 = 0, 1, SUM( T88:$V88 ) / ( SUM( $S88:$V88 ) + SUM( $U88:$V88 ) ) ) ), 0 ), 0 )</f>
        <v>0</v>
      </c>
      <c r="U113" s="643">
        <f xml:space="preserve"> IFERROR( IF( OR( U$10 = $S$10, U$10 = $U$10 ), IF( $U$110 = 0, 0, IF( $S$110 = 0, 1, SUM( U88:$V88 ) / ( SUM( $S88:$V88 ) + SUM( $U88:$V88 ) ) ) ), 0 ), 0 )</f>
        <v>0</v>
      </c>
      <c r="V113" s="640">
        <f xml:space="preserve"> IFERROR( IF( OR( V$10 = $S$10, V$10 = $U$10 ), IF( $S$110 = 0, 0, IF( $U$110 = 0, 1, SUM( V88:$V88 ) / ( SUM( $S88:$V88 ) + SUM( $U88:$V88 ) ) ) ), 0 ), 0 )</f>
        <v>0</v>
      </c>
      <c r="W113" s="198">
        <f t="shared" ref="W113:W122" si="9" xml:space="preserve"> SUM( R113:V113 )</f>
        <v>0</v>
      </c>
    </row>
    <row r="114" spans="4:23" ht="15" customHeight="1">
      <c r="D114" s="85" t="str">
        <f xml:space="preserve"> '2.1 Model setup'!K71</f>
        <v>1.2 Drift og vedligeholdelse af ledningsnet</v>
      </c>
      <c r="K114" s="5" t="s">
        <v>4</v>
      </c>
      <c r="L114" s="85">
        <f t="shared" si="8"/>
        <v>0</v>
      </c>
      <c r="O114" s="202"/>
      <c r="P114" s="202"/>
      <c r="Q114" s="202"/>
      <c r="R114" s="641">
        <f xml:space="preserve"> IFERROR( IF( OR( R$10 = $S$10, R$10 = $U$10 ), IF( $S$110 = 0, 0, IF( $U$110 = 0, 1, SUM( R89:$V89 ) / ( SUM( $S89:$V89 ) + SUM( $U89:$V89 ) ) ) ), 0 ), 0 )</f>
        <v>0</v>
      </c>
      <c r="S114" s="641">
        <f xml:space="preserve"> IFERROR( IF( OR( S$10 = $S$10, S$10 = $U$10 ), IF( $S$110 = 0, 0, IF( $U$110 = 0, 1, SUM( S89:$V89 ) / ( SUM( $S89:$V89 ) + SUM( $U89:$V89 ) ) ) ), 0 ), 0 )</f>
        <v>0</v>
      </c>
      <c r="T114" s="641">
        <f xml:space="preserve"> IFERROR( IF( OR( T$10 = $S$10, T$10 = $U$10 ), IF( $S$110 = 0, 0, IF( $U$110 = 0, 1, SUM( T89:$V89 ) / ( SUM( $S89:$V89 ) + SUM( $U89:$V89 ) ) ) ), 0 ), 0 )</f>
        <v>0</v>
      </c>
      <c r="U114" s="644">
        <f xml:space="preserve"> IFERROR( IF( OR( U$10 = $S$10, U$10 = $U$10 ), IF( $U$110 = 0, 0, IF( $S$110 = 0, 1, SUM( U89:$V89 ) / ( SUM( $S89:$V89 ) + SUM( $U89:$V89 ) ) ) ), 0 ), 0 )</f>
        <v>0</v>
      </c>
      <c r="V114" s="641">
        <f xml:space="preserve"> IFERROR( IF( OR( V$10 = $S$10, V$10 = $U$10 ), IF( $S$110 = 0, 0, IF( $U$110 = 0, 1, SUM( V89:$V89 ) / ( SUM( $S89:$V89 ) + SUM( $U89:$V89 ) ) ) ), 0 ), 0 )</f>
        <v>0</v>
      </c>
      <c r="W114" s="198">
        <f t="shared" si="9"/>
        <v>0</v>
      </c>
    </row>
    <row r="115" spans="4:23" ht="15" customHeight="1">
      <c r="D115" s="85" t="str">
        <f xml:space="preserve"> '2.1 Model setup'!K72</f>
        <v>1.3 Øvrige omkostninger til drift, styring og kontrol af elnettet</v>
      </c>
      <c r="K115" s="5" t="s">
        <v>4</v>
      </c>
      <c r="L115" s="85">
        <f t="shared" si="8"/>
        <v>0</v>
      </c>
      <c r="O115" s="202"/>
      <c r="P115" s="202"/>
      <c r="Q115" s="202"/>
      <c r="R115" s="641">
        <f xml:space="preserve"> IFERROR( IF( OR( R$10 = $S$10, R$10 = $U$10 ), IF( $S$110 = 0, 0, IF( $U$110 = 0, 1, SUM( R90:$V90 ) / ( SUM( $S90:$V90 ) + SUM( $U90:$V90 ) ) ) ), 0 ), 0 )</f>
        <v>0</v>
      </c>
      <c r="S115" s="641">
        <f xml:space="preserve"> IFERROR( IF( OR( S$10 = $S$10, S$10 = $U$10 ), IF( $S$110 = 0, 0, IF( $U$110 = 0, 1, SUM( S90:$V90 ) / ( SUM( $S90:$V90 ) + SUM( $U90:$V90 ) ) ) ), 0 ), 0 )</f>
        <v>0</v>
      </c>
      <c r="T115" s="641">
        <f xml:space="preserve"> IFERROR( IF( OR( T$10 = $S$10, T$10 = $U$10 ), IF( $S$110 = 0, 0, IF( $U$110 = 0, 1, SUM( T90:$V90 ) / ( SUM( $S90:$V90 ) + SUM( $U90:$V90 ) ) ) ), 0 ), 0 )</f>
        <v>0</v>
      </c>
      <c r="U115" s="644">
        <f xml:space="preserve"> IFERROR( IF( OR( U$10 = $S$10, U$10 = $U$10 ), IF( $U$110 = 0, 0, IF( $S$110 = 0, 1, SUM( U90:$V90 ) / ( SUM( $S90:$V90 ) + SUM( $U90:$V90 ) ) ) ), 0 ), 0 )</f>
        <v>0</v>
      </c>
      <c r="V115" s="641">
        <f xml:space="preserve"> IFERROR( IF( OR( V$10 = $S$10, V$10 = $U$10 ), IF( $S$110 = 0, 0, IF( $U$110 = 0, 1, SUM( V90:$V90 ) / ( SUM( $S90:$V90 ) + SUM( $U90:$V90 ) ) ) ), 0 ), 0 )</f>
        <v>0</v>
      </c>
      <c r="W115" s="198">
        <f t="shared" si="9"/>
        <v>0</v>
      </c>
    </row>
    <row r="116" spans="4:23" ht="15" customHeight="1">
      <c r="D116" s="85" t="str">
        <f xml:space="preserve"> '2.1 Model setup'!K73</f>
        <v>1.4 Omkostninger vedrørende 132-150/30-60 kV-stationer</v>
      </c>
      <c r="K116" s="5" t="s">
        <v>4</v>
      </c>
      <c r="L116" s="85">
        <f xml:space="preserve"> -- ( IF( COUNTIF( R116:V116, "&lt;&gt;0" ) = 0, 0, ROUND( SUM( R116:V116 ), 5 ) &lt;&gt; 1 ) )</f>
        <v>0</v>
      </c>
      <c r="O116" s="202"/>
      <c r="P116" s="202"/>
      <c r="Q116" s="202"/>
      <c r="R116" s="641">
        <f xml:space="preserve"> IFERROR( IF( OR( R$10 = $S$10, R$10 = $U$10 ), IF( $S$110 = 0, 0, IF( $U$110 = 0, 1, SUM( R91:$V91 ) / ( SUM( $S91:$V91 ) + SUM( $U91:$V91 ) ) ) ), 0 ), 0 )</f>
        <v>0</v>
      </c>
      <c r="S116" s="641">
        <f xml:space="preserve"> IFERROR( IF( OR( S$10 = $S$10, S$10 = $U$10 ), IF( $S$110 = 0, 0, IF( $U$110 = 0, 1, SUM( S91:$V91 ) / ( SUM( $S91:$V91 ) + SUM( $U91:$V91 ) ) ) ), 0 ), 0 )</f>
        <v>0</v>
      </c>
      <c r="T116" s="641">
        <f xml:space="preserve"> IFERROR( IF( OR( T$10 = $S$10, T$10 = $U$10 ), IF( $S$110 = 0, 0, IF( $U$110 = 0, 1, SUM( T91:$V91 ) / ( SUM( $S91:$V91 ) + SUM( $U91:$V91 ) ) ) ), 0 ), 0 )</f>
        <v>0</v>
      </c>
      <c r="U116" s="644">
        <f xml:space="preserve"> IFERROR( IF( OR( U$10 = $S$10, U$10 = $U$10 ), IF( $U$110 = 0, 0, IF( $S$110 = 0, 1, SUM( U91:$V91 ) / ( SUM( $S91:$V91 ) + SUM( $U91:$V91 ) ) ) ), 0 ), 0 )</f>
        <v>0</v>
      </c>
      <c r="V116" s="641">
        <f xml:space="preserve"> IFERROR( IF( OR( V$10 = $S$10, V$10 = $U$10 ), IF( $S$110 = 0, 0, IF( $U$110 = 0, 1, SUM( V91:$V91 ) / ( SUM( $S91:$V91 ) + SUM( $U91:$V91 ) ) ) ), 0 ), 0 )</f>
        <v>0</v>
      </c>
      <c r="W116" s="198">
        <f xml:space="preserve"> SUM( R116:V116 )</f>
        <v>0</v>
      </c>
    </row>
    <row r="117" spans="4:23" ht="15" customHeight="1">
      <c r="D117" s="85" t="str">
        <f xml:space="preserve"> '2.1 Model setup'!K74</f>
        <v>2.1 Drift og vedligeholdelse af målere</v>
      </c>
      <c r="K117" s="5" t="s">
        <v>4</v>
      </c>
      <c r="L117" s="85">
        <f t="shared" si="8"/>
        <v>0</v>
      </c>
      <c r="O117" s="202"/>
      <c r="P117" s="202"/>
      <c r="Q117" s="202"/>
      <c r="R117" s="641">
        <f xml:space="preserve"> IFERROR( IF( OR( R$10 = $S$10, R$10 = $U$10 ), IF( $S$110 = 0, 0, IF( $U$110 = 0, 1, SUM( R92:$V92 ) / ( SUM( $S92:$V92 ) + SUM( $U92:$V92 ) ) ) ), 0 ), 0 )</f>
        <v>0</v>
      </c>
      <c r="S117" s="641">
        <f xml:space="preserve"> IFERROR( IF( OR( S$10 = $S$10, S$10 = $U$10 ), IF( $S$110 = 0, 0, IF( $U$110 = 0, 1, SUM( S92:$V92 ) / ( SUM( $S92:$V92 ) + SUM( $U92:$V92 ) ) ) ), 0 ), 0 )</f>
        <v>0</v>
      </c>
      <c r="T117" s="641">
        <f xml:space="preserve"> IFERROR( IF( OR( T$10 = $S$10, T$10 = $U$10 ), IF( $S$110 = 0, 0, IF( $U$110 = 0, 1, SUM( T92:$V92 ) / ( SUM( $S92:$V92 ) + SUM( $U92:$V92 ) ) ) ), 0 ), 0 )</f>
        <v>0</v>
      </c>
      <c r="U117" s="644">
        <f xml:space="preserve"> IFERROR( IF( OR( U$10 = $S$10, U$10 = $U$10 ), IF( $U$110 = 0, 0, IF( $S$110 = 0, 1, SUM( U92:$V92 ) / ( SUM( $S92:$V92 ) + SUM( $U92:$V92 ) ) ) ), 0 ), 0 )</f>
        <v>0</v>
      </c>
      <c r="V117" s="641">
        <f xml:space="preserve"> IFERROR( IF( OR( V$10 = $S$10, V$10 = $U$10 ), IF( $S$110 = 0, 0, IF( $U$110 = 0, 1, SUM( V92:$V92 ) / ( SUM( $S92:$V92 ) + SUM( $U92:$V92 ) ) ) ), 0 ), 0 )</f>
        <v>0</v>
      </c>
      <c r="W117" s="198">
        <f t="shared" si="9"/>
        <v>0</v>
      </c>
    </row>
    <row r="118" spans="4:23" ht="15" customHeight="1">
      <c r="D118" s="85" t="str">
        <f xml:space="preserve"> '2.1 Model setup'!K75</f>
        <v>2.2 Indhentning og validering af målerdata</v>
      </c>
      <c r="K118" s="5" t="s">
        <v>4</v>
      </c>
      <c r="L118" s="85">
        <f t="shared" si="8"/>
        <v>0</v>
      </c>
      <c r="O118" s="202"/>
      <c r="P118" s="202"/>
      <c r="Q118" s="202"/>
      <c r="R118" s="641">
        <f xml:space="preserve"> IFERROR( IF( OR( R$10 = $S$10, R$10 = $U$10 ), IF( $S$110 = 0, 0, IF( $U$110 = 0, 1, SUM( R93:$V93 ) / ( SUM( $S93:$V93 ) + SUM( $U93:$V93 ) ) ) ), 0 ), 0 )</f>
        <v>0</v>
      </c>
      <c r="S118" s="641">
        <f xml:space="preserve"> IFERROR( IF( OR( S$10 = $S$10, S$10 = $U$10 ), IF( $S$110 = 0, 0, IF( $U$110 = 0, 1, SUM( S93:$V93 ) / ( SUM( $S93:$V93 ) + SUM( $U93:$V93 ) ) ) ), 0 ), 0 )</f>
        <v>0</v>
      </c>
      <c r="T118" s="641">
        <f xml:space="preserve"> IFERROR( IF( OR( T$10 = $S$10, T$10 = $U$10 ), IF( $S$110 = 0, 0, IF( $U$110 = 0, 1, SUM( T93:$V93 ) / ( SUM( $S93:$V93 ) + SUM( $U93:$V93 ) ) ) ), 0 ), 0 )</f>
        <v>0</v>
      </c>
      <c r="U118" s="644">
        <f xml:space="preserve"> IFERROR( IF( OR( U$10 = $S$10, U$10 = $U$10 ), IF( $U$110 = 0, 0, IF( $S$110 = 0, 1, SUM( U93:$V93 ) / ( SUM( $S93:$V93 ) + SUM( $U93:$V93 ) ) ) ), 0 ), 0 )</f>
        <v>0</v>
      </c>
      <c r="V118" s="641">
        <f xml:space="preserve"> IFERROR( IF( OR( V$10 = $S$10, V$10 = $U$10 ), IF( $S$110 = 0, 0, IF( $U$110 = 0, 1, SUM( V93:$V93 ) / ( SUM( $S93:$V93 ) + SUM( $U93:$V93 ) ) ) ), 0 ), 0 )</f>
        <v>0</v>
      </c>
      <c r="W118" s="198">
        <f t="shared" si="9"/>
        <v>0</v>
      </c>
    </row>
    <row r="119" spans="4:23" ht="15" customHeight="1">
      <c r="D119" s="85" t="str">
        <f xml:space="preserve"> '2.1 Model setup'!K76</f>
        <v>2.3 Måleradministration og kundehåndtering</v>
      </c>
      <c r="K119" s="5" t="s">
        <v>4</v>
      </c>
      <c r="L119" s="85">
        <f t="shared" si="8"/>
        <v>0</v>
      </c>
      <c r="O119" s="202"/>
      <c r="P119" s="202"/>
      <c r="Q119" s="202"/>
      <c r="R119" s="641">
        <f xml:space="preserve"> IFERROR( IF( OR( R$10 = $S$10, R$10 = $U$10 ), IF( $S$110 = 0, 0, IF( $U$110 = 0, 1, SUM( R94:$V94 ) / ( SUM( $S94:$V94 ) + SUM( $U94:$V94 ) ) ) ), 0 ), 0 )</f>
        <v>0</v>
      </c>
      <c r="S119" s="641">
        <f xml:space="preserve"> IFERROR( IF( OR( S$10 = $S$10, S$10 = $U$10 ), IF( $S$110 = 0, 0, IF( $U$110 = 0, 1, SUM( S94:$V94 ) / ( SUM( $S94:$V94 ) + SUM( $U94:$V94 ) ) ) ), 0 ), 0 )</f>
        <v>0</v>
      </c>
      <c r="T119" s="641">
        <f xml:space="preserve"> IFERROR( IF( OR( T$10 = $S$10, T$10 = $U$10 ), IF( $S$110 = 0, 0, IF( $U$110 = 0, 1, SUM( T94:$V94 ) / ( SUM( $S94:$V94 ) + SUM( $U94:$V94 ) ) ) ), 0 ), 0 )</f>
        <v>0</v>
      </c>
      <c r="U119" s="644">
        <f xml:space="preserve"> IFERROR( IF( OR( U$10 = $S$10, U$10 = $U$10 ), IF( $U$110 = 0, 0, IF( $S$110 = 0, 1, SUM( U94:$V94 ) / ( SUM( $S94:$V94 ) + SUM( $U94:$V94 ) ) ) ), 0 ), 0 )</f>
        <v>0</v>
      </c>
      <c r="V119" s="641">
        <f xml:space="preserve"> IFERROR( IF( OR( V$10 = $S$10, V$10 = $U$10 ), IF( $S$110 = 0, 0, IF( $U$110 = 0, 1, SUM( V94:$V94 ) / ( SUM( $S94:$V94 ) + SUM( $U94:$V94 ) ) ) ), 0 ), 0 )</f>
        <v>0</v>
      </c>
      <c r="W119" s="198">
        <f t="shared" si="9"/>
        <v>0</v>
      </c>
    </row>
    <row r="120" spans="4:23" ht="15" customHeight="1">
      <c r="D120" s="85" t="str">
        <f xml:space="preserve"> '2.1 Model setup'!K77</f>
        <v>3.1 Generel administration</v>
      </c>
      <c r="K120" s="5" t="s">
        <v>4</v>
      </c>
      <c r="L120" s="85">
        <f t="shared" si="8"/>
        <v>0</v>
      </c>
      <c r="O120" s="202"/>
      <c r="P120" s="202"/>
      <c r="Q120" s="202"/>
      <c r="R120" s="641">
        <f xml:space="preserve"> IFERROR( IF( OR( R$10 = $S$10, R$10 = $U$10 ), IF( $S$110 = 0, 0, IF( $U$110 = 0, 1, SUM( R95:$V95 ) / ( SUM( $S95:$V95 ) + SUM( $U95:$V95 ) ) ) ), 0 ), 0 )</f>
        <v>0</v>
      </c>
      <c r="S120" s="641">
        <f xml:space="preserve"> IFERROR( IF( OR( S$10 = $S$10, S$10 = $U$10 ), IF( $S$110 = 0, 0, IF( $U$110 = 0, 1, SUM( S95:$V95 ) / ( SUM( $S95:$V95 ) + SUM( $U95:$V95 ) ) ) ), 0 ), 0 )</f>
        <v>0</v>
      </c>
      <c r="T120" s="641">
        <f xml:space="preserve"> IFERROR( IF( OR( T$10 = $S$10, T$10 = $U$10 ), IF( $S$110 = 0, 0, IF( $U$110 = 0, 1, SUM( T95:$V95 ) / ( SUM( $S95:$V95 ) + SUM( $U95:$V95 ) ) ) ), 0 ), 0 )</f>
        <v>0</v>
      </c>
      <c r="U120" s="644">
        <f xml:space="preserve"> IFERROR( IF( OR( U$10 = $S$10, U$10 = $U$10 ), IF( $U$110 = 0, 0, IF( $S$110 = 0, 1, SUM( U95:$V95 ) / ( SUM( $S95:$V95 ) + SUM( $U95:$V95 ) ) ) ), 0 ), 0 )</f>
        <v>0</v>
      </c>
      <c r="V120" s="641">
        <f xml:space="preserve"> IFERROR( IF( OR( V$10 = $S$10, V$10 = $U$10 ), IF( $S$110 = 0, 0, IF( $U$110 = 0, 1, SUM( V95:$V95 ) / ( SUM( $S95:$V95 ) + SUM( $U95:$V95 ) ) ) ), 0 ), 0 )</f>
        <v>0</v>
      </c>
      <c r="W120" s="198">
        <f t="shared" si="9"/>
        <v>0</v>
      </c>
    </row>
    <row r="121" spans="4:23" ht="15" customHeight="1">
      <c r="D121" s="85" t="str">
        <f xml:space="preserve"> '2.1 Model setup'!K78</f>
        <v>4.1 Omkostninger vedrørende nettab i transformerstationer</v>
      </c>
      <c r="K121" s="5" t="s">
        <v>4</v>
      </c>
      <c r="L121" s="85">
        <f t="shared" si="8"/>
        <v>0</v>
      </c>
      <c r="O121" s="202"/>
      <c r="P121" s="202"/>
      <c r="Q121" s="202"/>
      <c r="R121" s="641">
        <f xml:space="preserve"> IFERROR( IF( OR( R$10 = $S$10, R$10 = $U$10 ), IF( $S$110 = 0, 0, IF( $U$110 = 0, 1, SUM( R96:$V96 ) / ( SUM( $S96:$V96 ) + SUM( $U96:$V96 ) ) ) ), 0 ), 0 )</f>
        <v>0</v>
      </c>
      <c r="S121" s="641">
        <f xml:space="preserve"> IFERROR( IF( OR( S$10 = $S$10, S$10 = $U$10 ), IF( $S$110 = 0, 0, IF( $U$110 = 0, 1, SUM( S96:$V96 ) / ( SUM( $S96:$V96 ) + SUM( $U96:$V96 ) ) ) ), 0 ), 0 )</f>
        <v>0</v>
      </c>
      <c r="T121" s="641">
        <f xml:space="preserve"> IFERROR( IF( OR( T$10 = $S$10, T$10 = $U$10 ), IF( $S$110 = 0, 0, IF( $U$110 = 0, 1, SUM( T96:$V96 ) / ( SUM( $S96:$V96 ) + SUM( $U96:$V96 ) ) ) ), 0 ), 0 )</f>
        <v>0</v>
      </c>
      <c r="U121" s="644">
        <f xml:space="preserve"> IFERROR( IF( OR( U$10 = $S$10, U$10 = $U$10 ), IF( $U$110 = 0, 0, IF( $S$110 = 0, 1, SUM( U96:$V96 ) / ( SUM( $S96:$V96 ) + SUM( $U96:$V96 ) ) ) ), 0 ), 0 )</f>
        <v>0</v>
      </c>
      <c r="V121" s="641">
        <f xml:space="preserve"> IFERROR( IF( OR( V$10 = $S$10, V$10 = $U$10 ), IF( $S$110 = 0, 0, IF( $U$110 = 0, 1, SUM( V96:$V96 ) / ( SUM( $S96:$V96 ) + SUM( $U96:$V96 ) ) ) ), 0 ), 0 )</f>
        <v>0</v>
      </c>
      <c r="W121" s="198">
        <f t="shared" si="9"/>
        <v>0</v>
      </c>
    </row>
    <row r="122" spans="4:23" ht="15" customHeight="1">
      <c r="D122" s="85" t="str">
        <f xml:space="preserve"> '2.1 Model setup'!K79</f>
        <v>4.2 Omkostninger vedrørende nettab i ledningsnettet</v>
      </c>
      <c r="K122" s="5" t="s">
        <v>4</v>
      </c>
      <c r="L122" s="85">
        <f t="shared" si="8"/>
        <v>0</v>
      </c>
      <c r="O122" s="202"/>
      <c r="P122" s="202"/>
      <c r="Q122" s="202"/>
      <c r="R122" s="641">
        <f xml:space="preserve"> IFERROR( IF( OR( R$10 = $S$10, R$10 = $U$10 ), IF( $S$110 = 0, 0, IF( $U$110 = 0, 1, SUM( R97:$V97 ) / ( SUM( $S97:$V97 ) + SUM( $U97:$V97 ) ) ) ), 0 ), 0 )</f>
        <v>0</v>
      </c>
      <c r="S122" s="641">
        <f xml:space="preserve"> IFERROR( IF( OR( S$10 = $S$10, S$10 = $U$10 ), IF( $S$110 = 0, 0, IF( $U$110 = 0, 1, SUM( S97:$V97 ) / ( SUM( $S97:$V97 ) + SUM( $U97:$V97 ) ) ) ), 0 ), 0 )</f>
        <v>0</v>
      </c>
      <c r="T122" s="641">
        <f xml:space="preserve"> IFERROR( IF( OR( T$10 = $S$10, T$10 = $U$10 ), IF( $S$110 = 0, 0, IF( $U$110 = 0, 1, SUM( T97:$V97 ) / ( SUM( $S97:$V97 ) + SUM( $U97:$V97 ) ) ) ), 0 ), 0 )</f>
        <v>0</v>
      </c>
      <c r="U122" s="644">
        <f xml:space="preserve"> IFERROR( IF( OR( U$10 = $S$10, U$10 = $U$10 ), IF( $U$110 = 0, 0, IF( $S$110 = 0, 1, SUM( U97:$V97 ) / ( SUM( $S97:$V97 ) + SUM( $U97:$V97 ) ) ) ), 0 ), 0 )</f>
        <v>0</v>
      </c>
      <c r="V122" s="641">
        <f xml:space="preserve"> IFERROR( IF( OR( V$10 = $S$10, V$10 = $U$10 ), IF( $S$110 = 0, 0, IF( $U$110 = 0, 1, SUM( V97:$V97 ) / ( SUM( $S97:$V97 ) + SUM( $U97:$V97 ) ) ) ), 0 ), 0 )</f>
        <v>0</v>
      </c>
      <c r="W122" s="198">
        <f t="shared" si="9"/>
        <v>0</v>
      </c>
    </row>
    <row r="123" spans="4:23" ht="15" customHeight="1">
      <c r="D123" s="85" t="str">
        <f xml:space="preserve"> '2.1 Model setup'!K80</f>
        <v>5.1 Omkostninger til overliggende net ifm. forbrug</v>
      </c>
      <c r="K123" s="5" t="s">
        <v>4</v>
      </c>
      <c r="L123" s="85">
        <f t="shared" si="8"/>
        <v>0</v>
      </c>
      <c r="O123" s="202"/>
      <c r="P123" s="202"/>
      <c r="Q123" s="202"/>
      <c r="R123" s="641">
        <f xml:space="preserve"> IFERROR( IF( OR( R$10 = $S$10, R$10 = $U$10 ), IF( $S$110 = 0, 0, IF( $U$110 = 0, 1, SUM( R98:$V98 ) / ( SUM( $S98:$V98 ) + SUM( $U98:$V98 ) ) ) ), 0 ), 0 )</f>
        <v>0</v>
      </c>
      <c r="S123" s="641">
        <f xml:space="preserve"> IFERROR( IF( OR( S$10 = $S$10, S$10 = $U$10 ), IF( $S$110 = 0, 0, IF( $U$110 = 0, 1, SUM( S98:$V98 ) / ( SUM( $S98:$V98 ) + SUM( $U98:$V98 ) ) ) ), 0 ), 0 )</f>
        <v>0</v>
      </c>
      <c r="T123" s="641">
        <f xml:space="preserve"> IFERROR( IF( OR( T$10 = $S$10, T$10 = $U$10 ), IF( $S$110 = 0, 0, IF( $U$110 = 0, 1, SUM( T98:$V98 ) / ( SUM( $S98:$V98 ) + SUM( $U98:$V98 ) ) ) ), 0 ), 0 )</f>
        <v>0</v>
      </c>
      <c r="U123" s="644">
        <f xml:space="preserve"> IFERROR( IF( OR( U$10 = $S$10, U$10 = $U$10 ), IF( $U$110 = 0, 0, IF( $S$110 = 0, 1, SUM( U98:$V98 ) / ( SUM( $S98:$V98 ) + SUM( $U98:$V98 ) ) ) ), 0 ), 0 )</f>
        <v>0</v>
      </c>
      <c r="V123" s="641">
        <f xml:space="preserve"> IFERROR( IF( OR( V$10 = $S$10, V$10 = $U$10 ), IF( $S$110 = 0, 0, IF( $U$110 = 0, 1, SUM( V98:$V98 ) / ( SUM( $S98:$V98 ) + SUM( $U98:$V98 ) ) ) ), 0 ), 0 )</f>
        <v>0</v>
      </c>
      <c r="W123" s="198">
        <f xml:space="preserve"> SUM( R123:V123 )</f>
        <v>0</v>
      </c>
    </row>
    <row r="124" spans="4:23" ht="15" customHeight="1">
      <c r="D124" s="85" t="str">
        <f xml:space="preserve"> '2.1 Model setup'!K81</f>
        <v>5.2 Øvrige omkostninger</v>
      </c>
      <c r="K124" s="5" t="s">
        <v>4</v>
      </c>
      <c r="L124" s="85">
        <f t="shared" si="8"/>
        <v>0</v>
      </c>
      <c r="O124" s="202"/>
      <c r="P124" s="202"/>
      <c r="Q124" s="202"/>
      <c r="R124" s="641">
        <f xml:space="preserve"> IFERROR( IF( OR( R$10 = $S$10, R$10 = $U$10 ), IF( $S$110 = 0, 0, IF( $U$110 = 0, 1, SUM( R99:$V99 ) / ( SUM( $S99:$V99 ) + SUM( $U99:$V99 ) ) ) ), 0 ), 0 )</f>
        <v>0</v>
      </c>
      <c r="S124" s="641">
        <f xml:space="preserve"> IFERROR( IF( OR( S$10 = $S$10, S$10 = $U$10 ), IF( $S$110 = 0, 0, IF( $U$110 = 0, 1, SUM( S99:$V99 ) / ( SUM( $S99:$V99 ) + SUM( $U99:$V99 ) ) ) ), 0 ), 0 )</f>
        <v>0</v>
      </c>
      <c r="T124" s="641">
        <f xml:space="preserve"> IFERROR( IF( OR( T$10 = $S$10, T$10 = $U$10 ), IF( $S$110 = 0, 0, IF( $U$110 = 0, 1, SUM( T99:$V99 ) / ( SUM( $S99:$V99 ) + SUM( $U99:$V99 ) ) ) ), 0 ), 0 )</f>
        <v>0</v>
      </c>
      <c r="U124" s="644">
        <f xml:space="preserve"> IFERROR( IF( OR( U$10 = $S$10, U$10 = $U$10 ), IF( $U$110 = 0, 0, IF( $S$110 = 0, 1, SUM( U99:$V99 ) / ( SUM( $S99:$V99 ) + SUM( $U99:$V99 ) ) ) ), 0 ), 0 )</f>
        <v>0</v>
      </c>
      <c r="V124" s="641">
        <f xml:space="preserve"> IFERROR( IF( OR( V$10 = $S$10, V$10 = $U$10 ), IF( $S$110 = 0, 0, IF( $U$110 = 0, 1, SUM( V99:$V99 ) / ( SUM( $S99:$V99 ) + SUM( $U99:$V99 ) ) ) ), 0 ), 0 )</f>
        <v>0</v>
      </c>
      <c r="W124" s="198">
        <f xml:space="preserve"> SUM( R124:V124 )</f>
        <v>0</v>
      </c>
    </row>
    <row r="125" spans="4:23" ht="15" customHeight="1">
      <c r="D125" s="85" t="str">
        <f xml:space="preserve"> '2.1 Model setup'!K82</f>
        <v>6.1 Afskrivninger på transformerstationer</v>
      </c>
      <c r="K125" s="5" t="s">
        <v>4</v>
      </c>
      <c r="L125" s="85">
        <f t="shared" si="8"/>
        <v>0</v>
      </c>
      <c r="O125" s="202"/>
      <c r="P125" s="202"/>
      <c r="Q125" s="202"/>
      <c r="R125" s="641">
        <f xml:space="preserve"> IFERROR( IF( OR( R$10 = $S$10, R$10 = $U$10 ), IF( $S$110 = 0, 0, IF( $U$110 = 0, 1, SUM( R100:$V100 ) / ( SUM( $S100:$V100 ) + SUM( $U100:$V100 ) ) ) ), 0 ), 0 )</f>
        <v>0</v>
      </c>
      <c r="S125" s="641">
        <f xml:space="preserve"> IFERROR( IF( OR( S$10 = $S$10, S$10 = $U$10 ), IF( $S$110 = 0, 0, IF( $U$110 = 0, 1, SUM( S100:$V100 ) / ( SUM( $S100:$V100 ) + SUM( $U100:$V100 ) ) ) ), 0 ), 0 )</f>
        <v>0</v>
      </c>
      <c r="T125" s="641">
        <f xml:space="preserve"> IFERROR( IF( OR( T$10 = $S$10, T$10 = $U$10 ), IF( $S$110 = 0, 0, IF( $U$110 = 0, 1, SUM( T100:$V100 ) / ( SUM( $S100:$V100 ) + SUM( $U100:$V100 ) ) ) ), 0 ), 0 )</f>
        <v>0</v>
      </c>
      <c r="U125" s="644">
        <f xml:space="preserve"> IFERROR( IF( OR( U$10 = $S$10, U$10 = $U$10 ), IF( $U$110 = 0, 0, IF( $S$110 = 0, 1, SUM( U100:$V100 ) / ( SUM( $S100:$V100 ) + SUM( $U100:$V100 ) ) ) ), 0 ), 0 )</f>
        <v>0</v>
      </c>
      <c r="V125" s="641">
        <f xml:space="preserve"> IFERROR( IF( OR( V$10 = $S$10, V$10 = $U$10 ), IF( $S$110 = 0, 0, IF( $U$110 = 0, 1, SUM( V100:$V100 ) / ( SUM( $S100:$V100 ) + SUM( $U100:$V100 ) ) ) ), 0 ), 0 )</f>
        <v>0</v>
      </c>
      <c r="W125" s="198">
        <f xml:space="preserve"> SUM( R125:V125 )</f>
        <v>0</v>
      </c>
    </row>
    <row r="126" spans="4:23" ht="15" customHeight="1">
      <c r="D126" s="85" t="str">
        <f xml:space="preserve"> '2.1 Model setup'!K83</f>
        <v>6.2 Afskrivninger på netaktiver ekskl. målere og transformerstationer</v>
      </c>
      <c r="K126" s="5" t="s">
        <v>4</v>
      </c>
      <c r="L126" s="85">
        <f t="shared" si="8"/>
        <v>0</v>
      </c>
      <c r="O126" s="202"/>
      <c r="P126" s="202"/>
      <c r="Q126" s="202"/>
      <c r="R126" s="641">
        <f xml:space="preserve"> IFERROR( IF( OR( R$10 = $S$10, R$10 = $U$10 ), IF( $S$110 = 0, 0, IF( $U$110 = 0, 1, SUM( R101:$V101 ) / ( SUM( $S101:$V101 ) + SUM( $U101:$V101 ) ) ) ), 0 ), 0 )</f>
        <v>0</v>
      </c>
      <c r="S126" s="641">
        <f xml:space="preserve"> IFERROR( IF( OR( S$10 = $S$10, S$10 = $U$10 ), IF( $S$110 = 0, 0, IF( $U$110 = 0, 1, SUM( S101:$V101 ) / ( SUM( $S101:$V101 ) + SUM( $U101:$V101 ) ) ) ), 0 ), 0 )</f>
        <v>0</v>
      </c>
      <c r="T126" s="641">
        <f xml:space="preserve"> IFERROR( IF( OR( T$10 = $S$10, T$10 = $U$10 ), IF( $S$110 = 0, 0, IF( $U$110 = 0, 1, SUM( T101:$V101 ) / ( SUM( $S101:$V101 ) + SUM( $U101:$V101 ) ) ) ), 0 ), 0 )</f>
        <v>0</v>
      </c>
      <c r="U126" s="644">
        <f xml:space="preserve"> IFERROR( IF( OR( U$10 = $S$10, U$10 = $U$10 ), IF( $U$110 = 0, 0, IF( $S$110 = 0, 1, SUM( U101:$V101 ) / ( SUM( $S101:$V101 ) + SUM( $U101:$V101 ) ) ) ), 0 ), 0 )</f>
        <v>0</v>
      </c>
      <c r="V126" s="641">
        <f xml:space="preserve"> IFERROR( IF( OR( V$10 = $S$10, V$10 = $U$10 ), IF( $S$110 = 0, 0, IF( $U$110 = 0, 1, SUM( V101:$V101 ) / ( SUM( $S101:$V101 ) + SUM( $U101:$V101 ) ) ) ), 0 ), 0 )</f>
        <v>0</v>
      </c>
      <c r="W126" s="198">
        <f xml:space="preserve"> SUM( R126:V126 )</f>
        <v>0</v>
      </c>
    </row>
    <row r="127" spans="4:23" ht="15" customHeight="1">
      <c r="D127" s="99" t="str">
        <f xml:space="preserve"> '2.1 Model setup'!K84</f>
        <v>6.3 Afskrivninger på målere</v>
      </c>
      <c r="E127" s="27"/>
      <c r="F127" s="27"/>
      <c r="G127" s="27"/>
      <c r="H127" s="27"/>
      <c r="I127" s="27"/>
      <c r="J127" s="27"/>
      <c r="K127" s="32" t="s">
        <v>4</v>
      </c>
      <c r="L127" s="99">
        <f xml:space="preserve"> -- ( IF( COUNTIF( R127:V127, "&lt;&gt;0" ) = 0, 0, ROUND( SUM( R127:V127 ), 5 ) &lt;&gt; 1 ) )</f>
        <v>0</v>
      </c>
      <c r="M127" s="27"/>
      <c r="N127" s="27"/>
      <c r="O127" s="269"/>
      <c r="P127" s="269"/>
      <c r="Q127" s="269"/>
      <c r="R127" s="642">
        <f xml:space="preserve"> IFERROR( IF( OR( R$10 = $S$10, R$10 = $U$10 ), IF( $S$110 = 0, 0, IF( $U$110 = 0, 1, SUM( R102:$V102 ) / ( SUM( $S102:$V102 ) + SUM( $U102:$V102 ) ) ) ), 0 ), 0 )</f>
        <v>0</v>
      </c>
      <c r="S127" s="642">
        <f xml:space="preserve"> IFERROR( IF( OR( S$10 = $S$10, S$10 = $U$10 ), IF( $S$110 = 0, 0, IF( $U$110 = 0, 1, SUM( S102:$V102 ) / ( SUM( $S102:$V102 ) + SUM( $U102:$V102 ) ) ) ), 0 ), 0 )</f>
        <v>0</v>
      </c>
      <c r="T127" s="642">
        <f xml:space="preserve"> IFERROR( IF( OR( T$10 = $S$10, T$10 = $U$10 ), IF( $S$110 = 0, 0, IF( $U$110 = 0, 1, SUM( T102:$V102 ) / ( SUM( $S102:$V102 ) + SUM( $U102:$V102 ) ) ) ), 0 ), 0 )</f>
        <v>0</v>
      </c>
      <c r="U127" s="645">
        <f xml:space="preserve"> IFERROR( IF( OR( U$10 = $S$10, U$10 = $U$10 ), IF( $U$110 = 0, 0, IF( $S$110 = 0, 1, SUM( U102:$V102 ) / ( SUM( $S102:$V102 ) + SUM( $U102:$V102 ) ) ) ), 0 ), 0 )</f>
        <v>0</v>
      </c>
      <c r="V127" s="642">
        <f xml:space="preserve"> IFERROR( IF( OR( V$10 = $S$10, V$10 = $U$10 ), IF( $S$110 = 0, 0, IF( $U$110 = 0, 1, SUM( V102:$V102 ) / ( SUM( $S102:$V102 ) + SUM( $U102:$V102 ) ) ) ), 0 ), 0 )</f>
        <v>0</v>
      </c>
      <c r="W127" s="199">
        <f xml:space="preserve"> SUM( R127:V127 )</f>
        <v>0</v>
      </c>
    </row>
    <row r="129" spans="4:23" ht="15" customHeight="1">
      <c r="D129" s="35" t="s">
        <v>284</v>
      </c>
      <c r="E129" s="27"/>
      <c r="F129" s="27"/>
      <c r="G129" s="27"/>
      <c r="H129" s="27"/>
      <c r="I129" s="27"/>
      <c r="J129" s="27"/>
      <c r="K129" s="32"/>
      <c r="M129" s="27"/>
      <c r="N129" s="27"/>
      <c r="O129" s="27"/>
      <c r="P129" s="27"/>
      <c r="Q129" s="27"/>
      <c r="R129" s="27"/>
      <c r="S129" s="27"/>
      <c r="T129" s="27"/>
      <c r="U129" s="27"/>
      <c r="V129" s="27"/>
      <c r="W129" s="185" t="s">
        <v>16</v>
      </c>
    </row>
    <row r="130" spans="4:23" ht="15" customHeight="1">
      <c r="D130" s="85" t="str">
        <f xml:space="preserve"> '2.1 Model setup'!K70</f>
        <v>1.1 Drift og vedligeholdelse af transformerstationer</v>
      </c>
      <c r="K130" s="5" t="str">
        <f t="shared" ref="K130:K145" si="10" xml:space="preserve"> Model.Units</f>
        <v>DKKt</v>
      </c>
      <c r="L130" s="123">
        <f xml:space="preserve"> -- ( OR( R130 &lt;&gt; 0, T130 &lt;&gt; 0, V130 &lt;&gt; 0 ) )</f>
        <v>0</v>
      </c>
      <c r="O130" s="202"/>
      <c r="P130" s="202"/>
      <c r="Q130" s="202"/>
      <c r="R130" s="1">
        <f xml:space="preserve"> IF( ( $N54 = '2.1 Model setup'!$K$51 ) * ( $N71 = 1 ), R113 * $W33, R33 )</f>
        <v>0</v>
      </c>
      <c r="S130" s="1">
        <f xml:space="preserve"> IF( ( $N54 = '2.1 Model setup'!$K$51 ) * ( $N71 = 1 ), S113 * $W33, S33 )</f>
        <v>0</v>
      </c>
      <c r="T130" s="1">
        <f xml:space="preserve"> IF( ( $N54 = '2.1 Model setup'!$K$51 ) * ( $N71 = 1 ), T113 * $W33, T33 )</f>
        <v>0</v>
      </c>
      <c r="U130" s="1">
        <f xml:space="preserve"> IF( ( $N54 = '2.1 Model setup'!$K$51 ) * ( $N71 = 1 ), U113 * $W33, U33 )</f>
        <v>0</v>
      </c>
      <c r="V130" s="1">
        <f xml:space="preserve"> IF( ( $N54 = '2.1 Model setup'!$K$51 ) * ( $N71 = 1 ), V113 * $W33, V33 )</f>
        <v>0</v>
      </c>
      <c r="W130" s="4">
        <f t="shared" ref="W130:W144" si="11" xml:space="preserve"> SUM( R130:V130 )</f>
        <v>0</v>
      </c>
    </row>
    <row r="131" spans="4:23" ht="15" customHeight="1">
      <c r="D131" s="85" t="str">
        <f xml:space="preserve"> '2.1 Model setup'!K71</f>
        <v>1.2 Drift og vedligeholdelse af ledningsnet</v>
      </c>
      <c r="K131" s="5" t="str">
        <f t="shared" si="10"/>
        <v>DKKt</v>
      </c>
      <c r="L131" s="85"/>
      <c r="O131" s="202"/>
      <c r="P131" s="202"/>
      <c r="Q131" s="202"/>
      <c r="R131" s="1">
        <f xml:space="preserve"> IF( ( $N55 = '2.1 Model setup'!$K$51 ) * ( $N72 = 1 ), R114 * $W34, R34 )</f>
        <v>0</v>
      </c>
      <c r="S131" s="1">
        <f xml:space="preserve"> IF( ( $N55 = '2.1 Model setup'!$K$51 ) * ( $N72 = 1 ), S114 * $W34, S34 )</f>
        <v>0</v>
      </c>
      <c r="T131" s="1">
        <f xml:space="preserve"> IF( ( $N55 = '2.1 Model setup'!$K$51 ) * ( $N72 = 1 ), T114 * $W34, T34 )</f>
        <v>0</v>
      </c>
      <c r="U131" s="1">
        <f xml:space="preserve"> IF( ( $N55 = '2.1 Model setup'!$K$51 ) * ( $N72 = 1 ), U114 * $W34, U34 )</f>
        <v>0</v>
      </c>
      <c r="V131" s="1">
        <f xml:space="preserve"> IF( ( $N55 = '2.1 Model setup'!$K$51 ) * ( $N72 = 1 ), V114 * $W34, V34 )</f>
        <v>0</v>
      </c>
      <c r="W131" s="4">
        <f t="shared" si="11"/>
        <v>0</v>
      </c>
    </row>
    <row r="132" spans="4:23" ht="15" customHeight="1">
      <c r="D132" s="85" t="str">
        <f xml:space="preserve"> '2.1 Model setup'!K72</f>
        <v>1.3 Øvrige omkostninger til drift, styring og kontrol af elnettet</v>
      </c>
      <c r="K132" s="5" t="str">
        <f t="shared" si="10"/>
        <v>DKKt</v>
      </c>
      <c r="L132" s="85"/>
      <c r="O132" s="202"/>
      <c r="P132" s="202"/>
      <c r="Q132" s="202"/>
      <c r="R132" s="1">
        <f xml:space="preserve"> IF( ( $N56 = '2.1 Model setup'!$K$51 ) * ( $N73 = 1 ), R115 * $W35, R35 )</f>
        <v>0</v>
      </c>
      <c r="S132" s="1">
        <f xml:space="preserve"> IF( ( $N56 = '2.1 Model setup'!$K$51 ) * ( $N73 = 1 ), S115 * $W35, S35 )</f>
        <v>0</v>
      </c>
      <c r="T132" s="1">
        <f xml:space="preserve"> IF( ( $N56 = '2.1 Model setup'!$K$51 ) * ( $N73 = 1 ), T115 * $W35, T35 )</f>
        <v>0</v>
      </c>
      <c r="U132" s="1">
        <f xml:space="preserve"> IF( ( $N56 = '2.1 Model setup'!$K$51 ) * ( $N73 = 1 ), U115 * $W35, U35 )</f>
        <v>0</v>
      </c>
      <c r="V132" s="1">
        <f xml:space="preserve"> IF( ( $N56 = '2.1 Model setup'!$K$51 ) * ( $N73 = 1 ), V115 * $W35, V35 )</f>
        <v>0</v>
      </c>
      <c r="W132" s="4">
        <f t="shared" si="11"/>
        <v>0</v>
      </c>
    </row>
    <row r="133" spans="4:23" ht="15" customHeight="1">
      <c r="D133" s="85" t="str">
        <f xml:space="preserve"> '2.1 Model setup'!K73</f>
        <v>1.4 Omkostninger vedrørende 132-150/30-60 kV-stationer</v>
      </c>
      <c r="K133" s="5" t="str">
        <f t="shared" si="10"/>
        <v>DKKt</v>
      </c>
      <c r="L133" s="85"/>
      <c r="O133" s="202"/>
      <c r="P133" s="202"/>
      <c r="Q133" s="202"/>
      <c r="R133" s="1">
        <f xml:space="preserve"> IF( ( $N57 = '2.1 Model setup'!$K$51 ) * ( $N74 = 1 ), R116 * $W36, R36 )</f>
        <v>0</v>
      </c>
      <c r="S133" s="1">
        <f xml:space="preserve"> IF( ( $N57 = '2.1 Model setup'!$K$51 ) * ( $N74 = 1 ), S116 * $W36, S36 )</f>
        <v>0</v>
      </c>
      <c r="T133" s="1">
        <f xml:space="preserve"> IF( ( $N57 = '2.1 Model setup'!$K$51 ) * ( $N74 = 1 ), T116 * $W36, T36 )</f>
        <v>0</v>
      </c>
      <c r="U133" s="1">
        <f xml:space="preserve"> IF( ( $N57 = '2.1 Model setup'!$K$51 ) * ( $N74 = 1 ), U116 * $W36, U36 )</f>
        <v>0</v>
      </c>
      <c r="V133" s="1">
        <f xml:space="preserve"> IF( ( $N57 = '2.1 Model setup'!$K$51 ) * ( $N74 = 1 ), V116 * $W36, V36 )</f>
        <v>0</v>
      </c>
      <c r="W133" s="4">
        <f xml:space="preserve"> SUM( R133:V133 )</f>
        <v>0</v>
      </c>
    </row>
    <row r="134" spans="4:23" ht="15" customHeight="1">
      <c r="D134" s="85" t="str">
        <f xml:space="preserve"> '2.1 Model setup'!K74</f>
        <v>2.1 Drift og vedligeholdelse af målere</v>
      </c>
      <c r="K134" s="5" t="str">
        <f t="shared" si="10"/>
        <v>DKKt</v>
      </c>
      <c r="L134" s="85"/>
      <c r="O134" s="202"/>
      <c r="P134" s="202"/>
      <c r="Q134" s="202"/>
      <c r="R134" s="1">
        <f xml:space="preserve"> IF( ( $N58 = '2.1 Model setup'!$K$51 ) * ( $N75 = 1 ), R117 * $W37, R37 )</f>
        <v>0</v>
      </c>
      <c r="S134" s="1">
        <f xml:space="preserve"> IF( ( $N58 = '2.1 Model setup'!$K$51 ) * ( $N75 = 1 ), S117 * $W37, S37 )</f>
        <v>0</v>
      </c>
      <c r="T134" s="1">
        <f xml:space="preserve"> IF( ( $N58 = '2.1 Model setup'!$K$51 ) * ( $N75 = 1 ), T117 * $W37, T37 )</f>
        <v>0</v>
      </c>
      <c r="U134" s="1">
        <f xml:space="preserve"> IF( ( $N58 = '2.1 Model setup'!$K$51 ) * ( $N75 = 1 ), U117 * $W37, U37 )</f>
        <v>0</v>
      </c>
      <c r="V134" s="1">
        <f xml:space="preserve"> IF( ( $N58 = '2.1 Model setup'!$K$51 ) * ( $N75 = 1 ), V117 * $W37, V37 )</f>
        <v>0</v>
      </c>
      <c r="W134" s="4">
        <f t="shared" si="11"/>
        <v>0</v>
      </c>
    </row>
    <row r="135" spans="4:23" ht="15" customHeight="1">
      <c r="D135" s="85" t="str">
        <f xml:space="preserve"> '2.1 Model setup'!K75</f>
        <v>2.2 Indhentning og validering af målerdata</v>
      </c>
      <c r="K135" s="5" t="str">
        <f t="shared" si="10"/>
        <v>DKKt</v>
      </c>
      <c r="L135" s="85"/>
      <c r="O135" s="202"/>
      <c r="P135" s="202"/>
      <c r="Q135" s="202"/>
      <c r="R135" s="1">
        <f xml:space="preserve"> IF( ( $N59 = '2.1 Model setup'!$K$51 ) * ( $N76 = 1 ), R118 * $W38, R38 )</f>
        <v>0</v>
      </c>
      <c r="S135" s="1">
        <f xml:space="preserve"> IF( ( $N59 = '2.1 Model setup'!$K$51 ) * ( $N76 = 1 ), S118 * $W38, S38 )</f>
        <v>0</v>
      </c>
      <c r="T135" s="1">
        <f xml:space="preserve"> IF( ( $N59 = '2.1 Model setup'!$K$51 ) * ( $N76 = 1 ), T118 * $W38, T38 )</f>
        <v>0</v>
      </c>
      <c r="U135" s="1">
        <f xml:space="preserve"> IF( ( $N59 = '2.1 Model setup'!$K$51 ) * ( $N76 = 1 ), U118 * $W38, U38 )</f>
        <v>0</v>
      </c>
      <c r="V135" s="1">
        <f xml:space="preserve"> IF( ( $N59 = '2.1 Model setup'!$K$51 ) * ( $N76 = 1 ), V118 * $W38, V38 )</f>
        <v>0</v>
      </c>
      <c r="W135" s="4">
        <f t="shared" si="11"/>
        <v>0</v>
      </c>
    </row>
    <row r="136" spans="4:23" ht="15" customHeight="1">
      <c r="D136" s="85" t="str">
        <f xml:space="preserve"> '2.1 Model setup'!K76</f>
        <v>2.3 Måleradministration og kundehåndtering</v>
      </c>
      <c r="K136" s="5" t="str">
        <f t="shared" si="10"/>
        <v>DKKt</v>
      </c>
      <c r="L136" s="85"/>
      <c r="O136" s="202"/>
      <c r="P136" s="202"/>
      <c r="Q136" s="202"/>
      <c r="R136" s="1">
        <f xml:space="preserve"> IF( ( $N60 = '2.1 Model setup'!$K$51 ) * ( $N77 = 1 ), R119 * $W39, R39 )</f>
        <v>0</v>
      </c>
      <c r="S136" s="1">
        <f xml:space="preserve"> IF( ( $N60 = '2.1 Model setup'!$K$51 ) * ( $N77 = 1 ), S119 * $W39, S39 )</f>
        <v>0</v>
      </c>
      <c r="T136" s="1">
        <f xml:space="preserve"> IF( ( $N60 = '2.1 Model setup'!$K$51 ) * ( $N77 = 1 ), T119 * $W39, T39 )</f>
        <v>0</v>
      </c>
      <c r="U136" s="1">
        <f xml:space="preserve"> IF( ( $N60 = '2.1 Model setup'!$K$51 ) * ( $N77 = 1 ), U119 * $W39, U39 )</f>
        <v>0</v>
      </c>
      <c r="V136" s="1">
        <f xml:space="preserve"> IF( ( $N60 = '2.1 Model setup'!$K$51 ) * ( $N77 = 1 ), V119 * $W39, V39 )</f>
        <v>0</v>
      </c>
      <c r="W136" s="4">
        <f t="shared" si="11"/>
        <v>0</v>
      </c>
    </row>
    <row r="137" spans="4:23" ht="15" customHeight="1">
      <c r="D137" s="85" t="str">
        <f xml:space="preserve"> '2.1 Model setup'!K77</f>
        <v>3.1 Generel administration</v>
      </c>
      <c r="K137" s="5" t="str">
        <f t="shared" si="10"/>
        <v>DKKt</v>
      </c>
      <c r="L137" s="85"/>
      <c r="O137" s="202"/>
      <c r="P137" s="202"/>
      <c r="Q137" s="202"/>
      <c r="R137" s="1">
        <f xml:space="preserve"> IF( ( $N61 = '2.1 Model setup'!$K$51 ) * ( $N78 = 1 ), R120 * $W40, R40 )</f>
        <v>0</v>
      </c>
      <c r="S137" s="1">
        <f xml:space="preserve"> IF( ( $N61 = '2.1 Model setup'!$K$51 ) * ( $N78 = 1 ), S120 * $W40, S40 )</f>
        <v>0</v>
      </c>
      <c r="T137" s="1">
        <f xml:space="preserve"> IF( ( $N61 = '2.1 Model setup'!$K$51 ) * ( $N78 = 1 ), T120 * $W40, T40 )</f>
        <v>0</v>
      </c>
      <c r="U137" s="1">
        <f xml:space="preserve"> IF( ( $N61 = '2.1 Model setup'!$K$51 ) * ( $N78 = 1 ), U120 * $W40, U40 )</f>
        <v>0</v>
      </c>
      <c r="V137" s="1">
        <f xml:space="preserve"> IF( ( $N61 = '2.1 Model setup'!$K$51 ) * ( $N78 = 1 ), V120 * $W40, V40 )</f>
        <v>0</v>
      </c>
      <c r="W137" s="4">
        <f t="shared" si="11"/>
        <v>0</v>
      </c>
    </row>
    <row r="138" spans="4:23" ht="15" customHeight="1">
      <c r="D138" s="85" t="str">
        <f xml:space="preserve"> '2.1 Model setup'!K78</f>
        <v>4.1 Omkostninger vedrørende nettab i transformerstationer</v>
      </c>
      <c r="K138" s="5" t="str">
        <f t="shared" si="10"/>
        <v>DKKt</v>
      </c>
      <c r="L138" s="85">
        <f xml:space="preserve"> -- ( OR( R138 &lt;&gt; 0, T138 &lt;&gt; 0, V138 &lt;&gt; 0 ) )</f>
        <v>0</v>
      </c>
      <c r="O138" s="202"/>
      <c r="P138" s="202"/>
      <c r="Q138" s="202"/>
      <c r="R138" s="1">
        <f xml:space="preserve"> IF( ( $N62 = '2.1 Model setup'!$K$51 ) * ( $N79 = 1 ), R121 * $W41, R41 )</f>
        <v>0</v>
      </c>
      <c r="S138" s="1">
        <f xml:space="preserve"> IF( ( $N62 = '2.1 Model setup'!$K$51 ) * ( $N79 = 1 ), S121 * $W41, S41 )</f>
        <v>0</v>
      </c>
      <c r="T138" s="1">
        <f xml:space="preserve"> IF( ( $N62 = '2.1 Model setup'!$K$51 ) * ( $N79 = 1 ), T121 * $W41, T41 )</f>
        <v>0</v>
      </c>
      <c r="U138" s="1">
        <f xml:space="preserve"> IF( ( $N62 = '2.1 Model setup'!$K$51 ) * ( $N79 = 1 ), U121 * $W41, U41 )</f>
        <v>0</v>
      </c>
      <c r="V138" s="1">
        <f xml:space="preserve"> IF( ( $N62 = '2.1 Model setup'!$K$51 ) * ( $N79 = 1 ), V121 * $W41, V41 )</f>
        <v>0</v>
      </c>
      <c r="W138" s="4">
        <f t="shared" si="11"/>
        <v>0</v>
      </c>
    </row>
    <row r="139" spans="4:23" ht="15" customHeight="1">
      <c r="D139" s="85" t="str">
        <f xml:space="preserve"> '2.1 Model setup'!K79</f>
        <v>4.2 Omkostninger vedrørende nettab i ledningsnettet</v>
      </c>
      <c r="K139" s="5" t="str">
        <f t="shared" si="10"/>
        <v>DKKt</v>
      </c>
      <c r="L139" s="85"/>
      <c r="O139" s="202"/>
      <c r="P139" s="202"/>
      <c r="Q139" s="202"/>
      <c r="R139" s="1">
        <f xml:space="preserve"> IF( ( $N63 = '2.1 Model setup'!$K$51 ) * ( $N80 = 1 ), R122 * $W42, R42 )</f>
        <v>0</v>
      </c>
      <c r="S139" s="1">
        <f xml:space="preserve"> IF( ( $N63 = '2.1 Model setup'!$K$51 ) * ( $N80 = 1 ), S122 * $W42, S42 )</f>
        <v>0</v>
      </c>
      <c r="T139" s="1">
        <f xml:space="preserve"> IF( ( $N63 = '2.1 Model setup'!$K$51 ) * ( $N80 = 1 ), T122 * $W42, T42 )</f>
        <v>0</v>
      </c>
      <c r="U139" s="1">
        <f xml:space="preserve"> IF( ( $N63 = '2.1 Model setup'!$K$51 ) * ( $N80 = 1 ), U122 * $W42, U42 )</f>
        <v>0</v>
      </c>
      <c r="V139" s="1">
        <f xml:space="preserve"> IF( ( $N63 = '2.1 Model setup'!$K$51 ) * ( $N80 = 1 ), V122 * $W42, V42 )</f>
        <v>0</v>
      </c>
      <c r="W139" s="4">
        <f t="shared" si="11"/>
        <v>0</v>
      </c>
    </row>
    <row r="140" spans="4:23" ht="15" customHeight="1">
      <c r="D140" s="85" t="str">
        <f xml:space="preserve"> '2.1 Model setup'!K80</f>
        <v>5.1 Omkostninger til overliggende net ifm. forbrug</v>
      </c>
      <c r="K140" s="5" t="str">
        <f t="shared" si="10"/>
        <v>DKKt</v>
      </c>
      <c r="L140" s="85"/>
      <c r="O140" s="202"/>
      <c r="P140" s="202"/>
      <c r="Q140" s="202"/>
      <c r="R140" s="1">
        <f xml:space="preserve"> IF( ( $N64 = '2.1 Model setup'!$K$51 ) * ( $N81 = 1 ), R123 * $W43, R43 )</f>
        <v>0</v>
      </c>
      <c r="S140" s="1">
        <f xml:space="preserve"> IF( ( $N64 = '2.1 Model setup'!$K$51 ) * ( $N81 = 1 ), S123 * $W43, S43 )</f>
        <v>0</v>
      </c>
      <c r="T140" s="1">
        <f xml:space="preserve"> IF( ( $N64 = '2.1 Model setup'!$K$51 ) * ( $N81 = 1 ), T123 * $W43, T43 )</f>
        <v>0</v>
      </c>
      <c r="U140" s="1">
        <f xml:space="preserve"> IF( ( $N64 = '2.1 Model setup'!$K$51 ) * ( $N81 = 1 ), U123 * $W43, U43 )</f>
        <v>0</v>
      </c>
      <c r="V140" s="1">
        <f xml:space="preserve"> IF( ( $N64 = '2.1 Model setup'!$K$51 ) * ( $N81 = 1 ), V123 * $W43, V43 )</f>
        <v>0</v>
      </c>
      <c r="W140" s="4">
        <f xml:space="preserve"> SUM( R140:V140 )</f>
        <v>0</v>
      </c>
    </row>
    <row r="141" spans="4:23" ht="15" customHeight="1">
      <c r="D141" s="85" t="str">
        <f xml:space="preserve"> '2.1 Model setup'!K81</f>
        <v>5.2 Øvrige omkostninger</v>
      </c>
      <c r="K141" s="5" t="str">
        <f t="shared" si="10"/>
        <v>DKKt</v>
      </c>
      <c r="L141" s="85"/>
      <c r="O141" s="202"/>
      <c r="P141" s="202"/>
      <c r="Q141" s="202"/>
      <c r="R141" s="1">
        <f xml:space="preserve"> IF( ( $N65 = '2.1 Model setup'!$K$51 ) * ( $N82 = 1 ), R124 * $W44, R44 )</f>
        <v>0</v>
      </c>
      <c r="S141" s="1">
        <f xml:space="preserve"> IF( ( $N65 = '2.1 Model setup'!$K$51 ) * ( $N82 = 1 ), S124 * $W44, S44 )</f>
        <v>0</v>
      </c>
      <c r="T141" s="1">
        <f xml:space="preserve"> IF( ( $N65 = '2.1 Model setup'!$K$51 ) * ( $N82 = 1 ), T124 * $W44, T44 )</f>
        <v>0</v>
      </c>
      <c r="U141" s="1">
        <f xml:space="preserve"> IF( ( $N65 = '2.1 Model setup'!$K$51 ) * ( $N82 = 1 ), U124 * $W44, U44 )</f>
        <v>0</v>
      </c>
      <c r="V141" s="1">
        <f xml:space="preserve"> IF( ( $N65 = '2.1 Model setup'!$K$51 ) * ( $N82 = 1 ), V124 * $W44, V44 )</f>
        <v>0</v>
      </c>
      <c r="W141" s="4">
        <f t="shared" si="11"/>
        <v>0</v>
      </c>
    </row>
    <row r="142" spans="4:23" ht="15" customHeight="1">
      <c r="D142" s="85" t="str">
        <f xml:space="preserve"> '2.1 Model setup'!K82</f>
        <v>6.1 Afskrivninger på transformerstationer</v>
      </c>
      <c r="K142" s="5" t="str">
        <f t="shared" si="10"/>
        <v>DKKt</v>
      </c>
      <c r="L142" s="85">
        <f xml:space="preserve"> -- ( OR( R142 &lt;&gt; 0, T142 &lt;&gt; 0, V142 &lt;&gt; 0 ) )</f>
        <v>0</v>
      </c>
      <c r="O142" s="202"/>
      <c r="P142" s="202"/>
      <c r="Q142" s="202"/>
      <c r="R142" s="1">
        <f xml:space="preserve"> IF( ( $N66 = '2.1 Model setup'!$K$51 ) * ( $N83 = 1 ), R125 * $W45, R45 )</f>
        <v>0</v>
      </c>
      <c r="S142" s="1">
        <f xml:space="preserve"> IF( ( $N66 = '2.1 Model setup'!$K$51 ) * ( $N83 = 1 ), S125 * $W45, S45 )</f>
        <v>0</v>
      </c>
      <c r="T142" s="1">
        <f xml:space="preserve"> IF( ( $N66 = '2.1 Model setup'!$K$51 ) * ( $N83 = 1 ), T125 * $W45, T45 )</f>
        <v>0</v>
      </c>
      <c r="U142" s="1">
        <f xml:space="preserve"> IF( ( $N66 = '2.1 Model setup'!$K$51 ) * ( $N83 = 1 ), U125 * $W45, U45 )</f>
        <v>0</v>
      </c>
      <c r="V142" s="1">
        <f xml:space="preserve"> IF( ( $N66 = '2.1 Model setup'!$K$51 ) * ( $N83 = 1 ), V125 * $W45, V45 )</f>
        <v>0</v>
      </c>
      <c r="W142" s="4">
        <f t="shared" si="11"/>
        <v>0</v>
      </c>
    </row>
    <row r="143" spans="4:23" ht="15" customHeight="1">
      <c r="D143" s="85" t="str">
        <f xml:space="preserve"> '2.1 Model setup'!K83</f>
        <v>6.2 Afskrivninger på netaktiver ekskl. målere og transformerstationer</v>
      </c>
      <c r="K143" s="5" t="str">
        <f t="shared" si="10"/>
        <v>DKKt</v>
      </c>
      <c r="L143" s="85"/>
      <c r="O143" s="202"/>
      <c r="P143" s="202"/>
      <c r="Q143" s="202"/>
      <c r="R143" s="1">
        <f xml:space="preserve"> IF( ( $N67 = '2.1 Model setup'!$K$51 ) * ( $N84 = 1 ), R126 * $W46, R46 )</f>
        <v>0</v>
      </c>
      <c r="S143" s="1">
        <f xml:space="preserve"> IF( ( $N67 = '2.1 Model setup'!$K$51 ) * ( $N84 = 1 ), S126 * $W46, S46 )</f>
        <v>0</v>
      </c>
      <c r="T143" s="1">
        <f xml:space="preserve"> IF( ( $N67 = '2.1 Model setup'!$K$51 ) * ( $N84 = 1 ), T126 * $W46, T46 )</f>
        <v>0</v>
      </c>
      <c r="U143" s="1">
        <f xml:space="preserve"> IF( ( $N67 = '2.1 Model setup'!$K$51 ) * ( $N84 = 1 ), U126 * $W46, U46 )</f>
        <v>0</v>
      </c>
      <c r="V143" s="1">
        <f xml:space="preserve"> IF( ( $N67 = '2.1 Model setup'!$K$51 ) * ( $N84 = 1 ), V126 * $W46, V46 )</f>
        <v>0</v>
      </c>
      <c r="W143" s="4">
        <f t="shared" si="11"/>
        <v>0</v>
      </c>
    </row>
    <row r="144" spans="4:23" ht="15" customHeight="1">
      <c r="D144" s="85" t="str">
        <f xml:space="preserve"> '2.1 Model setup'!K84</f>
        <v>6.3 Afskrivninger på målere</v>
      </c>
      <c r="K144" s="5" t="str">
        <f t="shared" si="10"/>
        <v>DKKt</v>
      </c>
      <c r="L144" s="85"/>
      <c r="O144" s="202"/>
      <c r="P144" s="202"/>
      <c r="Q144" s="202"/>
      <c r="R144" s="1">
        <f xml:space="preserve"> IF( ( $N68 = '2.1 Model setup'!$K$51 ) * ( $N85 = 1 ), R127 * $W47, R47 )</f>
        <v>0</v>
      </c>
      <c r="S144" s="1">
        <f xml:space="preserve"> IF( ( $N68 = '2.1 Model setup'!$K$51 ) * ( $N85 = 1 ), S127 * $W47, S47 )</f>
        <v>0</v>
      </c>
      <c r="T144" s="1">
        <f xml:space="preserve"> IF( ( $N68 = '2.1 Model setup'!$K$51 ) * ( $N85 = 1 ), T127 * $W47, T47 )</f>
        <v>0</v>
      </c>
      <c r="U144" s="1">
        <f xml:space="preserve"> IF( ( $N68 = '2.1 Model setup'!$K$51 ) * ( $N85 = 1 ), U127 * $W47, U47 )</f>
        <v>0</v>
      </c>
      <c r="V144" s="1">
        <f xml:space="preserve"> IF( ( $N68 = '2.1 Model setup'!$K$51 ) * ( $N85 = 1 ), V127 * $W47, V47 )</f>
        <v>0</v>
      </c>
      <c r="W144" s="4">
        <f t="shared" si="11"/>
        <v>0</v>
      </c>
    </row>
    <row r="145" spans="4:23" ht="15" customHeight="1">
      <c r="D145" s="186" t="s">
        <v>16</v>
      </c>
      <c r="E145" s="33"/>
      <c r="F145" s="33"/>
      <c r="G145" s="33"/>
      <c r="H145" s="33"/>
      <c r="I145" s="33"/>
      <c r="J145" s="33"/>
      <c r="K145" s="187" t="str">
        <f t="shared" si="10"/>
        <v>DKKt</v>
      </c>
      <c r="L145" s="186"/>
      <c r="M145" s="33"/>
      <c r="N145" s="186"/>
      <c r="O145" s="388"/>
      <c r="P145" s="388"/>
      <c r="Q145" s="388"/>
      <c r="R145" s="186">
        <f t="shared" ref="R145:W145" si="12" xml:space="preserve"> SUM( R130:R144 )</f>
        <v>0</v>
      </c>
      <c r="S145" s="186">
        <f t="shared" si="12"/>
        <v>0</v>
      </c>
      <c r="T145" s="186">
        <f t="shared" si="12"/>
        <v>0</v>
      </c>
      <c r="U145" s="186">
        <f t="shared" si="12"/>
        <v>0</v>
      </c>
      <c r="V145" s="186">
        <f t="shared" si="12"/>
        <v>0</v>
      </c>
      <c r="W145" s="186">
        <f t="shared" si="12"/>
        <v>0</v>
      </c>
    </row>
    <row r="147" spans="4:23" ht="15" customHeight="1">
      <c r="D147" s="35" t="s">
        <v>296</v>
      </c>
      <c r="E147" s="27"/>
      <c r="F147" s="27"/>
      <c r="G147" s="27"/>
      <c r="H147" s="27"/>
      <c r="I147" s="27"/>
      <c r="J147" s="27"/>
      <c r="K147" s="32"/>
      <c r="L147" s="27"/>
      <c r="M147" s="27"/>
      <c r="N147" s="27"/>
      <c r="O147" s="27"/>
      <c r="P147" s="27"/>
      <c r="Q147" s="27"/>
      <c r="R147" s="27"/>
      <c r="S147" s="27"/>
      <c r="T147" s="27"/>
      <c r="U147" s="27"/>
      <c r="V147" s="27"/>
      <c r="W147" s="185" t="s">
        <v>16</v>
      </c>
    </row>
    <row r="148" spans="4:23" ht="15" customHeight="1">
      <c r="D148" s="85" t="str">
        <f xml:space="preserve"> '2.1 Model setup'!K70</f>
        <v>1.1 Drift og vedligeholdelse af transformerstationer</v>
      </c>
      <c r="K148" s="5" t="str">
        <f t="shared" ref="K148:K166" si="13" xml:space="preserve"> Model.Units</f>
        <v>DKKt</v>
      </c>
      <c r="L148" s="123">
        <f xml:space="preserve"> -- ( OR( R148 &lt;&gt; 0, T148 &lt;&gt; 0, V148 &lt;&gt; 0 ) )</f>
        <v>0</v>
      </c>
      <c r="M148" s="101"/>
      <c r="O148" s="202"/>
      <c r="P148" s="202"/>
      <c r="Q148" s="202"/>
      <c r="R148" s="1">
        <f t="shared" ref="R148:V162" si="14" xml:space="preserve"> R15 + R130</f>
        <v>0</v>
      </c>
      <c r="S148" s="1">
        <f t="shared" si="14"/>
        <v>0</v>
      </c>
      <c r="T148" s="1">
        <f t="shared" si="14"/>
        <v>0</v>
      </c>
      <c r="U148" s="1">
        <f t="shared" si="14"/>
        <v>0</v>
      </c>
      <c r="V148" s="1">
        <f t="shared" si="14"/>
        <v>0</v>
      </c>
      <c r="W148" s="4">
        <f t="shared" ref="W148:W165" si="15" xml:space="preserve"> SUM( R148:V148 )</f>
        <v>0</v>
      </c>
    </row>
    <row r="149" spans="4:23" ht="15" customHeight="1">
      <c r="D149" s="85" t="str">
        <f xml:space="preserve"> '2.1 Model setup'!K71</f>
        <v>1.2 Drift og vedligeholdelse af ledningsnet</v>
      </c>
      <c r="K149" s="5" t="str">
        <f t="shared" si="13"/>
        <v>DKKt</v>
      </c>
      <c r="L149" s="85"/>
      <c r="M149" s="103"/>
      <c r="O149" s="202"/>
      <c r="P149" s="202"/>
      <c r="Q149" s="202"/>
      <c r="R149" s="1">
        <f t="shared" si="14"/>
        <v>0</v>
      </c>
      <c r="S149" s="1">
        <f t="shared" si="14"/>
        <v>0</v>
      </c>
      <c r="T149" s="1">
        <f t="shared" si="14"/>
        <v>0</v>
      </c>
      <c r="U149" s="1">
        <f t="shared" si="14"/>
        <v>0</v>
      </c>
      <c r="V149" s="1">
        <f t="shared" si="14"/>
        <v>0</v>
      </c>
      <c r="W149" s="4">
        <f t="shared" si="15"/>
        <v>0</v>
      </c>
    </row>
    <row r="150" spans="4:23" ht="15" customHeight="1">
      <c r="D150" s="85" t="str">
        <f xml:space="preserve"> '2.1 Model setup'!K72</f>
        <v>1.3 Øvrige omkostninger til drift, styring og kontrol af elnettet</v>
      </c>
      <c r="K150" s="5" t="str">
        <f t="shared" si="13"/>
        <v>DKKt</v>
      </c>
      <c r="L150" s="85"/>
      <c r="M150" s="103"/>
      <c r="O150" s="202"/>
      <c r="P150" s="202"/>
      <c r="Q150" s="202"/>
      <c r="R150" s="1">
        <f t="shared" si="14"/>
        <v>0</v>
      </c>
      <c r="S150" s="1">
        <f t="shared" si="14"/>
        <v>0</v>
      </c>
      <c r="T150" s="1">
        <f t="shared" si="14"/>
        <v>0</v>
      </c>
      <c r="U150" s="1">
        <f t="shared" si="14"/>
        <v>0</v>
      </c>
      <c r="V150" s="1">
        <f t="shared" si="14"/>
        <v>0</v>
      </c>
      <c r="W150" s="4">
        <f t="shared" si="15"/>
        <v>0</v>
      </c>
    </row>
    <row r="151" spans="4:23" ht="15" customHeight="1">
      <c r="D151" s="85" t="str">
        <f xml:space="preserve"> '2.1 Model setup'!K73</f>
        <v>1.4 Omkostninger vedrørende 132-150/30-60 kV-stationer</v>
      </c>
      <c r="K151" s="5" t="str">
        <f t="shared" si="13"/>
        <v>DKKt</v>
      </c>
      <c r="L151" s="85"/>
      <c r="M151" s="103"/>
      <c r="O151" s="202"/>
      <c r="P151" s="202"/>
      <c r="Q151" s="202"/>
      <c r="R151" s="1">
        <f t="shared" si="14"/>
        <v>0</v>
      </c>
      <c r="S151" s="1">
        <f t="shared" si="14"/>
        <v>0</v>
      </c>
      <c r="T151" s="1">
        <f t="shared" si="14"/>
        <v>0</v>
      </c>
      <c r="U151" s="1">
        <f t="shared" si="14"/>
        <v>0</v>
      </c>
      <c r="V151" s="1">
        <f t="shared" si="14"/>
        <v>0</v>
      </c>
      <c r="W151" s="4">
        <f xml:space="preserve"> SUM( R151:V151 )</f>
        <v>0</v>
      </c>
    </row>
    <row r="152" spans="4:23" ht="15" customHeight="1">
      <c r="D152" s="85" t="str">
        <f xml:space="preserve"> '2.1 Model setup'!K74</f>
        <v>2.1 Drift og vedligeholdelse af målere</v>
      </c>
      <c r="K152" s="5" t="str">
        <f t="shared" si="13"/>
        <v>DKKt</v>
      </c>
      <c r="L152" s="85"/>
      <c r="M152" s="103"/>
      <c r="O152" s="202"/>
      <c r="P152" s="202"/>
      <c r="Q152" s="202"/>
      <c r="R152" s="1">
        <f t="shared" si="14"/>
        <v>0</v>
      </c>
      <c r="S152" s="1">
        <f t="shared" si="14"/>
        <v>0</v>
      </c>
      <c r="T152" s="1">
        <f t="shared" si="14"/>
        <v>0</v>
      </c>
      <c r="U152" s="1">
        <f t="shared" si="14"/>
        <v>0</v>
      </c>
      <c r="V152" s="1">
        <f t="shared" si="14"/>
        <v>0</v>
      </c>
      <c r="W152" s="4">
        <f t="shared" si="15"/>
        <v>0</v>
      </c>
    </row>
    <row r="153" spans="4:23" ht="15" customHeight="1">
      <c r="D153" s="85" t="str">
        <f xml:space="preserve"> '2.1 Model setup'!K75</f>
        <v>2.2 Indhentning og validering af målerdata</v>
      </c>
      <c r="K153" s="5" t="str">
        <f t="shared" si="13"/>
        <v>DKKt</v>
      </c>
      <c r="L153" s="85"/>
      <c r="M153" s="103"/>
      <c r="O153" s="202"/>
      <c r="P153" s="202"/>
      <c r="Q153" s="202"/>
      <c r="R153" s="1">
        <f t="shared" si="14"/>
        <v>0</v>
      </c>
      <c r="S153" s="1">
        <f t="shared" si="14"/>
        <v>0</v>
      </c>
      <c r="T153" s="1">
        <f t="shared" si="14"/>
        <v>0</v>
      </c>
      <c r="U153" s="1">
        <f t="shared" si="14"/>
        <v>0</v>
      </c>
      <c r="V153" s="1">
        <f t="shared" si="14"/>
        <v>0</v>
      </c>
      <c r="W153" s="4">
        <f t="shared" si="15"/>
        <v>0</v>
      </c>
    </row>
    <row r="154" spans="4:23" ht="15" customHeight="1">
      <c r="D154" s="85" t="str">
        <f xml:space="preserve"> '2.1 Model setup'!K76</f>
        <v>2.3 Måleradministration og kundehåndtering</v>
      </c>
      <c r="K154" s="5" t="str">
        <f t="shared" si="13"/>
        <v>DKKt</v>
      </c>
      <c r="L154" s="85"/>
      <c r="M154" s="103"/>
      <c r="O154" s="202"/>
      <c r="P154" s="202"/>
      <c r="Q154" s="202"/>
      <c r="R154" s="1">
        <f t="shared" si="14"/>
        <v>0</v>
      </c>
      <c r="S154" s="1">
        <f t="shared" si="14"/>
        <v>0</v>
      </c>
      <c r="T154" s="1">
        <f t="shared" si="14"/>
        <v>0</v>
      </c>
      <c r="U154" s="1">
        <f t="shared" si="14"/>
        <v>0</v>
      </c>
      <c r="V154" s="1">
        <f t="shared" si="14"/>
        <v>0</v>
      </c>
      <c r="W154" s="4">
        <f t="shared" si="15"/>
        <v>0</v>
      </c>
    </row>
    <row r="155" spans="4:23" ht="15" customHeight="1">
      <c r="D155" s="85" t="str">
        <f xml:space="preserve"> '2.1 Model setup'!K77</f>
        <v>3.1 Generel administration</v>
      </c>
      <c r="K155" s="5" t="str">
        <f t="shared" si="13"/>
        <v>DKKt</v>
      </c>
      <c r="L155" s="85"/>
      <c r="M155" s="103"/>
      <c r="O155" s="202"/>
      <c r="P155" s="202"/>
      <c r="Q155" s="202"/>
      <c r="R155" s="1">
        <f t="shared" si="14"/>
        <v>0</v>
      </c>
      <c r="S155" s="1">
        <f t="shared" si="14"/>
        <v>0</v>
      </c>
      <c r="T155" s="1">
        <f t="shared" si="14"/>
        <v>0</v>
      </c>
      <c r="U155" s="1">
        <f t="shared" si="14"/>
        <v>0</v>
      </c>
      <c r="V155" s="1">
        <f t="shared" si="14"/>
        <v>0</v>
      </c>
      <c r="W155" s="4">
        <f t="shared" si="15"/>
        <v>0</v>
      </c>
    </row>
    <row r="156" spans="4:23" ht="15" customHeight="1">
      <c r="D156" s="85" t="str">
        <f xml:space="preserve"> '2.1 Model setup'!K78</f>
        <v>4.1 Omkostninger vedrørende nettab i transformerstationer</v>
      </c>
      <c r="K156" s="5" t="str">
        <f t="shared" si="13"/>
        <v>DKKt</v>
      </c>
      <c r="L156" s="85">
        <f xml:space="preserve"> -- ( OR( R156 &lt;&gt; 0, T156 &lt;&gt; 0, V156 &lt;&gt; 0 ) )</f>
        <v>0</v>
      </c>
      <c r="M156" s="103"/>
      <c r="O156" s="202"/>
      <c r="P156" s="202"/>
      <c r="Q156" s="202"/>
      <c r="R156" s="1">
        <f t="shared" si="14"/>
        <v>0</v>
      </c>
      <c r="S156" s="1">
        <f t="shared" si="14"/>
        <v>0</v>
      </c>
      <c r="T156" s="1">
        <f t="shared" si="14"/>
        <v>0</v>
      </c>
      <c r="U156" s="1">
        <f t="shared" si="14"/>
        <v>0</v>
      </c>
      <c r="V156" s="1">
        <f t="shared" si="14"/>
        <v>0</v>
      </c>
      <c r="W156" s="4">
        <f t="shared" si="15"/>
        <v>0</v>
      </c>
    </row>
    <row r="157" spans="4:23" ht="15" customHeight="1">
      <c r="D157" s="85" t="str">
        <f xml:space="preserve"> '2.1 Model setup'!K79</f>
        <v>4.2 Omkostninger vedrørende nettab i ledningsnettet</v>
      </c>
      <c r="K157" s="5" t="str">
        <f t="shared" si="13"/>
        <v>DKKt</v>
      </c>
      <c r="L157" s="85"/>
      <c r="M157" s="103"/>
      <c r="O157" s="202"/>
      <c r="P157" s="202"/>
      <c r="Q157" s="202"/>
      <c r="R157" s="1">
        <f t="shared" si="14"/>
        <v>0</v>
      </c>
      <c r="S157" s="1">
        <f t="shared" si="14"/>
        <v>0</v>
      </c>
      <c r="T157" s="1">
        <f t="shared" si="14"/>
        <v>0</v>
      </c>
      <c r="U157" s="1">
        <f t="shared" si="14"/>
        <v>0</v>
      </c>
      <c r="V157" s="1">
        <f t="shared" si="14"/>
        <v>0</v>
      </c>
      <c r="W157" s="4">
        <f t="shared" si="15"/>
        <v>0</v>
      </c>
    </row>
    <row r="158" spans="4:23" ht="15" customHeight="1">
      <c r="D158" s="85" t="str">
        <f xml:space="preserve"> '2.1 Model setup'!K80</f>
        <v>5.1 Omkostninger til overliggende net ifm. forbrug</v>
      </c>
      <c r="K158" s="5" t="str">
        <f t="shared" si="13"/>
        <v>DKKt</v>
      </c>
      <c r="L158" s="85"/>
      <c r="M158" s="103"/>
      <c r="O158" s="202"/>
      <c r="P158" s="202"/>
      <c r="Q158" s="202"/>
      <c r="R158" s="1">
        <f t="shared" si="14"/>
        <v>0</v>
      </c>
      <c r="S158" s="1">
        <f t="shared" si="14"/>
        <v>0</v>
      </c>
      <c r="T158" s="1">
        <f t="shared" si="14"/>
        <v>0</v>
      </c>
      <c r="U158" s="1">
        <f t="shared" si="14"/>
        <v>0</v>
      </c>
      <c r="V158" s="1">
        <f t="shared" si="14"/>
        <v>0</v>
      </c>
      <c r="W158" s="4">
        <f xml:space="preserve"> SUM( R158:V158 )</f>
        <v>0</v>
      </c>
    </row>
    <row r="159" spans="4:23" ht="15" customHeight="1">
      <c r="D159" s="85" t="str">
        <f xml:space="preserve"> '2.1 Model setup'!K81</f>
        <v>5.2 Øvrige omkostninger</v>
      </c>
      <c r="K159" s="5" t="str">
        <f t="shared" si="13"/>
        <v>DKKt</v>
      </c>
      <c r="L159" s="85"/>
      <c r="M159" s="103"/>
      <c r="O159" s="202"/>
      <c r="P159" s="202"/>
      <c r="Q159" s="202"/>
      <c r="R159" s="1">
        <f t="shared" si="14"/>
        <v>0</v>
      </c>
      <c r="S159" s="1">
        <f t="shared" si="14"/>
        <v>0</v>
      </c>
      <c r="T159" s="1">
        <f t="shared" si="14"/>
        <v>0</v>
      </c>
      <c r="U159" s="1">
        <f t="shared" si="14"/>
        <v>0</v>
      </c>
      <c r="V159" s="1">
        <f t="shared" si="14"/>
        <v>0</v>
      </c>
      <c r="W159" s="4">
        <f t="shared" si="15"/>
        <v>0</v>
      </c>
    </row>
    <row r="160" spans="4:23" ht="15" customHeight="1">
      <c r="D160" s="85" t="str">
        <f xml:space="preserve"> '2.1 Model setup'!K82</f>
        <v>6.1 Afskrivninger på transformerstationer</v>
      </c>
      <c r="K160" s="5" t="str">
        <f t="shared" si="13"/>
        <v>DKKt</v>
      </c>
      <c r="L160" s="85">
        <f xml:space="preserve"> -- ( OR( R160 &lt;&gt; 0, T160 &lt;&gt; 0, V160 &lt;&gt; 0 ) )</f>
        <v>0</v>
      </c>
      <c r="M160" s="103"/>
      <c r="O160" s="202"/>
      <c r="P160" s="202"/>
      <c r="Q160" s="202"/>
      <c r="R160" s="1">
        <f t="shared" si="14"/>
        <v>0</v>
      </c>
      <c r="S160" s="1">
        <f t="shared" si="14"/>
        <v>0</v>
      </c>
      <c r="T160" s="1">
        <f t="shared" si="14"/>
        <v>0</v>
      </c>
      <c r="U160" s="1">
        <f t="shared" si="14"/>
        <v>0</v>
      </c>
      <c r="V160" s="1">
        <f t="shared" si="14"/>
        <v>0</v>
      </c>
      <c r="W160" s="4">
        <f t="shared" si="15"/>
        <v>0</v>
      </c>
    </row>
    <row r="161" spans="2:23" ht="15" customHeight="1">
      <c r="D161" s="85" t="str">
        <f xml:space="preserve"> '2.1 Model setup'!K83</f>
        <v>6.2 Afskrivninger på netaktiver ekskl. målere og transformerstationer</v>
      </c>
      <c r="K161" s="5" t="str">
        <f t="shared" si="13"/>
        <v>DKKt</v>
      </c>
      <c r="L161" s="85"/>
      <c r="M161" s="103"/>
      <c r="O161" s="202"/>
      <c r="P161" s="202"/>
      <c r="Q161" s="202"/>
      <c r="R161" s="1">
        <f t="shared" si="14"/>
        <v>0</v>
      </c>
      <c r="S161" s="1">
        <f t="shared" si="14"/>
        <v>0</v>
      </c>
      <c r="T161" s="1">
        <f t="shared" si="14"/>
        <v>0</v>
      </c>
      <c r="U161" s="1">
        <f t="shared" si="14"/>
        <v>0</v>
      </c>
      <c r="V161" s="1">
        <f t="shared" si="14"/>
        <v>0</v>
      </c>
      <c r="W161" s="4">
        <f t="shared" si="15"/>
        <v>0</v>
      </c>
    </row>
    <row r="162" spans="2:23" ht="15" customHeight="1">
      <c r="D162" s="85" t="str">
        <f xml:space="preserve"> '2.1 Model setup'!K84</f>
        <v>6.3 Afskrivninger på målere</v>
      </c>
      <c r="K162" s="5" t="str">
        <f t="shared" si="13"/>
        <v>DKKt</v>
      </c>
      <c r="L162" s="268"/>
      <c r="M162" s="103"/>
      <c r="O162" s="202"/>
      <c r="P162" s="202"/>
      <c r="Q162" s="202"/>
      <c r="R162" s="1">
        <f t="shared" si="14"/>
        <v>0</v>
      </c>
      <c r="S162" s="1">
        <f t="shared" si="14"/>
        <v>0</v>
      </c>
      <c r="T162" s="1">
        <f t="shared" si="14"/>
        <v>0</v>
      </c>
      <c r="U162" s="1">
        <f t="shared" si="14"/>
        <v>0</v>
      </c>
      <c r="V162" s="1">
        <f t="shared" si="14"/>
        <v>0</v>
      </c>
      <c r="W162" s="4">
        <f t="shared" si="15"/>
        <v>0</v>
      </c>
    </row>
    <row r="163" spans="2:23" ht="15" customHeight="1">
      <c r="D163" s="217" t="str">
        <f xml:space="preserve"> '2.1 Model setup'!K85</f>
        <v>7.1 Transformerstationer (forrentning)</v>
      </c>
      <c r="E163" s="218"/>
      <c r="F163" s="218"/>
      <c r="G163" s="218"/>
      <c r="H163" s="218"/>
      <c r="I163" s="218"/>
      <c r="J163" s="218"/>
      <c r="K163" s="219" t="str">
        <f t="shared" si="13"/>
        <v>DKKt</v>
      </c>
      <c r="L163" s="85">
        <f xml:space="preserve"> -- ( OR( R163 &lt;&gt; 0, T163 &lt;&gt; 0, V163 &lt;&gt; 0 ) )</f>
        <v>0</v>
      </c>
      <c r="M163" s="220"/>
      <c r="N163" s="218"/>
      <c r="O163" s="399"/>
      <c r="P163" s="399"/>
      <c r="Q163" s="399"/>
      <c r="R163" s="218">
        <f t="shared" ref="R163:V165" si="16" xml:space="preserve"> R48</f>
        <v>0</v>
      </c>
      <c r="S163" s="218">
        <f t="shared" si="16"/>
        <v>0</v>
      </c>
      <c r="T163" s="218">
        <f t="shared" si="16"/>
        <v>0</v>
      </c>
      <c r="U163" s="218">
        <f t="shared" si="16"/>
        <v>0</v>
      </c>
      <c r="V163" s="218">
        <f t="shared" si="16"/>
        <v>0</v>
      </c>
      <c r="W163" s="319">
        <f t="shared" si="15"/>
        <v>0</v>
      </c>
    </row>
    <row r="164" spans="2:23" ht="15" customHeight="1">
      <c r="D164" s="85" t="str">
        <f xml:space="preserve"> '2.1 Model setup'!K86</f>
        <v>7.2 Netaktiver ekskl. målere og transformerstationer (forrentning)</v>
      </c>
      <c r="K164" s="5" t="str">
        <f t="shared" si="13"/>
        <v>DKKt</v>
      </c>
      <c r="L164" s="85"/>
      <c r="M164" s="103"/>
      <c r="O164" s="202"/>
      <c r="P164" s="202"/>
      <c r="Q164" s="202"/>
      <c r="R164" s="1">
        <f t="shared" si="16"/>
        <v>0</v>
      </c>
      <c r="S164" s="1">
        <f t="shared" si="16"/>
        <v>0</v>
      </c>
      <c r="T164" s="1">
        <f t="shared" si="16"/>
        <v>0</v>
      </c>
      <c r="U164" s="1">
        <f t="shared" si="16"/>
        <v>0</v>
      </c>
      <c r="V164" s="1">
        <f t="shared" si="16"/>
        <v>0</v>
      </c>
      <c r="W164" s="4">
        <f t="shared" si="15"/>
        <v>0</v>
      </c>
    </row>
    <row r="165" spans="2:23" ht="15" customHeight="1">
      <c r="D165" s="99" t="str">
        <f xml:space="preserve"> '2.1 Model setup'!K87</f>
        <v>7.3 Målere (forrentning)</v>
      </c>
      <c r="K165" s="5" t="str">
        <f t="shared" si="13"/>
        <v>DKKt</v>
      </c>
      <c r="L165" s="99"/>
      <c r="M165" s="103"/>
      <c r="O165" s="202"/>
      <c r="P165" s="202"/>
      <c r="Q165" s="202"/>
      <c r="R165" s="1">
        <f t="shared" si="16"/>
        <v>0</v>
      </c>
      <c r="S165" s="1">
        <f t="shared" si="16"/>
        <v>0</v>
      </c>
      <c r="T165" s="1">
        <f t="shared" si="16"/>
        <v>0</v>
      </c>
      <c r="U165" s="1">
        <f t="shared" si="16"/>
        <v>0</v>
      </c>
      <c r="V165" s="1">
        <f t="shared" si="16"/>
        <v>0</v>
      </c>
      <c r="W165" s="4">
        <f t="shared" si="15"/>
        <v>0</v>
      </c>
    </row>
    <row r="166" spans="2:23" ht="15" customHeight="1">
      <c r="D166" s="186" t="s">
        <v>16</v>
      </c>
      <c r="E166" s="33"/>
      <c r="F166" s="33"/>
      <c r="G166" s="33"/>
      <c r="H166" s="33"/>
      <c r="I166" s="33"/>
      <c r="J166" s="33"/>
      <c r="K166" s="187" t="str">
        <f t="shared" si="13"/>
        <v>DKKt</v>
      </c>
      <c r="L166" s="90">
        <f xml:space="preserve"> -- ( ROUND( W166, 5 ) &lt;&gt; ROUND( '3.1 Opsplitning af forbrug'!W618 + '3.1 Opsplitning af forbrug'!W619 + '3.1 Opsplitning af forbrug'!W620 - '3.1 Opsplitning af forbrug'!W31, 5 ) )</f>
        <v>0</v>
      </c>
      <c r="M166" s="93"/>
      <c r="N166" s="186"/>
      <c r="O166" s="388"/>
      <c r="P166" s="388"/>
      <c r="Q166" s="388"/>
      <c r="R166" s="186">
        <f t="shared" ref="R166:W166" si="17" xml:space="preserve"> SUM( R148:R165 )</f>
        <v>0</v>
      </c>
      <c r="S166" s="186">
        <f t="shared" si="17"/>
        <v>0</v>
      </c>
      <c r="T166" s="186">
        <f t="shared" si="17"/>
        <v>0</v>
      </c>
      <c r="U166" s="186">
        <f t="shared" si="17"/>
        <v>0</v>
      </c>
      <c r="V166" s="186">
        <f t="shared" si="17"/>
        <v>0</v>
      </c>
      <c r="W166" s="186">
        <f t="shared" si="17"/>
        <v>0</v>
      </c>
    </row>
    <row r="170" spans="2:23" s="475" customFormat="1" ht="15" customHeight="1">
      <c r="B170" s="479" t="str">
        <f xml:space="preserve"> COUNTA(B$10:B146) &amp; ") Vandfald"</f>
        <v>2) Vandfald</v>
      </c>
      <c r="C170" s="477"/>
      <c r="D170" s="478"/>
      <c r="K170" s="472"/>
    </row>
    <row r="171" spans="2:23" ht="15" customHeight="1">
      <c r="D171" s="85"/>
      <c r="F171" s="86"/>
      <c r="G171" s="86"/>
      <c r="H171" s="86"/>
      <c r="I171" s="86"/>
      <c r="J171" s="86"/>
      <c r="K171" s="87"/>
    </row>
    <row r="172" spans="2:23" ht="15" customHeight="1">
      <c r="D172" s="97" t="s">
        <v>105</v>
      </c>
      <c r="E172" s="27"/>
      <c r="F172" s="156"/>
      <c r="G172" s="156"/>
      <c r="H172" s="156"/>
      <c r="I172" s="156"/>
      <c r="J172" s="156"/>
      <c r="K172" s="87"/>
    </row>
    <row r="173" spans="2:23" ht="15" customHeight="1">
      <c r="D173" s="85" t="str">
        <f xml:space="preserve"> '2.1 Model setup'!K70</f>
        <v>1.1 Drift og vedligeholdelse af transformerstationer</v>
      </c>
      <c r="F173" s="56"/>
      <c r="G173" s="56"/>
      <c r="H173" s="56"/>
      <c r="I173" s="56"/>
      <c r="J173" s="56"/>
      <c r="K173" s="117" t="s">
        <v>41</v>
      </c>
      <c r="L173" s="15"/>
      <c r="M173" s="15"/>
      <c r="N173" s="193" t="str">
        <f xml:space="preserve"> '2.2 Generelle input'!N291</f>
        <v>Ja</v>
      </c>
      <c r="O173" s="400"/>
      <c r="P173" s="400"/>
      <c r="Q173" s="400"/>
      <c r="R173" s="274"/>
      <c r="S173" s="274"/>
      <c r="T173" s="274"/>
      <c r="U173" s="274"/>
      <c r="V173" s="274"/>
      <c r="W173" s="274"/>
    </row>
    <row r="174" spans="2:23" ht="15" customHeight="1">
      <c r="D174" s="85" t="str">
        <f xml:space="preserve"> '2.1 Model setup'!K71</f>
        <v>1.2 Drift og vedligeholdelse af ledningsnet</v>
      </c>
      <c r="F174"/>
      <c r="G174"/>
      <c r="H174"/>
      <c r="I174"/>
      <c r="J174"/>
      <c r="K174" s="87" t="s">
        <v>41</v>
      </c>
      <c r="N174" s="194" t="str">
        <f xml:space="preserve"> '2.2 Generelle input'!N292</f>
        <v>Ja</v>
      </c>
      <c r="O174" s="401"/>
      <c r="P174" s="401"/>
      <c r="Q174" s="401"/>
      <c r="R174" s="202"/>
      <c r="S174" s="202"/>
      <c r="T174" s="202"/>
      <c r="U174" s="202"/>
      <c r="V174" s="202"/>
      <c r="W174" s="202"/>
    </row>
    <row r="175" spans="2:23" ht="15" customHeight="1">
      <c r="D175" s="85" t="str">
        <f xml:space="preserve"> '2.1 Model setup'!K72</f>
        <v>1.3 Øvrige omkostninger til drift, styring og kontrol af elnettet</v>
      </c>
      <c r="F175"/>
      <c r="G175"/>
      <c r="H175"/>
      <c r="I175"/>
      <c r="J175"/>
      <c r="K175" s="87" t="s">
        <v>41</v>
      </c>
      <c r="N175" s="194" t="str">
        <f xml:space="preserve"> '2.2 Generelle input'!N293</f>
        <v>Ja</v>
      </c>
      <c r="O175" s="401"/>
      <c r="P175" s="401"/>
      <c r="Q175" s="401"/>
      <c r="R175" s="202"/>
      <c r="S175" s="202"/>
      <c r="T175" s="202"/>
      <c r="U175" s="202"/>
      <c r="V175" s="202"/>
      <c r="W175" s="202"/>
    </row>
    <row r="176" spans="2:23" ht="15" customHeight="1">
      <c r="D176" s="85" t="str">
        <f xml:space="preserve"> '2.1 Model setup'!K73</f>
        <v>1.4 Omkostninger vedrørende 132-150/30-60 kV-stationer</v>
      </c>
      <c r="F176"/>
      <c r="G176"/>
      <c r="H176"/>
      <c r="I176"/>
      <c r="J176"/>
      <c r="K176" s="87" t="s">
        <v>41</v>
      </c>
      <c r="N176" s="194">
        <f xml:space="preserve"> '2.2 Generelle input'!N294</f>
        <v>0</v>
      </c>
      <c r="O176" s="401"/>
      <c r="P176" s="401"/>
      <c r="Q176" s="401"/>
      <c r="R176" s="202"/>
      <c r="S176" s="202"/>
      <c r="T176" s="202"/>
      <c r="U176" s="202"/>
      <c r="V176" s="202"/>
      <c r="W176" s="202"/>
    </row>
    <row r="177" spans="4:23" ht="15" customHeight="1">
      <c r="D177" s="85" t="str">
        <f xml:space="preserve"> '2.1 Model setup'!K74</f>
        <v>2.1 Drift og vedligeholdelse af målere</v>
      </c>
      <c r="F177"/>
      <c r="G177"/>
      <c r="H177"/>
      <c r="I177"/>
      <c r="J177"/>
      <c r="K177" s="87" t="s">
        <v>41</v>
      </c>
      <c r="N177" s="194" t="str">
        <f xml:space="preserve"> '2.2 Generelle input'!N295</f>
        <v>Nej</v>
      </c>
      <c r="O177" s="401"/>
      <c r="P177" s="401"/>
      <c r="Q177" s="401"/>
      <c r="R177" s="202"/>
      <c r="S177" s="202"/>
      <c r="T177" s="202"/>
      <c r="U177" s="202"/>
      <c r="V177" s="202"/>
      <c r="W177" s="202"/>
    </row>
    <row r="178" spans="4:23" ht="15" customHeight="1">
      <c r="D178" s="85" t="str">
        <f xml:space="preserve"> '2.1 Model setup'!K75</f>
        <v>2.2 Indhentning og validering af målerdata</v>
      </c>
      <c r="F178"/>
      <c r="G178"/>
      <c r="H178"/>
      <c r="I178"/>
      <c r="J178"/>
      <c r="K178" s="87" t="s">
        <v>41</v>
      </c>
      <c r="N178" s="194" t="str">
        <f xml:space="preserve"> '2.2 Generelle input'!N296</f>
        <v>Nej</v>
      </c>
      <c r="O178" s="401"/>
      <c r="P178" s="401"/>
      <c r="Q178" s="401"/>
      <c r="R178" s="202"/>
      <c r="S178" s="202"/>
      <c r="T178" s="202"/>
      <c r="U178" s="202"/>
      <c r="V178" s="202"/>
      <c r="W178" s="202"/>
    </row>
    <row r="179" spans="4:23" ht="15" customHeight="1">
      <c r="D179" s="85" t="str">
        <f xml:space="preserve"> '2.1 Model setup'!K76</f>
        <v>2.3 Måleradministration og kundehåndtering</v>
      </c>
      <c r="F179"/>
      <c r="G179"/>
      <c r="H179"/>
      <c r="I179"/>
      <c r="J179"/>
      <c r="K179" s="87" t="s">
        <v>41</v>
      </c>
      <c r="N179" s="194" t="str">
        <f xml:space="preserve"> '2.2 Generelle input'!N297</f>
        <v>Nej</v>
      </c>
      <c r="O179" s="401"/>
      <c r="P179" s="401"/>
      <c r="Q179" s="401"/>
      <c r="R179" s="202"/>
      <c r="S179" s="202"/>
      <c r="T179" s="202"/>
      <c r="U179" s="202"/>
      <c r="V179" s="202"/>
      <c r="W179" s="202"/>
    </row>
    <row r="180" spans="4:23" ht="15" customHeight="1">
      <c r="D180" s="85" t="str">
        <f xml:space="preserve"> '2.1 Model setup'!K77</f>
        <v>3.1 Generel administration</v>
      </c>
      <c r="F180"/>
      <c r="G180"/>
      <c r="H180"/>
      <c r="I180"/>
      <c r="J180"/>
      <c r="K180" s="87" t="s">
        <v>41</v>
      </c>
      <c r="N180" s="194" t="str">
        <f xml:space="preserve"> '2.2 Generelle input'!N298</f>
        <v>Nej</v>
      </c>
      <c r="O180" s="401"/>
      <c r="P180" s="401"/>
      <c r="Q180" s="401"/>
      <c r="R180" s="202"/>
      <c r="S180" s="202"/>
      <c r="T180" s="202"/>
      <c r="U180" s="202"/>
      <c r="V180" s="202"/>
      <c r="W180" s="202"/>
    </row>
    <row r="181" spans="4:23" ht="15" customHeight="1">
      <c r="D181" s="85" t="str">
        <f xml:space="preserve"> '2.1 Model setup'!K78</f>
        <v>4.1 Omkostninger vedrørende nettab i transformerstationer</v>
      </c>
      <c r="F181"/>
      <c r="G181"/>
      <c r="H181"/>
      <c r="I181"/>
      <c r="J181"/>
      <c r="K181" s="87" t="s">
        <v>41</v>
      </c>
      <c r="N181" s="194" t="str">
        <f xml:space="preserve"> '2.2 Generelle input'!N299</f>
        <v>Ja</v>
      </c>
      <c r="O181" s="401"/>
      <c r="P181" s="401"/>
      <c r="Q181" s="401"/>
      <c r="R181" s="202"/>
      <c r="S181" s="202"/>
      <c r="T181" s="202"/>
      <c r="U181" s="202"/>
      <c r="V181" s="202"/>
      <c r="W181" s="202"/>
    </row>
    <row r="182" spans="4:23" ht="15" customHeight="1">
      <c r="D182" s="85" t="str">
        <f xml:space="preserve"> '2.1 Model setup'!K79</f>
        <v>4.2 Omkostninger vedrørende nettab i ledningsnettet</v>
      </c>
      <c r="F182"/>
      <c r="G182"/>
      <c r="H182"/>
      <c r="I182"/>
      <c r="J182"/>
      <c r="K182" s="87" t="s">
        <v>41</v>
      </c>
      <c r="N182" s="194" t="str">
        <f xml:space="preserve"> '2.2 Generelle input'!N300</f>
        <v>Ja</v>
      </c>
      <c r="O182" s="401"/>
      <c r="P182" s="401"/>
      <c r="Q182" s="401"/>
      <c r="R182" s="202"/>
      <c r="S182" s="202"/>
      <c r="T182" s="202"/>
      <c r="U182" s="202"/>
      <c r="V182" s="202"/>
      <c r="W182" s="202"/>
    </row>
    <row r="183" spans="4:23" ht="15" customHeight="1">
      <c r="D183" s="85" t="str">
        <f xml:space="preserve"> '2.1 Model setup'!K80</f>
        <v>5.1 Omkostninger til overliggende net ifm. forbrug</v>
      </c>
      <c r="F183"/>
      <c r="G183"/>
      <c r="H183"/>
      <c r="I183"/>
      <c r="J183"/>
      <c r="K183" s="87" t="s">
        <v>41</v>
      </c>
      <c r="N183" s="194" t="str">
        <f xml:space="preserve"> '2.2 Generelle input'!N301</f>
        <v>Nej</v>
      </c>
      <c r="O183" s="401"/>
      <c r="P183" s="401"/>
      <c r="Q183" s="401"/>
      <c r="R183" s="202"/>
      <c r="S183" s="202"/>
      <c r="T183" s="202"/>
      <c r="U183" s="202"/>
      <c r="V183" s="202"/>
      <c r="W183" s="202"/>
    </row>
    <row r="184" spans="4:23" ht="15" customHeight="1">
      <c r="D184" s="85" t="str">
        <f xml:space="preserve"> '2.1 Model setup'!K81</f>
        <v>5.2 Øvrige omkostninger</v>
      </c>
      <c r="F184"/>
      <c r="G184"/>
      <c r="H184"/>
      <c r="I184"/>
      <c r="J184"/>
      <c r="K184" s="87" t="s">
        <v>41</v>
      </c>
      <c r="N184" s="194" t="str">
        <f xml:space="preserve"> '2.3 Selskabsspecifikke input'!N177</f>
        <v>Nej</v>
      </c>
      <c r="O184" s="401"/>
      <c r="P184" s="401"/>
      <c r="Q184" s="401"/>
      <c r="R184" s="202"/>
      <c r="S184" s="202"/>
      <c r="T184" s="202"/>
      <c r="U184" s="202"/>
      <c r="V184" s="202"/>
      <c r="W184" s="202"/>
    </row>
    <row r="185" spans="4:23" ht="15" customHeight="1">
      <c r="D185" s="85" t="str">
        <f xml:space="preserve"> '2.1 Model setup'!K82</f>
        <v>6.1 Afskrivninger på transformerstationer</v>
      </c>
      <c r="F185"/>
      <c r="G185"/>
      <c r="H185"/>
      <c r="I185"/>
      <c r="J185"/>
      <c r="K185" s="87" t="s">
        <v>41</v>
      </c>
      <c r="N185" s="194" t="str">
        <f xml:space="preserve"> '2.2 Generelle input'!N303</f>
        <v>Ja</v>
      </c>
      <c r="O185" s="401"/>
      <c r="P185" s="401"/>
      <c r="Q185" s="401"/>
      <c r="R185" s="202"/>
      <c r="S185" s="202"/>
      <c r="T185" s="202"/>
      <c r="U185" s="202"/>
      <c r="V185" s="202"/>
      <c r="W185" s="202"/>
    </row>
    <row r="186" spans="4:23" ht="15" customHeight="1">
      <c r="D186" s="85" t="str">
        <f xml:space="preserve"> '2.1 Model setup'!K83</f>
        <v>6.2 Afskrivninger på netaktiver ekskl. målere og transformerstationer</v>
      </c>
      <c r="F186"/>
      <c r="G186"/>
      <c r="H186"/>
      <c r="I186"/>
      <c r="J186"/>
      <c r="K186" s="87" t="s">
        <v>41</v>
      </c>
      <c r="N186" s="194" t="str">
        <f xml:space="preserve"> '2.2 Generelle input'!N304</f>
        <v>Ja</v>
      </c>
      <c r="O186" s="401"/>
      <c r="P186" s="401"/>
      <c r="Q186" s="401"/>
      <c r="R186" s="202"/>
      <c r="S186" s="202"/>
      <c r="T186" s="202"/>
      <c r="U186" s="202"/>
      <c r="V186" s="202"/>
      <c r="W186" s="202"/>
    </row>
    <row r="187" spans="4:23" ht="15" customHeight="1">
      <c r="D187" s="85" t="str">
        <f xml:space="preserve"> '2.1 Model setup'!K84</f>
        <v>6.3 Afskrivninger på målere</v>
      </c>
      <c r="F187"/>
      <c r="G187"/>
      <c r="H187"/>
      <c r="I187"/>
      <c r="J187"/>
      <c r="K187" s="87" t="s">
        <v>41</v>
      </c>
      <c r="N187" s="194" t="str">
        <f xml:space="preserve"> '2.2 Generelle input'!N305</f>
        <v>Nej</v>
      </c>
      <c r="O187" s="401"/>
      <c r="P187" s="401"/>
      <c r="Q187" s="401"/>
      <c r="R187" s="202"/>
      <c r="S187" s="202"/>
      <c r="T187" s="202"/>
      <c r="U187" s="202"/>
      <c r="V187" s="202"/>
      <c r="W187" s="202"/>
    </row>
    <row r="188" spans="4:23" ht="15" customHeight="1">
      <c r="D188" s="85" t="str">
        <f xml:space="preserve"> '2.1 Model setup'!K85</f>
        <v>7.1 Transformerstationer (forrentning)</v>
      </c>
      <c r="F188"/>
      <c r="G188"/>
      <c r="H188"/>
      <c r="I188"/>
      <c r="J188"/>
      <c r="K188" s="87" t="s">
        <v>41</v>
      </c>
      <c r="N188" s="194" t="str">
        <f xml:space="preserve"> '2.2 Generelle input'!N306</f>
        <v>Ja</v>
      </c>
      <c r="O188" s="401"/>
      <c r="P188" s="401"/>
      <c r="Q188" s="401"/>
      <c r="R188" s="202"/>
      <c r="S188" s="202"/>
      <c r="T188" s="202"/>
      <c r="U188" s="202"/>
      <c r="V188" s="202"/>
      <c r="W188" s="202"/>
    </row>
    <row r="189" spans="4:23" ht="15" customHeight="1">
      <c r="D189" s="85" t="str">
        <f xml:space="preserve"> '2.1 Model setup'!K86</f>
        <v>7.2 Netaktiver ekskl. målere og transformerstationer (forrentning)</v>
      </c>
      <c r="F189"/>
      <c r="G189"/>
      <c r="H189"/>
      <c r="I189"/>
      <c r="J189"/>
      <c r="K189" s="87" t="s">
        <v>41</v>
      </c>
      <c r="N189" s="194" t="str">
        <f xml:space="preserve"> '2.2 Generelle input'!N307</f>
        <v>Ja</v>
      </c>
      <c r="O189" s="401"/>
      <c r="P189" s="401"/>
      <c r="Q189" s="401"/>
      <c r="R189" s="202"/>
      <c r="S189" s="202"/>
      <c r="T189" s="202"/>
      <c r="U189" s="202"/>
      <c r="V189" s="202"/>
      <c r="W189" s="202"/>
    </row>
    <row r="190" spans="4:23" ht="15" customHeight="1">
      <c r="D190" s="99" t="str">
        <f xml:space="preserve"> '2.1 Model setup'!K87</f>
        <v>7.3 Målere (forrentning)</v>
      </c>
      <c r="E190" s="27"/>
      <c r="F190" s="60"/>
      <c r="G190" s="60"/>
      <c r="H190" s="60"/>
      <c r="I190" s="60"/>
      <c r="J190" s="60"/>
      <c r="K190" s="98" t="s">
        <v>41</v>
      </c>
      <c r="L190" s="27"/>
      <c r="M190" s="27"/>
      <c r="N190" s="195" t="str">
        <f xml:space="preserve"> '2.2 Generelle input'!N308</f>
        <v>Nej</v>
      </c>
      <c r="O190" s="402"/>
      <c r="P190" s="402"/>
      <c r="Q190" s="402"/>
      <c r="R190" s="269"/>
      <c r="S190" s="269"/>
      <c r="T190" s="269"/>
      <c r="U190" s="269"/>
      <c r="V190" s="269"/>
      <c r="W190" s="269"/>
    </row>
    <row r="192" spans="4:23" ht="15" customHeight="1">
      <c r="D192" s="88" t="s">
        <v>111</v>
      </c>
      <c r="F192" s="86"/>
      <c r="G192" s="86"/>
      <c r="H192" s="86"/>
      <c r="I192" s="86"/>
      <c r="J192" s="86"/>
      <c r="K192" s="87"/>
    </row>
    <row r="193" spans="4:23" ht="15" customHeight="1">
      <c r="D193" s="123" t="s">
        <v>112</v>
      </c>
      <c r="E193" s="15"/>
      <c r="F193" s="155"/>
      <c r="G193" s="155"/>
      <c r="H193" s="155"/>
      <c r="I193" s="155"/>
      <c r="J193" s="155"/>
      <c r="K193" s="117" t="s">
        <v>116</v>
      </c>
      <c r="L193" s="15"/>
      <c r="M193" s="15"/>
      <c r="N193" s="15"/>
      <c r="O193" s="274"/>
      <c r="P193" s="274"/>
      <c r="Q193" s="274"/>
      <c r="R193" s="15">
        <f xml:space="preserve"> '2.2 Generelle input'!R311</f>
        <v>1</v>
      </c>
      <c r="S193" s="15">
        <f xml:space="preserve"> '2.2 Generelle input'!S311</f>
        <v>1</v>
      </c>
      <c r="T193" s="15">
        <f xml:space="preserve"> '2.2 Generelle input'!T311</f>
        <v>1</v>
      </c>
      <c r="U193" s="15">
        <f xml:space="preserve"> '2.2 Generelle input'!U311</f>
        <v>1</v>
      </c>
      <c r="V193" s="15">
        <f xml:space="preserve"> '2.2 Generelle input'!V311</f>
        <v>1</v>
      </c>
      <c r="W193" s="15"/>
    </row>
    <row r="194" spans="4:23" ht="15" customHeight="1">
      <c r="D194" s="85" t="s">
        <v>113</v>
      </c>
      <c r="F194" s="86"/>
      <c r="G194" s="86"/>
      <c r="H194" s="86"/>
      <c r="I194" s="86"/>
      <c r="J194" s="86"/>
      <c r="K194" s="87" t="s">
        <v>116</v>
      </c>
      <c r="O194" s="202"/>
      <c r="P194" s="202"/>
      <c r="Q194" s="202"/>
      <c r="R194" s="1">
        <f xml:space="preserve"> '2.2 Generelle input'!R312</f>
        <v>0</v>
      </c>
      <c r="S194" s="1">
        <f xml:space="preserve"> '2.2 Generelle input'!S312</f>
        <v>1</v>
      </c>
      <c r="T194" s="1">
        <f xml:space="preserve"> '2.2 Generelle input'!T312</f>
        <v>1</v>
      </c>
      <c r="U194" s="1">
        <f xml:space="preserve"> '2.2 Generelle input'!U312</f>
        <v>1</v>
      </c>
      <c r="V194" s="1">
        <f xml:space="preserve"> '2.2 Generelle input'!V312</f>
        <v>1</v>
      </c>
    </row>
    <row r="195" spans="4:23" ht="15" customHeight="1">
      <c r="D195" s="85" t="s">
        <v>114</v>
      </c>
      <c r="F195" s="86"/>
      <c r="G195" s="86"/>
      <c r="H195" s="86"/>
      <c r="I195" s="86"/>
      <c r="J195" s="86"/>
      <c r="K195" s="87" t="s">
        <v>116</v>
      </c>
      <c r="O195" s="202"/>
      <c r="P195" s="202"/>
      <c r="Q195" s="202"/>
      <c r="R195" s="1">
        <f xml:space="preserve"> '2.2 Generelle input'!R313</f>
        <v>0</v>
      </c>
      <c r="S195" s="1">
        <f xml:space="preserve"> '2.2 Generelle input'!S313</f>
        <v>0</v>
      </c>
      <c r="T195" s="1">
        <f xml:space="preserve"> '2.2 Generelle input'!T313</f>
        <v>1</v>
      </c>
      <c r="U195" s="1">
        <f xml:space="preserve"> '2.2 Generelle input'!U313</f>
        <v>1</v>
      </c>
      <c r="V195" s="1">
        <f xml:space="preserve"> '2.2 Generelle input'!V313</f>
        <v>1</v>
      </c>
    </row>
    <row r="196" spans="4:23" ht="15" customHeight="1">
      <c r="D196" s="99" t="s">
        <v>115</v>
      </c>
      <c r="E196" s="27"/>
      <c r="F196" s="156"/>
      <c r="G196" s="156"/>
      <c r="H196" s="156"/>
      <c r="I196" s="156"/>
      <c r="J196" s="156"/>
      <c r="K196" s="98" t="s">
        <v>116</v>
      </c>
      <c r="L196" s="27"/>
      <c r="M196" s="27"/>
      <c r="N196" s="27"/>
      <c r="O196" s="269"/>
      <c r="P196" s="269"/>
      <c r="Q196" s="269"/>
      <c r="R196" s="27">
        <f xml:space="preserve"> '2.2 Generelle input'!R314</f>
        <v>0</v>
      </c>
      <c r="S196" s="27">
        <f xml:space="preserve"> '2.2 Generelle input'!S314</f>
        <v>0</v>
      </c>
      <c r="T196" s="27">
        <f xml:space="preserve"> '2.2 Generelle input'!T314</f>
        <v>0</v>
      </c>
      <c r="U196" s="27">
        <f xml:space="preserve"> '2.2 Generelle input'!U314</f>
        <v>1</v>
      </c>
      <c r="V196" s="27">
        <f xml:space="preserve"> '2.2 Generelle input'!V314</f>
        <v>1</v>
      </c>
      <c r="W196" s="27"/>
    </row>
    <row r="198" spans="4:23" ht="15" customHeight="1">
      <c r="D198" s="35" t="s">
        <v>493</v>
      </c>
      <c r="E198" s="27"/>
      <c r="F198" s="27"/>
      <c r="G198" s="27"/>
      <c r="H198" s="27"/>
      <c r="I198" s="27"/>
      <c r="J198" s="27"/>
      <c r="K198" s="32"/>
      <c r="L198" s="27"/>
      <c r="M198" s="27"/>
      <c r="N198" s="27"/>
      <c r="O198" s="27"/>
      <c r="P198" s="27"/>
      <c r="Q198" s="27"/>
      <c r="R198" s="27"/>
      <c r="S198" s="27"/>
      <c r="T198" s="27"/>
      <c r="U198" s="27"/>
      <c r="V198" s="27"/>
      <c r="W198" s="185" t="s">
        <v>16</v>
      </c>
    </row>
    <row r="199" spans="4:23" ht="15" customHeight="1">
      <c r="D199" s="85" t="str">
        <f xml:space="preserve"> '2.1 Model setup'!K70</f>
        <v>1.1 Drift og vedligeholdelse af transformerstationer</v>
      </c>
      <c r="K199" s="5" t="str">
        <f t="shared" ref="K199:K216" si="18" xml:space="preserve"> Model.Units</f>
        <v>DKKt</v>
      </c>
      <c r="L199" s="85"/>
      <c r="O199" s="202"/>
      <c r="P199" s="202"/>
      <c r="Q199" s="202"/>
      <c r="R199" s="1">
        <f xml:space="preserve"> R88 * R$193</f>
        <v>0</v>
      </c>
      <c r="S199" s="1">
        <f t="shared" ref="R199:V208" si="19" xml:space="preserve"> S88 * S$193</f>
        <v>0</v>
      </c>
      <c r="T199" s="1">
        <f t="shared" si="19"/>
        <v>0</v>
      </c>
      <c r="U199" s="1">
        <f t="shared" si="19"/>
        <v>0</v>
      </c>
      <c r="V199" s="1">
        <f t="shared" si="19"/>
        <v>0</v>
      </c>
      <c r="W199" s="4">
        <f t="shared" ref="W199:W216" si="20" xml:space="preserve"> SUM( R199:V199 )</f>
        <v>0</v>
      </c>
    </row>
    <row r="200" spans="4:23" ht="15" customHeight="1">
      <c r="D200" s="85" t="str">
        <f xml:space="preserve"> '2.1 Model setup'!K71</f>
        <v>1.2 Drift og vedligeholdelse af ledningsnet</v>
      </c>
      <c r="K200" s="5" t="str">
        <f t="shared" si="18"/>
        <v>DKKt</v>
      </c>
      <c r="L200" s="85"/>
      <c r="O200" s="202"/>
      <c r="P200" s="202"/>
      <c r="Q200" s="202"/>
      <c r="R200" s="1">
        <f t="shared" si="19"/>
        <v>0</v>
      </c>
      <c r="S200" s="1">
        <f t="shared" si="19"/>
        <v>0</v>
      </c>
      <c r="T200" s="1">
        <f t="shared" si="19"/>
        <v>0</v>
      </c>
      <c r="U200" s="1">
        <f t="shared" si="19"/>
        <v>0</v>
      </c>
      <c r="V200" s="1">
        <f t="shared" si="19"/>
        <v>0</v>
      </c>
      <c r="W200" s="4">
        <f t="shared" si="20"/>
        <v>0</v>
      </c>
    </row>
    <row r="201" spans="4:23" ht="15" customHeight="1">
      <c r="D201" s="85" t="str">
        <f xml:space="preserve"> '2.1 Model setup'!K72</f>
        <v>1.3 Øvrige omkostninger til drift, styring og kontrol af elnettet</v>
      </c>
      <c r="K201" s="5" t="str">
        <f t="shared" si="18"/>
        <v>DKKt</v>
      </c>
      <c r="L201" s="85"/>
      <c r="O201" s="202"/>
      <c r="P201" s="202"/>
      <c r="Q201" s="202"/>
      <c r="R201" s="1">
        <f t="shared" si="19"/>
        <v>0</v>
      </c>
      <c r="S201" s="1">
        <f t="shared" si="19"/>
        <v>0</v>
      </c>
      <c r="T201" s="1">
        <f t="shared" si="19"/>
        <v>0</v>
      </c>
      <c r="U201" s="1">
        <f t="shared" si="19"/>
        <v>0</v>
      </c>
      <c r="V201" s="1">
        <f t="shared" si="19"/>
        <v>0</v>
      </c>
      <c r="W201" s="4">
        <f t="shared" si="20"/>
        <v>0</v>
      </c>
    </row>
    <row r="202" spans="4:23" ht="15" customHeight="1">
      <c r="D202" s="85" t="str">
        <f xml:space="preserve"> '2.1 Model setup'!K73</f>
        <v>1.4 Omkostninger vedrørende 132-150/30-60 kV-stationer</v>
      </c>
      <c r="K202" s="5" t="str">
        <f t="shared" si="18"/>
        <v>DKKt</v>
      </c>
      <c r="L202" s="85"/>
      <c r="O202" s="202"/>
      <c r="P202" s="202"/>
      <c r="Q202" s="202"/>
      <c r="R202" s="1">
        <f t="shared" si="19"/>
        <v>0</v>
      </c>
      <c r="S202" s="1">
        <f t="shared" si="19"/>
        <v>0</v>
      </c>
      <c r="T202" s="1">
        <f t="shared" si="19"/>
        <v>0</v>
      </c>
      <c r="U202" s="1">
        <f t="shared" si="19"/>
        <v>0</v>
      </c>
      <c r="V202" s="1">
        <f t="shared" si="19"/>
        <v>0</v>
      </c>
      <c r="W202" s="4">
        <f xml:space="preserve"> SUM( R202:V202 )</f>
        <v>0</v>
      </c>
    </row>
    <row r="203" spans="4:23" ht="15" customHeight="1">
      <c r="D203" s="85" t="str">
        <f xml:space="preserve"> '2.1 Model setup'!K74</f>
        <v>2.1 Drift og vedligeholdelse af målere</v>
      </c>
      <c r="K203" s="5" t="str">
        <f t="shared" si="18"/>
        <v>DKKt</v>
      </c>
      <c r="L203" s="85"/>
      <c r="O203" s="202"/>
      <c r="P203" s="202"/>
      <c r="Q203" s="202"/>
      <c r="R203" s="1">
        <f t="shared" si="19"/>
        <v>0</v>
      </c>
      <c r="S203" s="1">
        <f t="shared" si="19"/>
        <v>0</v>
      </c>
      <c r="T203" s="1">
        <f t="shared" si="19"/>
        <v>0</v>
      </c>
      <c r="U203" s="1">
        <f t="shared" si="19"/>
        <v>0</v>
      </c>
      <c r="V203" s="1">
        <f t="shared" si="19"/>
        <v>0</v>
      </c>
      <c r="W203" s="4">
        <f t="shared" si="20"/>
        <v>0</v>
      </c>
    </row>
    <row r="204" spans="4:23" ht="15" customHeight="1">
      <c r="D204" s="85" t="str">
        <f xml:space="preserve"> '2.1 Model setup'!K75</f>
        <v>2.2 Indhentning og validering af målerdata</v>
      </c>
      <c r="K204" s="5" t="str">
        <f t="shared" si="18"/>
        <v>DKKt</v>
      </c>
      <c r="L204" s="85"/>
      <c r="O204" s="202"/>
      <c r="P204" s="202"/>
      <c r="Q204" s="202"/>
      <c r="R204" s="1">
        <f t="shared" si="19"/>
        <v>0</v>
      </c>
      <c r="S204" s="1">
        <f t="shared" si="19"/>
        <v>0</v>
      </c>
      <c r="T204" s="1">
        <f t="shared" si="19"/>
        <v>0</v>
      </c>
      <c r="U204" s="1">
        <f t="shared" si="19"/>
        <v>0</v>
      </c>
      <c r="V204" s="1">
        <f t="shared" si="19"/>
        <v>0</v>
      </c>
      <c r="W204" s="4">
        <f t="shared" si="20"/>
        <v>0</v>
      </c>
    </row>
    <row r="205" spans="4:23" ht="15" customHeight="1">
      <c r="D205" s="85" t="str">
        <f xml:space="preserve"> '2.1 Model setup'!K76</f>
        <v>2.3 Måleradministration og kundehåndtering</v>
      </c>
      <c r="K205" s="5" t="str">
        <f t="shared" si="18"/>
        <v>DKKt</v>
      </c>
      <c r="L205" s="85"/>
      <c r="O205" s="202"/>
      <c r="P205" s="202"/>
      <c r="Q205" s="202"/>
      <c r="R205" s="1">
        <f t="shared" si="19"/>
        <v>0</v>
      </c>
      <c r="S205" s="1">
        <f t="shared" si="19"/>
        <v>0</v>
      </c>
      <c r="T205" s="1">
        <f t="shared" si="19"/>
        <v>0</v>
      </c>
      <c r="U205" s="1">
        <f t="shared" si="19"/>
        <v>0</v>
      </c>
      <c r="V205" s="1">
        <f t="shared" si="19"/>
        <v>0</v>
      </c>
      <c r="W205" s="4">
        <f t="shared" si="20"/>
        <v>0</v>
      </c>
    </row>
    <row r="206" spans="4:23" ht="15" customHeight="1">
      <c r="D206" s="85" t="str">
        <f xml:space="preserve"> '2.1 Model setup'!K77</f>
        <v>3.1 Generel administration</v>
      </c>
      <c r="K206" s="5" t="str">
        <f t="shared" si="18"/>
        <v>DKKt</v>
      </c>
      <c r="L206" s="85"/>
      <c r="O206" s="202"/>
      <c r="P206" s="202"/>
      <c r="Q206" s="202"/>
      <c r="R206" s="1">
        <f t="shared" si="19"/>
        <v>0</v>
      </c>
      <c r="S206" s="1">
        <f t="shared" si="19"/>
        <v>0</v>
      </c>
      <c r="T206" s="1">
        <f t="shared" si="19"/>
        <v>0</v>
      </c>
      <c r="U206" s="1">
        <f t="shared" si="19"/>
        <v>0</v>
      </c>
      <c r="V206" s="1">
        <f t="shared" si="19"/>
        <v>0</v>
      </c>
      <c r="W206" s="4">
        <f t="shared" si="20"/>
        <v>0</v>
      </c>
    </row>
    <row r="207" spans="4:23" ht="15" customHeight="1">
      <c r="D207" s="85" t="str">
        <f xml:space="preserve"> '2.1 Model setup'!K78</f>
        <v>4.1 Omkostninger vedrørende nettab i transformerstationer</v>
      </c>
      <c r="K207" s="5" t="str">
        <f t="shared" si="18"/>
        <v>DKKt</v>
      </c>
      <c r="L207" s="85"/>
      <c r="O207" s="202"/>
      <c r="P207" s="202"/>
      <c r="Q207" s="202"/>
      <c r="R207" s="1">
        <f t="shared" si="19"/>
        <v>0</v>
      </c>
      <c r="S207" s="1">
        <f t="shared" si="19"/>
        <v>0</v>
      </c>
      <c r="T207" s="1">
        <f t="shared" si="19"/>
        <v>0</v>
      </c>
      <c r="U207" s="1">
        <f t="shared" si="19"/>
        <v>0</v>
      </c>
      <c r="V207" s="1">
        <f t="shared" si="19"/>
        <v>0</v>
      </c>
      <c r="W207" s="4">
        <f t="shared" si="20"/>
        <v>0</v>
      </c>
    </row>
    <row r="208" spans="4:23" ht="15" customHeight="1">
      <c r="D208" s="85" t="str">
        <f xml:space="preserve"> '2.1 Model setup'!K79</f>
        <v>4.2 Omkostninger vedrørende nettab i ledningsnettet</v>
      </c>
      <c r="K208" s="5" t="str">
        <f t="shared" si="18"/>
        <v>DKKt</v>
      </c>
      <c r="L208" s="85"/>
      <c r="O208" s="202"/>
      <c r="P208" s="202"/>
      <c r="Q208" s="202"/>
      <c r="R208" s="1">
        <f t="shared" si="19"/>
        <v>0</v>
      </c>
      <c r="S208" s="1">
        <f t="shared" si="19"/>
        <v>0</v>
      </c>
      <c r="T208" s="1">
        <f t="shared" si="19"/>
        <v>0</v>
      </c>
      <c r="U208" s="1">
        <f t="shared" si="19"/>
        <v>0</v>
      </c>
      <c r="V208" s="1">
        <f t="shared" si="19"/>
        <v>0</v>
      </c>
      <c r="W208" s="4">
        <f t="shared" si="20"/>
        <v>0</v>
      </c>
    </row>
    <row r="209" spans="4:23" ht="15" customHeight="1">
      <c r="D209" s="85" t="str">
        <f xml:space="preserve"> '2.1 Model setup'!K80</f>
        <v>5.1 Omkostninger til overliggende net ifm. forbrug</v>
      </c>
      <c r="K209" s="5" t="str">
        <f t="shared" si="18"/>
        <v>DKKt</v>
      </c>
      <c r="L209" s="85"/>
      <c r="O209" s="202"/>
      <c r="P209" s="202"/>
      <c r="Q209" s="202"/>
      <c r="R209" s="1">
        <f t="shared" ref="R209:V216" si="21" xml:space="preserve"> R98 * R$193</f>
        <v>0</v>
      </c>
      <c r="S209" s="1">
        <f t="shared" si="21"/>
        <v>0</v>
      </c>
      <c r="T209" s="1">
        <f t="shared" si="21"/>
        <v>0</v>
      </c>
      <c r="U209" s="1">
        <f t="shared" si="21"/>
        <v>0</v>
      </c>
      <c r="V209" s="1">
        <f t="shared" si="21"/>
        <v>0</v>
      </c>
      <c r="W209" s="4">
        <f xml:space="preserve"> SUM( R209:V209 )</f>
        <v>0</v>
      </c>
    </row>
    <row r="210" spans="4:23" ht="15" customHeight="1">
      <c r="D210" s="85" t="str">
        <f xml:space="preserve"> '2.1 Model setup'!K81</f>
        <v>5.2 Øvrige omkostninger</v>
      </c>
      <c r="K210" s="5" t="str">
        <f t="shared" si="18"/>
        <v>DKKt</v>
      </c>
      <c r="L210" s="85"/>
      <c r="O210" s="202"/>
      <c r="P210" s="202"/>
      <c r="Q210" s="202"/>
      <c r="R210" s="1">
        <f t="shared" si="21"/>
        <v>0</v>
      </c>
      <c r="S210" s="1">
        <f t="shared" si="21"/>
        <v>0</v>
      </c>
      <c r="T210" s="1">
        <f t="shared" si="21"/>
        <v>0</v>
      </c>
      <c r="U210" s="1">
        <f t="shared" si="21"/>
        <v>0</v>
      </c>
      <c r="V210" s="1">
        <f t="shared" si="21"/>
        <v>0</v>
      </c>
      <c r="W210" s="4">
        <f t="shared" si="20"/>
        <v>0</v>
      </c>
    </row>
    <row r="211" spans="4:23" ht="15" customHeight="1">
      <c r="D211" s="85" t="str">
        <f xml:space="preserve"> '2.1 Model setup'!K82</f>
        <v>6.1 Afskrivninger på transformerstationer</v>
      </c>
      <c r="K211" s="5" t="str">
        <f t="shared" si="18"/>
        <v>DKKt</v>
      </c>
      <c r="L211" s="85"/>
      <c r="O211" s="202"/>
      <c r="P211" s="202"/>
      <c r="Q211" s="202"/>
      <c r="R211" s="1">
        <f t="shared" si="21"/>
        <v>0</v>
      </c>
      <c r="S211" s="1">
        <f t="shared" si="21"/>
        <v>0</v>
      </c>
      <c r="T211" s="1">
        <f t="shared" si="21"/>
        <v>0</v>
      </c>
      <c r="U211" s="1">
        <f t="shared" si="21"/>
        <v>0</v>
      </c>
      <c r="V211" s="1">
        <f t="shared" si="21"/>
        <v>0</v>
      </c>
      <c r="W211" s="4">
        <f t="shared" si="20"/>
        <v>0</v>
      </c>
    </row>
    <row r="212" spans="4:23" ht="15" customHeight="1">
      <c r="D212" s="85" t="str">
        <f xml:space="preserve"> '2.1 Model setup'!K83</f>
        <v>6.2 Afskrivninger på netaktiver ekskl. målere og transformerstationer</v>
      </c>
      <c r="K212" s="5" t="str">
        <f t="shared" si="18"/>
        <v>DKKt</v>
      </c>
      <c r="L212" s="85"/>
      <c r="O212" s="202"/>
      <c r="P212" s="202"/>
      <c r="Q212" s="202"/>
      <c r="R212" s="1">
        <f t="shared" si="21"/>
        <v>0</v>
      </c>
      <c r="S212" s="1">
        <f t="shared" si="21"/>
        <v>0</v>
      </c>
      <c r="T212" s="1">
        <f t="shared" si="21"/>
        <v>0</v>
      </c>
      <c r="U212" s="1">
        <f t="shared" si="21"/>
        <v>0</v>
      </c>
      <c r="V212" s="1">
        <f t="shared" si="21"/>
        <v>0</v>
      </c>
      <c r="W212" s="4">
        <f t="shared" si="20"/>
        <v>0</v>
      </c>
    </row>
    <row r="213" spans="4:23" ht="15" customHeight="1">
      <c r="D213" s="85" t="str">
        <f xml:space="preserve"> '2.1 Model setup'!K84</f>
        <v>6.3 Afskrivninger på målere</v>
      </c>
      <c r="K213" s="5" t="str">
        <f t="shared" si="18"/>
        <v>DKKt</v>
      </c>
      <c r="L213" s="85"/>
      <c r="O213" s="202"/>
      <c r="P213" s="202"/>
      <c r="Q213" s="202"/>
      <c r="R213" s="1">
        <f t="shared" si="21"/>
        <v>0</v>
      </c>
      <c r="S213" s="1">
        <f t="shared" si="21"/>
        <v>0</v>
      </c>
      <c r="T213" s="1">
        <f t="shared" si="21"/>
        <v>0</v>
      </c>
      <c r="U213" s="1">
        <f t="shared" si="21"/>
        <v>0</v>
      </c>
      <c r="V213" s="1">
        <f t="shared" si="21"/>
        <v>0</v>
      </c>
      <c r="W213" s="4">
        <f t="shared" si="20"/>
        <v>0</v>
      </c>
    </row>
    <row r="214" spans="4:23" ht="15" customHeight="1">
      <c r="D214" s="85" t="str">
        <f xml:space="preserve"> '2.1 Model setup'!K85</f>
        <v>7.1 Transformerstationer (forrentning)</v>
      </c>
      <c r="K214" s="5" t="str">
        <f t="shared" si="18"/>
        <v>DKKt</v>
      </c>
      <c r="L214" s="85"/>
      <c r="O214" s="202"/>
      <c r="P214" s="202"/>
      <c r="Q214" s="202"/>
      <c r="R214" s="1">
        <f t="shared" si="21"/>
        <v>0</v>
      </c>
      <c r="S214" s="1">
        <f t="shared" si="21"/>
        <v>0</v>
      </c>
      <c r="T214" s="1">
        <f t="shared" si="21"/>
        <v>0</v>
      </c>
      <c r="U214" s="1">
        <f t="shared" si="21"/>
        <v>0</v>
      </c>
      <c r="V214" s="1">
        <f t="shared" si="21"/>
        <v>0</v>
      </c>
      <c r="W214" s="4">
        <f t="shared" si="20"/>
        <v>0</v>
      </c>
    </row>
    <row r="215" spans="4:23" ht="15" customHeight="1">
      <c r="D215" s="85" t="str">
        <f xml:space="preserve"> '2.1 Model setup'!K86</f>
        <v>7.2 Netaktiver ekskl. målere og transformerstationer (forrentning)</v>
      </c>
      <c r="K215" s="5" t="str">
        <f t="shared" si="18"/>
        <v>DKKt</v>
      </c>
      <c r="L215" s="85"/>
      <c r="O215" s="202"/>
      <c r="P215" s="202"/>
      <c r="Q215" s="202"/>
      <c r="R215" s="1">
        <f t="shared" si="21"/>
        <v>0</v>
      </c>
      <c r="S215" s="1">
        <f t="shared" si="21"/>
        <v>0</v>
      </c>
      <c r="T215" s="1">
        <f t="shared" si="21"/>
        <v>0</v>
      </c>
      <c r="U215" s="1">
        <f t="shared" si="21"/>
        <v>0</v>
      </c>
      <c r="V215" s="1">
        <f t="shared" si="21"/>
        <v>0</v>
      </c>
      <c r="W215" s="4">
        <f t="shared" si="20"/>
        <v>0</v>
      </c>
    </row>
    <row r="216" spans="4:23" ht="15" customHeight="1">
      <c r="D216" s="99" t="str">
        <f xml:space="preserve"> '2.1 Model setup'!K87</f>
        <v>7.3 Målere (forrentning)</v>
      </c>
      <c r="E216" s="27"/>
      <c r="F216" s="27"/>
      <c r="G216" s="27"/>
      <c r="H216" s="27"/>
      <c r="I216" s="27"/>
      <c r="J216" s="27"/>
      <c r="K216" s="32" t="str">
        <f t="shared" si="18"/>
        <v>DKKt</v>
      </c>
      <c r="L216" s="99"/>
      <c r="M216" s="27"/>
      <c r="N216" s="27"/>
      <c r="O216" s="269"/>
      <c r="P216" s="269"/>
      <c r="Q216" s="269"/>
      <c r="R216" s="27">
        <f t="shared" si="21"/>
        <v>0</v>
      </c>
      <c r="S216" s="27">
        <f t="shared" si="21"/>
        <v>0</v>
      </c>
      <c r="T216" s="27">
        <f t="shared" si="21"/>
        <v>0</v>
      </c>
      <c r="U216" s="27">
        <f t="shared" si="21"/>
        <v>0</v>
      </c>
      <c r="V216" s="27">
        <f t="shared" si="21"/>
        <v>0</v>
      </c>
      <c r="W216" s="35">
        <f t="shared" si="20"/>
        <v>0</v>
      </c>
    </row>
    <row r="218" spans="4:23" ht="15" customHeight="1">
      <c r="D218" s="35" t="s">
        <v>494</v>
      </c>
      <c r="E218" s="27"/>
      <c r="F218" s="27"/>
      <c r="G218" s="27"/>
      <c r="H218" s="27"/>
      <c r="I218" s="27"/>
      <c r="J218" s="27"/>
      <c r="K218" s="32"/>
      <c r="L218" s="27"/>
      <c r="M218" s="27"/>
      <c r="N218" s="27"/>
      <c r="O218" s="27"/>
      <c r="P218" s="27"/>
      <c r="Q218" s="27"/>
      <c r="R218" s="27"/>
      <c r="S218" s="27"/>
      <c r="T218" s="27"/>
      <c r="U218" s="27"/>
      <c r="V218" s="27"/>
      <c r="W218" s="185" t="s">
        <v>16</v>
      </c>
    </row>
    <row r="219" spans="4:23" ht="15" customHeight="1">
      <c r="D219" s="85" t="str">
        <f xml:space="preserve"> '2.1 Model setup'!K70</f>
        <v>1.1 Drift og vedligeholdelse af transformerstationer</v>
      </c>
      <c r="K219" s="5" t="str">
        <f t="shared" ref="K219:K236" si="22" xml:space="preserve"> Model.Units</f>
        <v>DKKt</v>
      </c>
      <c r="L219" s="85"/>
      <c r="O219" s="202"/>
      <c r="P219" s="202"/>
      <c r="Q219" s="202"/>
      <c r="R219" s="1">
        <f t="shared" ref="R219:V228" si="23" xml:space="preserve"> R88 * R$194</f>
        <v>0</v>
      </c>
      <c r="S219" s="1">
        <f t="shared" si="23"/>
        <v>0</v>
      </c>
      <c r="T219" s="1">
        <f t="shared" si="23"/>
        <v>0</v>
      </c>
      <c r="U219" s="1">
        <f t="shared" si="23"/>
        <v>0</v>
      </c>
      <c r="V219" s="1">
        <f t="shared" si="23"/>
        <v>0</v>
      </c>
      <c r="W219" s="4">
        <f t="shared" ref="W219:W236" si="24" xml:space="preserve"> SUM( R219:V219 )</f>
        <v>0</v>
      </c>
    </row>
    <row r="220" spans="4:23" ht="15" customHeight="1">
      <c r="D220" s="85" t="str">
        <f xml:space="preserve"> '2.1 Model setup'!K71</f>
        <v>1.2 Drift og vedligeholdelse af ledningsnet</v>
      </c>
      <c r="K220" s="5" t="str">
        <f t="shared" si="22"/>
        <v>DKKt</v>
      </c>
      <c r="L220" s="85"/>
      <c r="O220" s="202"/>
      <c r="P220" s="202"/>
      <c r="Q220" s="202"/>
      <c r="R220" s="1">
        <f t="shared" si="23"/>
        <v>0</v>
      </c>
      <c r="S220" s="1">
        <f t="shared" si="23"/>
        <v>0</v>
      </c>
      <c r="T220" s="1">
        <f t="shared" si="23"/>
        <v>0</v>
      </c>
      <c r="U220" s="1">
        <f t="shared" si="23"/>
        <v>0</v>
      </c>
      <c r="V220" s="1">
        <f t="shared" si="23"/>
        <v>0</v>
      </c>
      <c r="W220" s="4">
        <f t="shared" si="24"/>
        <v>0</v>
      </c>
    </row>
    <row r="221" spans="4:23" ht="15" customHeight="1">
      <c r="D221" s="85" t="str">
        <f xml:space="preserve"> '2.1 Model setup'!K72</f>
        <v>1.3 Øvrige omkostninger til drift, styring og kontrol af elnettet</v>
      </c>
      <c r="K221" s="5" t="str">
        <f t="shared" si="22"/>
        <v>DKKt</v>
      </c>
      <c r="L221" s="85"/>
      <c r="O221" s="202"/>
      <c r="P221" s="202"/>
      <c r="Q221" s="202"/>
      <c r="R221" s="1">
        <f t="shared" si="23"/>
        <v>0</v>
      </c>
      <c r="S221" s="1">
        <f t="shared" si="23"/>
        <v>0</v>
      </c>
      <c r="T221" s="1">
        <f t="shared" si="23"/>
        <v>0</v>
      </c>
      <c r="U221" s="1">
        <f t="shared" si="23"/>
        <v>0</v>
      </c>
      <c r="V221" s="1">
        <f t="shared" si="23"/>
        <v>0</v>
      </c>
      <c r="W221" s="4">
        <f t="shared" si="24"/>
        <v>0</v>
      </c>
    </row>
    <row r="222" spans="4:23" ht="15" customHeight="1">
      <c r="D222" s="85" t="str">
        <f xml:space="preserve"> '2.1 Model setup'!K73</f>
        <v>1.4 Omkostninger vedrørende 132-150/30-60 kV-stationer</v>
      </c>
      <c r="K222" s="5" t="str">
        <f t="shared" si="22"/>
        <v>DKKt</v>
      </c>
      <c r="L222" s="85"/>
      <c r="O222" s="202"/>
      <c r="P222" s="202"/>
      <c r="Q222" s="202"/>
      <c r="R222" s="1">
        <f t="shared" si="23"/>
        <v>0</v>
      </c>
      <c r="S222" s="1">
        <f t="shared" si="23"/>
        <v>0</v>
      </c>
      <c r="T222" s="1">
        <f t="shared" si="23"/>
        <v>0</v>
      </c>
      <c r="U222" s="1">
        <f t="shared" si="23"/>
        <v>0</v>
      </c>
      <c r="V222" s="1">
        <f t="shared" si="23"/>
        <v>0</v>
      </c>
      <c r="W222" s="4">
        <f xml:space="preserve"> SUM( R222:V222 )</f>
        <v>0</v>
      </c>
    </row>
    <row r="223" spans="4:23" ht="15" customHeight="1">
      <c r="D223" s="85" t="str">
        <f xml:space="preserve"> '2.1 Model setup'!K74</f>
        <v>2.1 Drift og vedligeholdelse af målere</v>
      </c>
      <c r="K223" s="5" t="str">
        <f t="shared" si="22"/>
        <v>DKKt</v>
      </c>
      <c r="L223" s="85"/>
      <c r="O223" s="202"/>
      <c r="P223" s="202"/>
      <c r="Q223" s="202"/>
      <c r="R223" s="1">
        <f t="shared" si="23"/>
        <v>0</v>
      </c>
      <c r="S223" s="1">
        <f t="shared" si="23"/>
        <v>0</v>
      </c>
      <c r="T223" s="1">
        <f t="shared" si="23"/>
        <v>0</v>
      </c>
      <c r="U223" s="1">
        <f t="shared" si="23"/>
        <v>0</v>
      </c>
      <c r="V223" s="1">
        <f t="shared" si="23"/>
        <v>0</v>
      </c>
      <c r="W223" s="4">
        <f t="shared" si="24"/>
        <v>0</v>
      </c>
    </row>
    <row r="224" spans="4:23" ht="15" customHeight="1">
      <c r="D224" s="85" t="str">
        <f xml:space="preserve"> '2.1 Model setup'!K75</f>
        <v>2.2 Indhentning og validering af målerdata</v>
      </c>
      <c r="K224" s="5" t="str">
        <f t="shared" si="22"/>
        <v>DKKt</v>
      </c>
      <c r="L224" s="85"/>
      <c r="O224" s="202"/>
      <c r="P224" s="202"/>
      <c r="Q224" s="202"/>
      <c r="R224" s="1">
        <f t="shared" si="23"/>
        <v>0</v>
      </c>
      <c r="S224" s="1">
        <f t="shared" si="23"/>
        <v>0</v>
      </c>
      <c r="T224" s="1">
        <f t="shared" si="23"/>
        <v>0</v>
      </c>
      <c r="U224" s="1">
        <f t="shared" si="23"/>
        <v>0</v>
      </c>
      <c r="V224" s="1">
        <f t="shared" si="23"/>
        <v>0</v>
      </c>
      <c r="W224" s="4">
        <f t="shared" si="24"/>
        <v>0</v>
      </c>
    </row>
    <row r="225" spans="4:23" ht="15" customHeight="1">
      <c r="D225" s="85" t="str">
        <f xml:space="preserve"> '2.1 Model setup'!K76</f>
        <v>2.3 Måleradministration og kundehåndtering</v>
      </c>
      <c r="K225" s="5" t="str">
        <f t="shared" si="22"/>
        <v>DKKt</v>
      </c>
      <c r="L225" s="85"/>
      <c r="O225" s="202"/>
      <c r="P225" s="202"/>
      <c r="Q225" s="202"/>
      <c r="R225" s="1">
        <f t="shared" si="23"/>
        <v>0</v>
      </c>
      <c r="S225" s="1">
        <f t="shared" si="23"/>
        <v>0</v>
      </c>
      <c r="T225" s="1">
        <f t="shared" si="23"/>
        <v>0</v>
      </c>
      <c r="U225" s="1">
        <f t="shared" si="23"/>
        <v>0</v>
      </c>
      <c r="V225" s="1">
        <f t="shared" si="23"/>
        <v>0</v>
      </c>
      <c r="W225" s="4">
        <f t="shared" si="24"/>
        <v>0</v>
      </c>
    </row>
    <row r="226" spans="4:23" ht="15" customHeight="1">
      <c r="D226" s="85" t="str">
        <f xml:space="preserve"> '2.1 Model setup'!K77</f>
        <v>3.1 Generel administration</v>
      </c>
      <c r="K226" s="5" t="str">
        <f t="shared" si="22"/>
        <v>DKKt</v>
      </c>
      <c r="L226" s="85"/>
      <c r="O226" s="202"/>
      <c r="P226" s="202"/>
      <c r="Q226" s="202"/>
      <c r="R226" s="1">
        <f t="shared" si="23"/>
        <v>0</v>
      </c>
      <c r="S226" s="1">
        <f t="shared" si="23"/>
        <v>0</v>
      </c>
      <c r="T226" s="1">
        <f t="shared" si="23"/>
        <v>0</v>
      </c>
      <c r="U226" s="1">
        <f t="shared" si="23"/>
        <v>0</v>
      </c>
      <c r="V226" s="1">
        <f t="shared" si="23"/>
        <v>0</v>
      </c>
      <c r="W226" s="4">
        <f t="shared" si="24"/>
        <v>0</v>
      </c>
    </row>
    <row r="227" spans="4:23" ht="15" customHeight="1">
      <c r="D227" s="85" t="str">
        <f xml:space="preserve"> '2.1 Model setup'!K78</f>
        <v>4.1 Omkostninger vedrørende nettab i transformerstationer</v>
      </c>
      <c r="K227" s="5" t="str">
        <f t="shared" si="22"/>
        <v>DKKt</v>
      </c>
      <c r="L227" s="85"/>
      <c r="O227" s="202"/>
      <c r="P227" s="202"/>
      <c r="Q227" s="202"/>
      <c r="R227" s="1">
        <f t="shared" si="23"/>
        <v>0</v>
      </c>
      <c r="S227" s="1">
        <f t="shared" si="23"/>
        <v>0</v>
      </c>
      <c r="T227" s="1">
        <f t="shared" si="23"/>
        <v>0</v>
      </c>
      <c r="U227" s="1">
        <f t="shared" si="23"/>
        <v>0</v>
      </c>
      <c r="V227" s="1">
        <f t="shared" si="23"/>
        <v>0</v>
      </c>
      <c r="W227" s="4">
        <f t="shared" si="24"/>
        <v>0</v>
      </c>
    </row>
    <row r="228" spans="4:23" ht="15" customHeight="1">
      <c r="D228" s="85" t="str">
        <f xml:space="preserve"> '2.1 Model setup'!K79</f>
        <v>4.2 Omkostninger vedrørende nettab i ledningsnettet</v>
      </c>
      <c r="K228" s="5" t="str">
        <f t="shared" si="22"/>
        <v>DKKt</v>
      </c>
      <c r="L228" s="85"/>
      <c r="O228" s="202"/>
      <c r="P228" s="202"/>
      <c r="Q228" s="202"/>
      <c r="R228" s="1">
        <f t="shared" si="23"/>
        <v>0</v>
      </c>
      <c r="S228" s="1">
        <f t="shared" si="23"/>
        <v>0</v>
      </c>
      <c r="T228" s="1">
        <f t="shared" si="23"/>
        <v>0</v>
      </c>
      <c r="U228" s="1">
        <f t="shared" si="23"/>
        <v>0</v>
      </c>
      <c r="V228" s="1">
        <f t="shared" si="23"/>
        <v>0</v>
      </c>
      <c r="W228" s="4">
        <f t="shared" si="24"/>
        <v>0</v>
      </c>
    </row>
    <row r="229" spans="4:23" ht="15" customHeight="1">
      <c r="D229" s="85" t="str">
        <f xml:space="preserve"> '2.1 Model setup'!K80</f>
        <v>5.1 Omkostninger til overliggende net ifm. forbrug</v>
      </c>
      <c r="K229" s="5" t="str">
        <f t="shared" si="22"/>
        <v>DKKt</v>
      </c>
      <c r="L229" s="85"/>
      <c r="O229" s="202"/>
      <c r="P229" s="202"/>
      <c r="Q229" s="202"/>
      <c r="R229" s="1">
        <f t="shared" ref="R229:V236" si="25" xml:space="preserve"> R98 * R$194</f>
        <v>0</v>
      </c>
      <c r="S229" s="1">
        <f t="shared" si="25"/>
        <v>0</v>
      </c>
      <c r="T229" s="1">
        <f t="shared" si="25"/>
        <v>0</v>
      </c>
      <c r="U229" s="1">
        <f t="shared" si="25"/>
        <v>0</v>
      </c>
      <c r="V229" s="1">
        <f t="shared" si="25"/>
        <v>0</v>
      </c>
      <c r="W229" s="4">
        <f xml:space="preserve"> SUM( R229:V229 )</f>
        <v>0</v>
      </c>
    </row>
    <row r="230" spans="4:23" ht="15" customHeight="1">
      <c r="D230" s="85" t="str">
        <f xml:space="preserve"> '2.1 Model setup'!K81</f>
        <v>5.2 Øvrige omkostninger</v>
      </c>
      <c r="K230" s="5" t="str">
        <f t="shared" si="22"/>
        <v>DKKt</v>
      </c>
      <c r="L230" s="85"/>
      <c r="O230" s="202"/>
      <c r="P230" s="202"/>
      <c r="Q230" s="202"/>
      <c r="R230" s="1">
        <f t="shared" si="25"/>
        <v>0</v>
      </c>
      <c r="S230" s="1">
        <f t="shared" si="25"/>
        <v>0</v>
      </c>
      <c r="T230" s="1">
        <f t="shared" si="25"/>
        <v>0</v>
      </c>
      <c r="U230" s="1">
        <f t="shared" si="25"/>
        <v>0</v>
      </c>
      <c r="V230" s="1">
        <f t="shared" si="25"/>
        <v>0</v>
      </c>
      <c r="W230" s="4">
        <f t="shared" si="24"/>
        <v>0</v>
      </c>
    </row>
    <row r="231" spans="4:23" ht="15" customHeight="1">
      <c r="D231" s="85" t="str">
        <f xml:space="preserve"> '2.1 Model setup'!K82</f>
        <v>6.1 Afskrivninger på transformerstationer</v>
      </c>
      <c r="K231" s="5" t="str">
        <f t="shared" si="22"/>
        <v>DKKt</v>
      </c>
      <c r="L231" s="85"/>
      <c r="O231" s="202"/>
      <c r="P231" s="202"/>
      <c r="Q231" s="202"/>
      <c r="R231" s="1">
        <f t="shared" si="25"/>
        <v>0</v>
      </c>
      <c r="S231" s="1">
        <f t="shared" si="25"/>
        <v>0</v>
      </c>
      <c r="T231" s="1">
        <f t="shared" si="25"/>
        <v>0</v>
      </c>
      <c r="U231" s="1">
        <f t="shared" si="25"/>
        <v>0</v>
      </c>
      <c r="V231" s="1">
        <f t="shared" si="25"/>
        <v>0</v>
      </c>
      <c r="W231" s="4">
        <f t="shared" si="24"/>
        <v>0</v>
      </c>
    </row>
    <row r="232" spans="4:23" ht="15" customHeight="1">
      <c r="D232" s="85" t="str">
        <f xml:space="preserve"> '2.1 Model setup'!K83</f>
        <v>6.2 Afskrivninger på netaktiver ekskl. målere og transformerstationer</v>
      </c>
      <c r="K232" s="5" t="str">
        <f t="shared" si="22"/>
        <v>DKKt</v>
      </c>
      <c r="L232" s="85"/>
      <c r="O232" s="202"/>
      <c r="P232" s="202"/>
      <c r="Q232" s="202"/>
      <c r="R232" s="1">
        <f t="shared" si="25"/>
        <v>0</v>
      </c>
      <c r="S232" s="1">
        <f t="shared" si="25"/>
        <v>0</v>
      </c>
      <c r="T232" s="1">
        <f t="shared" si="25"/>
        <v>0</v>
      </c>
      <c r="U232" s="1">
        <f t="shared" si="25"/>
        <v>0</v>
      </c>
      <c r="V232" s="1">
        <f t="shared" si="25"/>
        <v>0</v>
      </c>
      <c r="W232" s="4">
        <f t="shared" si="24"/>
        <v>0</v>
      </c>
    </row>
    <row r="233" spans="4:23" ht="15" customHeight="1">
      <c r="D233" s="85" t="str">
        <f xml:space="preserve"> '2.1 Model setup'!K84</f>
        <v>6.3 Afskrivninger på målere</v>
      </c>
      <c r="K233" s="5" t="str">
        <f t="shared" si="22"/>
        <v>DKKt</v>
      </c>
      <c r="L233" s="85"/>
      <c r="O233" s="202"/>
      <c r="P233" s="202"/>
      <c r="Q233" s="202"/>
      <c r="R233" s="1">
        <f t="shared" si="25"/>
        <v>0</v>
      </c>
      <c r="S233" s="1">
        <f t="shared" si="25"/>
        <v>0</v>
      </c>
      <c r="T233" s="1">
        <f t="shared" si="25"/>
        <v>0</v>
      </c>
      <c r="U233" s="1">
        <f t="shared" si="25"/>
        <v>0</v>
      </c>
      <c r="V233" s="1">
        <f t="shared" si="25"/>
        <v>0</v>
      </c>
      <c r="W233" s="4">
        <f t="shared" si="24"/>
        <v>0</v>
      </c>
    </row>
    <row r="234" spans="4:23" ht="15" customHeight="1">
      <c r="D234" s="85" t="str">
        <f xml:space="preserve"> '2.1 Model setup'!K85</f>
        <v>7.1 Transformerstationer (forrentning)</v>
      </c>
      <c r="K234" s="5" t="str">
        <f t="shared" si="22"/>
        <v>DKKt</v>
      </c>
      <c r="L234" s="85"/>
      <c r="O234" s="202"/>
      <c r="P234" s="202"/>
      <c r="Q234" s="202"/>
      <c r="R234" s="1">
        <f t="shared" si="25"/>
        <v>0</v>
      </c>
      <c r="S234" s="1">
        <f t="shared" si="25"/>
        <v>0</v>
      </c>
      <c r="T234" s="1">
        <f t="shared" si="25"/>
        <v>0</v>
      </c>
      <c r="U234" s="1">
        <f t="shared" si="25"/>
        <v>0</v>
      </c>
      <c r="V234" s="1">
        <f t="shared" si="25"/>
        <v>0</v>
      </c>
      <c r="W234" s="4">
        <f t="shared" si="24"/>
        <v>0</v>
      </c>
    </row>
    <row r="235" spans="4:23" ht="15" customHeight="1">
      <c r="D235" s="85" t="str">
        <f xml:space="preserve"> '2.1 Model setup'!K86</f>
        <v>7.2 Netaktiver ekskl. målere og transformerstationer (forrentning)</v>
      </c>
      <c r="K235" s="5" t="str">
        <f t="shared" si="22"/>
        <v>DKKt</v>
      </c>
      <c r="L235" s="85"/>
      <c r="O235" s="202"/>
      <c r="P235" s="202"/>
      <c r="Q235" s="202"/>
      <c r="R235" s="1">
        <f t="shared" si="25"/>
        <v>0</v>
      </c>
      <c r="S235" s="1">
        <f t="shared" si="25"/>
        <v>0</v>
      </c>
      <c r="T235" s="1">
        <f t="shared" si="25"/>
        <v>0</v>
      </c>
      <c r="U235" s="1">
        <f t="shared" si="25"/>
        <v>0</v>
      </c>
      <c r="V235" s="1">
        <f t="shared" si="25"/>
        <v>0</v>
      </c>
      <c r="W235" s="4">
        <f t="shared" si="24"/>
        <v>0</v>
      </c>
    </row>
    <row r="236" spans="4:23" ht="15" customHeight="1">
      <c r="D236" s="99" t="str">
        <f xml:space="preserve"> '2.1 Model setup'!K87</f>
        <v>7.3 Målere (forrentning)</v>
      </c>
      <c r="E236" s="27"/>
      <c r="F236" s="27"/>
      <c r="G236" s="27"/>
      <c r="H236" s="27"/>
      <c r="I236" s="27"/>
      <c r="J236" s="27"/>
      <c r="K236" s="32" t="str">
        <f t="shared" si="22"/>
        <v>DKKt</v>
      </c>
      <c r="L236" s="99"/>
      <c r="M236" s="27"/>
      <c r="N236" s="27"/>
      <c r="O236" s="269"/>
      <c r="P236" s="269"/>
      <c r="Q236" s="269"/>
      <c r="R236" s="27">
        <f t="shared" si="25"/>
        <v>0</v>
      </c>
      <c r="S236" s="27">
        <f t="shared" si="25"/>
        <v>0</v>
      </c>
      <c r="T236" s="27">
        <f t="shared" si="25"/>
        <v>0</v>
      </c>
      <c r="U236" s="27">
        <f t="shared" si="25"/>
        <v>0</v>
      </c>
      <c r="V236" s="27">
        <f t="shared" si="25"/>
        <v>0</v>
      </c>
      <c r="W236" s="35">
        <f t="shared" si="24"/>
        <v>0</v>
      </c>
    </row>
    <row r="238" spans="4:23" ht="15" customHeight="1">
      <c r="D238" s="35" t="s">
        <v>495</v>
      </c>
      <c r="E238" s="27"/>
      <c r="F238" s="27"/>
      <c r="G238" s="27"/>
      <c r="H238" s="27"/>
      <c r="I238" s="27"/>
      <c r="J238" s="27"/>
      <c r="K238" s="32"/>
      <c r="L238" s="27"/>
      <c r="M238" s="27"/>
      <c r="N238" s="27"/>
      <c r="O238" s="27"/>
      <c r="P238" s="27"/>
      <c r="Q238" s="27"/>
      <c r="R238" s="27"/>
      <c r="S238" s="27"/>
      <c r="T238" s="27"/>
      <c r="U238" s="27"/>
      <c r="V238" s="27"/>
      <c r="W238" s="185" t="s">
        <v>16</v>
      </c>
    </row>
    <row r="239" spans="4:23" ht="15" customHeight="1">
      <c r="D239" s="85" t="str">
        <f xml:space="preserve"> '2.1 Model setup'!K70</f>
        <v>1.1 Drift og vedligeholdelse af transformerstationer</v>
      </c>
      <c r="K239" s="5" t="str">
        <f t="shared" ref="K239:K256" si="26" xml:space="preserve"> Model.Units</f>
        <v>DKKt</v>
      </c>
      <c r="L239" s="85"/>
      <c r="O239" s="202"/>
      <c r="P239" s="202"/>
      <c r="Q239" s="202"/>
      <c r="R239" s="1">
        <f t="shared" ref="R239:V248" si="27" xml:space="preserve"> R88 * R$195</f>
        <v>0</v>
      </c>
      <c r="S239" s="1">
        <f t="shared" si="27"/>
        <v>0</v>
      </c>
      <c r="T239" s="1">
        <f t="shared" si="27"/>
        <v>0</v>
      </c>
      <c r="U239" s="1">
        <f t="shared" si="27"/>
        <v>0</v>
      </c>
      <c r="V239" s="1">
        <f t="shared" si="27"/>
        <v>0</v>
      </c>
      <c r="W239" s="4">
        <f t="shared" ref="W239:W256" si="28" xml:space="preserve"> SUM( R239:V239 )</f>
        <v>0</v>
      </c>
    </row>
    <row r="240" spans="4:23" ht="15" customHeight="1">
      <c r="D240" s="85" t="str">
        <f xml:space="preserve"> '2.1 Model setup'!K71</f>
        <v>1.2 Drift og vedligeholdelse af ledningsnet</v>
      </c>
      <c r="K240" s="5" t="str">
        <f t="shared" si="26"/>
        <v>DKKt</v>
      </c>
      <c r="L240" s="85"/>
      <c r="O240" s="202"/>
      <c r="P240" s="202"/>
      <c r="Q240" s="202"/>
      <c r="R240" s="1">
        <f t="shared" si="27"/>
        <v>0</v>
      </c>
      <c r="S240" s="1">
        <f t="shared" si="27"/>
        <v>0</v>
      </c>
      <c r="T240" s="1">
        <f t="shared" si="27"/>
        <v>0</v>
      </c>
      <c r="U240" s="1">
        <f t="shared" si="27"/>
        <v>0</v>
      </c>
      <c r="V240" s="1">
        <f t="shared" si="27"/>
        <v>0</v>
      </c>
      <c r="W240" s="4">
        <f t="shared" si="28"/>
        <v>0</v>
      </c>
    </row>
    <row r="241" spans="4:23" ht="15" customHeight="1">
      <c r="D241" s="85" t="str">
        <f xml:space="preserve"> '2.1 Model setup'!K72</f>
        <v>1.3 Øvrige omkostninger til drift, styring og kontrol af elnettet</v>
      </c>
      <c r="K241" s="5" t="str">
        <f t="shared" si="26"/>
        <v>DKKt</v>
      </c>
      <c r="L241" s="85"/>
      <c r="O241" s="202"/>
      <c r="P241" s="202"/>
      <c r="Q241" s="202"/>
      <c r="R241" s="1">
        <f t="shared" si="27"/>
        <v>0</v>
      </c>
      <c r="S241" s="1">
        <f t="shared" si="27"/>
        <v>0</v>
      </c>
      <c r="T241" s="1">
        <f t="shared" si="27"/>
        <v>0</v>
      </c>
      <c r="U241" s="1">
        <f t="shared" si="27"/>
        <v>0</v>
      </c>
      <c r="V241" s="1">
        <f t="shared" si="27"/>
        <v>0</v>
      </c>
      <c r="W241" s="4">
        <f t="shared" si="28"/>
        <v>0</v>
      </c>
    </row>
    <row r="242" spans="4:23" ht="15" customHeight="1">
      <c r="D242" s="85" t="str">
        <f xml:space="preserve"> '2.1 Model setup'!K73</f>
        <v>1.4 Omkostninger vedrørende 132-150/30-60 kV-stationer</v>
      </c>
      <c r="K242" s="5" t="str">
        <f t="shared" si="26"/>
        <v>DKKt</v>
      </c>
      <c r="L242" s="85"/>
      <c r="O242" s="202"/>
      <c r="P242" s="202"/>
      <c r="Q242" s="202"/>
      <c r="R242" s="1">
        <f t="shared" si="27"/>
        <v>0</v>
      </c>
      <c r="S242" s="1">
        <f t="shared" si="27"/>
        <v>0</v>
      </c>
      <c r="T242" s="1">
        <f t="shared" si="27"/>
        <v>0</v>
      </c>
      <c r="U242" s="1">
        <f t="shared" si="27"/>
        <v>0</v>
      </c>
      <c r="V242" s="1">
        <f t="shared" si="27"/>
        <v>0</v>
      </c>
      <c r="W242" s="4">
        <f xml:space="preserve"> SUM( R242:V242 )</f>
        <v>0</v>
      </c>
    </row>
    <row r="243" spans="4:23" ht="15" customHeight="1">
      <c r="D243" s="85" t="str">
        <f xml:space="preserve"> '2.1 Model setup'!K74</f>
        <v>2.1 Drift og vedligeholdelse af målere</v>
      </c>
      <c r="K243" s="5" t="str">
        <f t="shared" si="26"/>
        <v>DKKt</v>
      </c>
      <c r="L243" s="85"/>
      <c r="O243" s="202"/>
      <c r="P243" s="202"/>
      <c r="Q243" s="202"/>
      <c r="R243" s="1">
        <f t="shared" si="27"/>
        <v>0</v>
      </c>
      <c r="S243" s="1">
        <f t="shared" si="27"/>
        <v>0</v>
      </c>
      <c r="T243" s="1">
        <f t="shared" si="27"/>
        <v>0</v>
      </c>
      <c r="U243" s="1">
        <f t="shared" si="27"/>
        <v>0</v>
      </c>
      <c r="V243" s="1">
        <f t="shared" si="27"/>
        <v>0</v>
      </c>
      <c r="W243" s="4">
        <f t="shared" si="28"/>
        <v>0</v>
      </c>
    </row>
    <row r="244" spans="4:23" ht="15" customHeight="1">
      <c r="D244" s="85" t="str">
        <f xml:space="preserve"> '2.1 Model setup'!K75</f>
        <v>2.2 Indhentning og validering af målerdata</v>
      </c>
      <c r="K244" s="5" t="str">
        <f t="shared" si="26"/>
        <v>DKKt</v>
      </c>
      <c r="L244" s="85"/>
      <c r="O244" s="202"/>
      <c r="P244" s="202"/>
      <c r="Q244" s="202"/>
      <c r="R244" s="1">
        <f t="shared" si="27"/>
        <v>0</v>
      </c>
      <c r="S244" s="1">
        <f t="shared" si="27"/>
        <v>0</v>
      </c>
      <c r="T244" s="1">
        <f t="shared" si="27"/>
        <v>0</v>
      </c>
      <c r="U244" s="1">
        <f t="shared" si="27"/>
        <v>0</v>
      </c>
      <c r="V244" s="1">
        <f t="shared" si="27"/>
        <v>0</v>
      </c>
      <c r="W244" s="4">
        <f t="shared" si="28"/>
        <v>0</v>
      </c>
    </row>
    <row r="245" spans="4:23" ht="15" customHeight="1">
      <c r="D245" s="85" t="str">
        <f xml:space="preserve"> '2.1 Model setup'!K76</f>
        <v>2.3 Måleradministration og kundehåndtering</v>
      </c>
      <c r="K245" s="5" t="str">
        <f t="shared" si="26"/>
        <v>DKKt</v>
      </c>
      <c r="L245" s="85"/>
      <c r="O245" s="202"/>
      <c r="P245" s="202"/>
      <c r="Q245" s="202"/>
      <c r="R245" s="1">
        <f t="shared" si="27"/>
        <v>0</v>
      </c>
      <c r="S245" s="1">
        <f t="shared" si="27"/>
        <v>0</v>
      </c>
      <c r="T245" s="1">
        <f t="shared" si="27"/>
        <v>0</v>
      </c>
      <c r="U245" s="1">
        <f t="shared" si="27"/>
        <v>0</v>
      </c>
      <c r="V245" s="1">
        <f t="shared" si="27"/>
        <v>0</v>
      </c>
      <c r="W245" s="4">
        <f t="shared" si="28"/>
        <v>0</v>
      </c>
    </row>
    <row r="246" spans="4:23" ht="15" customHeight="1">
      <c r="D246" s="85" t="str">
        <f xml:space="preserve"> '2.1 Model setup'!K77</f>
        <v>3.1 Generel administration</v>
      </c>
      <c r="K246" s="5" t="str">
        <f t="shared" si="26"/>
        <v>DKKt</v>
      </c>
      <c r="L246" s="85"/>
      <c r="O246" s="202"/>
      <c r="P246" s="202"/>
      <c r="Q246" s="202"/>
      <c r="R246" s="1">
        <f t="shared" si="27"/>
        <v>0</v>
      </c>
      <c r="S246" s="1">
        <f t="shared" si="27"/>
        <v>0</v>
      </c>
      <c r="T246" s="1">
        <f t="shared" si="27"/>
        <v>0</v>
      </c>
      <c r="U246" s="1">
        <f t="shared" si="27"/>
        <v>0</v>
      </c>
      <c r="V246" s="1">
        <f t="shared" si="27"/>
        <v>0</v>
      </c>
      <c r="W246" s="4">
        <f t="shared" si="28"/>
        <v>0</v>
      </c>
    </row>
    <row r="247" spans="4:23" ht="15" customHeight="1">
      <c r="D247" s="85" t="str">
        <f xml:space="preserve"> '2.1 Model setup'!K78</f>
        <v>4.1 Omkostninger vedrørende nettab i transformerstationer</v>
      </c>
      <c r="K247" s="5" t="str">
        <f t="shared" si="26"/>
        <v>DKKt</v>
      </c>
      <c r="L247" s="85"/>
      <c r="O247" s="202"/>
      <c r="P247" s="202"/>
      <c r="Q247" s="202"/>
      <c r="R247" s="1">
        <f t="shared" si="27"/>
        <v>0</v>
      </c>
      <c r="S247" s="1">
        <f t="shared" si="27"/>
        <v>0</v>
      </c>
      <c r="T247" s="1">
        <f t="shared" si="27"/>
        <v>0</v>
      </c>
      <c r="U247" s="1">
        <f t="shared" si="27"/>
        <v>0</v>
      </c>
      <c r="V247" s="1">
        <f t="shared" si="27"/>
        <v>0</v>
      </c>
      <c r="W247" s="4">
        <f t="shared" si="28"/>
        <v>0</v>
      </c>
    </row>
    <row r="248" spans="4:23" ht="15" customHeight="1">
      <c r="D248" s="85" t="str">
        <f xml:space="preserve"> '2.1 Model setup'!K79</f>
        <v>4.2 Omkostninger vedrørende nettab i ledningsnettet</v>
      </c>
      <c r="K248" s="5" t="str">
        <f t="shared" si="26"/>
        <v>DKKt</v>
      </c>
      <c r="L248" s="85"/>
      <c r="O248" s="202"/>
      <c r="P248" s="202"/>
      <c r="Q248" s="202"/>
      <c r="R248" s="1">
        <f t="shared" si="27"/>
        <v>0</v>
      </c>
      <c r="S248" s="1">
        <f t="shared" si="27"/>
        <v>0</v>
      </c>
      <c r="T248" s="1">
        <f t="shared" si="27"/>
        <v>0</v>
      </c>
      <c r="U248" s="1">
        <f t="shared" si="27"/>
        <v>0</v>
      </c>
      <c r="V248" s="1">
        <f t="shared" si="27"/>
        <v>0</v>
      </c>
      <c r="W248" s="4">
        <f t="shared" si="28"/>
        <v>0</v>
      </c>
    </row>
    <row r="249" spans="4:23" ht="15" customHeight="1">
      <c r="D249" s="85" t="str">
        <f xml:space="preserve"> '2.1 Model setup'!K80</f>
        <v>5.1 Omkostninger til overliggende net ifm. forbrug</v>
      </c>
      <c r="K249" s="5" t="str">
        <f t="shared" si="26"/>
        <v>DKKt</v>
      </c>
      <c r="L249" s="85"/>
      <c r="O249" s="202"/>
      <c r="P249" s="202"/>
      <c r="Q249" s="202"/>
      <c r="R249" s="1">
        <f t="shared" ref="R249:V256" si="29" xml:space="preserve"> R98 * R$195</f>
        <v>0</v>
      </c>
      <c r="S249" s="1">
        <f t="shared" si="29"/>
        <v>0</v>
      </c>
      <c r="T249" s="1">
        <f t="shared" si="29"/>
        <v>0</v>
      </c>
      <c r="U249" s="1">
        <f t="shared" si="29"/>
        <v>0</v>
      </c>
      <c r="V249" s="1">
        <f t="shared" si="29"/>
        <v>0</v>
      </c>
      <c r="W249" s="4">
        <f xml:space="preserve"> SUM( R249:V249 )</f>
        <v>0</v>
      </c>
    </row>
    <row r="250" spans="4:23" ht="15" customHeight="1">
      <c r="D250" s="85" t="str">
        <f xml:space="preserve"> '2.1 Model setup'!K81</f>
        <v>5.2 Øvrige omkostninger</v>
      </c>
      <c r="K250" s="5" t="str">
        <f t="shared" si="26"/>
        <v>DKKt</v>
      </c>
      <c r="L250" s="85"/>
      <c r="O250" s="202"/>
      <c r="P250" s="202"/>
      <c r="Q250" s="202"/>
      <c r="R250" s="1">
        <f t="shared" si="29"/>
        <v>0</v>
      </c>
      <c r="S250" s="1">
        <f t="shared" si="29"/>
        <v>0</v>
      </c>
      <c r="T250" s="1">
        <f t="shared" si="29"/>
        <v>0</v>
      </c>
      <c r="U250" s="1">
        <f t="shared" si="29"/>
        <v>0</v>
      </c>
      <c r="V250" s="1">
        <f t="shared" si="29"/>
        <v>0</v>
      </c>
      <c r="W250" s="4">
        <f t="shared" si="28"/>
        <v>0</v>
      </c>
    </row>
    <row r="251" spans="4:23" ht="15" customHeight="1">
      <c r="D251" s="85" t="str">
        <f xml:space="preserve"> '2.1 Model setup'!K82</f>
        <v>6.1 Afskrivninger på transformerstationer</v>
      </c>
      <c r="K251" s="5" t="str">
        <f t="shared" si="26"/>
        <v>DKKt</v>
      </c>
      <c r="L251" s="85"/>
      <c r="O251" s="202"/>
      <c r="P251" s="202"/>
      <c r="Q251" s="202"/>
      <c r="R251" s="1">
        <f t="shared" si="29"/>
        <v>0</v>
      </c>
      <c r="S251" s="1">
        <f t="shared" si="29"/>
        <v>0</v>
      </c>
      <c r="T251" s="1">
        <f t="shared" si="29"/>
        <v>0</v>
      </c>
      <c r="U251" s="1">
        <f t="shared" si="29"/>
        <v>0</v>
      </c>
      <c r="V251" s="1">
        <f t="shared" si="29"/>
        <v>0</v>
      </c>
      <c r="W251" s="4">
        <f t="shared" si="28"/>
        <v>0</v>
      </c>
    </row>
    <row r="252" spans="4:23" ht="15" customHeight="1">
      <c r="D252" s="85" t="str">
        <f xml:space="preserve"> '2.1 Model setup'!K83</f>
        <v>6.2 Afskrivninger på netaktiver ekskl. målere og transformerstationer</v>
      </c>
      <c r="K252" s="5" t="str">
        <f t="shared" si="26"/>
        <v>DKKt</v>
      </c>
      <c r="L252" s="85"/>
      <c r="O252" s="202"/>
      <c r="P252" s="202"/>
      <c r="Q252" s="202"/>
      <c r="R252" s="1">
        <f t="shared" si="29"/>
        <v>0</v>
      </c>
      <c r="S252" s="1">
        <f t="shared" si="29"/>
        <v>0</v>
      </c>
      <c r="T252" s="1">
        <f t="shared" si="29"/>
        <v>0</v>
      </c>
      <c r="U252" s="1">
        <f t="shared" si="29"/>
        <v>0</v>
      </c>
      <c r="V252" s="1">
        <f t="shared" si="29"/>
        <v>0</v>
      </c>
      <c r="W252" s="4">
        <f t="shared" si="28"/>
        <v>0</v>
      </c>
    </row>
    <row r="253" spans="4:23" ht="15" customHeight="1">
      <c r="D253" s="85" t="str">
        <f xml:space="preserve"> '2.1 Model setup'!K84</f>
        <v>6.3 Afskrivninger på målere</v>
      </c>
      <c r="K253" s="5" t="str">
        <f t="shared" si="26"/>
        <v>DKKt</v>
      </c>
      <c r="L253" s="85"/>
      <c r="O253" s="202"/>
      <c r="P253" s="202"/>
      <c r="Q253" s="202"/>
      <c r="R253" s="1">
        <f t="shared" si="29"/>
        <v>0</v>
      </c>
      <c r="S253" s="1">
        <f t="shared" si="29"/>
        <v>0</v>
      </c>
      <c r="T253" s="1">
        <f t="shared" si="29"/>
        <v>0</v>
      </c>
      <c r="U253" s="1">
        <f t="shared" si="29"/>
        <v>0</v>
      </c>
      <c r="V253" s="1">
        <f t="shared" si="29"/>
        <v>0</v>
      </c>
      <c r="W253" s="4">
        <f t="shared" si="28"/>
        <v>0</v>
      </c>
    </row>
    <row r="254" spans="4:23" ht="15" customHeight="1">
      <c r="D254" s="85" t="str">
        <f xml:space="preserve"> '2.1 Model setup'!K85</f>
        <v>7.1 Transformerstationer (forrentning)</v>
      </c>
      <c r="K254" s="5" t="str">
        <f t="shared" si="26"/>
        <v>DKKt</v>
      </c>
      <c r="L254" s="85"/>
      <c r="O254" s="202"/>
      <c r="P254" s="202"/>
      <c r="Q254" s="202"/>
      <c r="R254" s="1">
        <f t="shared" si="29"/>
        <v>0</v>
      </c>
      <c r="S254" s="1">
        <f t="shared" si="29"/>
        <v>0</v>
      </c>
      <c r="T254" s="1">
        <f t="shared" si="29"/>
        <v>0</v>
      </c>
      <c r="U254" s="1">
        <f t="shared" si="29"/>
        <v>0</v>
      </c>
      <c r="V254" s="1">
        <f t="shared" si="29"/>
        <v>0</v>
      </c>
      <c r="W254" s="4">
        <f t="shared" si="28"/>
        <v>0</v>
      </c>
    </row>
    <row r="255" spans="4:23" ht="15" customHeight="1">
      <c r="D255" s="85" t="str">
        <f xml:space="preserve"> '2.1 Model setup'!K86</f>
        <v>7.2 Netaktiver ekskl. målere og transformerstationer (forrentning)</v>
      </c>
      <c r="K255" s="5" t="str">
        <f t="shared" si="26"/>
        <v>DKKt</v>
      </c>
      <c r="L255" s="85"/>
      <c r="O255" s="202"/>
      <c r="P255" s="202"/>
      <c r="Q255" s="202"/>
      <c r="R255" s="1">
        <f t="shared" si="29"/>
        <v>0</v>
      </c>
      <c r="S255" s="1">
        <f t="shared" si="29"/>
        <v>0</v>
      </c>
      <c r="T255" s="1">
        <f t="shared" si="29"/>
        <v>0</v>
      </c>
      <c r="U255" s="1">
        <f t="shared" si="29"/>
        <v>0</v>
      </c>
      <c r="V255" s="1">
        <f t="shared" si="29"/>
        <v>0</v>
      </c>
      <c r="W255" s="4">
        <f t="shared" si="28"/>
        <v>0</v>
      </c>
    </row>
    <row r="256" spans="4:23" ht="15" customHeight="1">
      <c r="D256" s="99" t="str">
        <f xml:space="preserve"> '2.1 Model setup'!K87</f>
        <v>7.3 Målere (forrentning)</v>
      </c>
      <c r="E256" s="27"/>
      <c r="F256" s="27"/>
      <c r="G256" s="27"/>
      <c r="H256" s="27"/>
      <c r="I256" s="27"/>
      <c r="J256" s="27"/>
      <c r="K256" s="32" t="str">
        <f t="shared" si="26"/>
        <v>DKKt</v>
      </c>
      <c r="L256" s="99"/>
      <c r="M256" s="27"/>
      <c r="N256" s="27"/>
      <c r="O256" s="269"/>
      <c r="P256" s="269"/>
      <c r="Q256" s="269"/>
      <c r="R256" s="27">
        <f t="shared" si="29"/>
        <v>0</v>
      </c>
      <c r="S256" s="27">
        <f t="shared" si="29"/>
        <v>0</v>
      </c>
      <c r="T256" s="27">
        <f t="shared" si="29"/>
        <v>0</v>
      </c>
      <c r="U256" s="27">
        <f t="shared" si="29"/>
        <v>0</v>
      </c>
      <c r="V256" s="27">
        <f t="shared" si="29"/>
        <v>0</v>
      </c>
      <c r="W256" s="35">
        <f t="shared" si="28"/>
        <v>0</v>
      </c>
    </row>
    <row r="258" spans="4:23" ht="15" customHeight="1">
      <c r="D258" s="35" t="s">
        <v>496</v>
      </c>
      <c r="E258" s="27"/>
      <c r="F258" s="27"/>
      <c r="G258" s="27"/>
      <c r="H258" s="27"/>
      <c r="I258" s="27"/>
      <c r="J258" s="27"/>
      <c r="K258" s="32"/>
      <c r="L258" s="27"/>
      <c r="M258" s="27"/>
      <c r="N258" s="27"/>
      <c r="O258" s="27"/>
      <c r="P258" s="27"/>
      <c r="Q258" s="27"/>
      <c r="R258" s="27"/>
      <c r="S258" s="27"/>
      <c r="T258" s="27"/>
      <c r="U258" s="27"/>
      <c r="V258" s="27"/>
      <c r="W258" s="185" t="s">
        <v>16</v>
      </c>
    </row>
    <row r="259" spans="4:23" ht="15" customHeight="1">
      <c r="D259" s="85" t="str">
        <f xml:space="preserve"> '2.1 Model setup'!K70</f>
        <v>1.1 Drift og vedligeholdelse af transformerstationer</v>
      </c>
      <c r="K259" s="5" t="str">
        <f t="shared" ref="K259:K276" si="30" xml:space="preserve"> Model.Units</f>
        <v>DKKt</v>
      </c>
      <c r="L259" s="85"/>
      <c r="O259" s="202"/>
      <c r="P259" s="202"/>
      <c r="Q259" s="202"/>
      <c r="R259" s="1">
        <f t="shared" ref="R259:V268" si="31" xml:space="preserve"> R88 * R$196</f>
        <v>0</v>
      </c>
      <c r="S259" s="1">
        <f t="shared" si="31"/>
        <v>0</v>
      </c>
      <c r="T259" s="1">
        <f t="shared" si="31"/>
        <v>0</v>
      </c>
      <c r="U259" s="1">
        <f t="shared" si="31"/>
        <v>0</v>
      </c>
      <c r="V259" s="1">
        <f t="shared" si="31"/>
        <v>0</v>
      </c>
      <c r="W259" s="4">
        <f t="shared" ref="W259:W276" si="32" xml:space="preserve"> SUM( R259:V259 )</f>
        <v>0</v>
      </c>
    </row>
    <row r="260" spans="4:23" ht="15" customHeight="1">
      <c r="D260" s="85" t="str">
        <f xml:space="preserve"> '2.1 Model setup'!K71</f>
        <v>1.2 Drift og vedligeholdelse af ledningsnet</v>
      </c>
      <c r="K260" s="5" t="str">
        <f t="shared" si="30"/>
        <v>DKKt</v>
      </c>
      <c r="L260" s="85"/>
      <c r="O260" s="202"/>
      <c r="P260" s="202"/>
      <c r="Q260" s="202"/>
      <c r="R260" s="1">
        <f t="shared" si="31"/>
        <v>0</v>
      </c>
      <c r="S260" s="1">
        <f t="shared" si="31"/>
        <v>0</v>
      </c>
      <c r="T260" s="1">
        <f t="shared" si="31"/>
        <v>0</v>
      </c>
      <c r="U260" s="1">
        <f t="shared" si="31"/>
        <v>0</v>
      </c>
      <c r="V260" s="1">
        <f t="shared" si="31"/>
        <v>0</v>
      </c>
      <c r="W260" s="4">
        <f t="shared" si="32"/>
        <v>0</v>
      </c>
    </row>
    <row r="261" spans="4:23" ht="15" customHeight="1">
      <c r="D261" s="85" t="str">
        <f xml:space="preserve"> '2.1 Model setup'!K72</f>
        <v>1.3 Øvrige omkostninger til drift, styring og kontrol af elnettet</v>
      </c>
      <c r="K261" s="5" t="str">
        <f t="shared" si="30"/>
        <v>DKKt</v>
      </c>
      <c r="L261" s="85"/>
      <c r="O261" s="202"/>
      <c r="P261" s="202"/>
      <c r="Q261" s="202"/>
      <c r="R261" s="1">
        <f t="shared" si="31"/>
        <v>0</v>
      </c>
      <c r="S261" s="1">
        <f t="shared" si="31"/>
        <v>0</v>
      </c>
      <c r="T261" s="1">
        <f t="shared" si="31"/>
        <v>0</v>
      </c>
      <c r="U261" s="1">
        <f t="shared" si="31"/>
        <v>0</v>
      </c>
      <c r="V261" s="1">
        <f t="shared" si="31"/>
        <v>0</v>
      </c>
      <c r="W261" s="4">
        <f t="shared" si="32"/>
        <v>0</v>
      </c>
    </row>
    <row r="262" spans="4:23" ht="15" customHeight="1">
      <c r="D262" s="85" t="str">
        <f xml:space="preserve"> '2.1 Model setup'!K73</f>
        <v>1.4 Omkostninger vedrørende 132-150/30-60 kV-stationer</v>
      </c>
      <c r="K262" s="5" t="str">
        <f t="shared" si="30"/>
        <v>DKKt</v>
      </c>
      <c r="L262" s="85"/>
      <c r="O262" s="202"/>
      <c r="P262" s="202"/>
      <c r="Q262" s="202"/>
      <c r="R262" s="1">
        <f t="shared" si="31"/>
        <v>0</v>
      </c>
      <c r="S262" s="1">
        <f t="shared" si="31"/>
        <v>0</v>
      </c>
      <c r="T262" s="1">
        <f t="shared" si="31"/>
        <v>0</v>
      </c>
      <c r="U262" s="1">
        <f t="shared" si="31"/>
        <v>0</v>
      </c>
      <c r="V262" s="1">
        <f t="shared" si="31"/>
        <v>0</v>
      </c>
      <c r="W262" s="4">
        <f xml:space="preserve"> SUM( R262:V262 )</f>
        <v>0</v>
      </c>
    </row>
    <row r="263" spans="4:23" ht="15" customHeight="1">
      <c r="D263" s="85" t="str">
        <f xml:space="preserve"> '2.1 Model setup'!K74</f>
        <v>2.1 Drift og vedligeholdelse af målere</v>
      </c>
      <c r="K263" s="5" t="str">
        <f t="shared" si="30"/>
        <v>DKKt</v>
      </c>
      <c r="L263" s="85"/>
      <c r="O263" s="202"/>
      <c r="P263" s="202"/>
      <c r="Q263" s="202"/>
      <c r="R263" s="1">
        <f t="shared" si="31"/>
        <v>0</v>
      </c>
      <c r="S263" s="1">
        <f t="shared" si="31"/>
        <v>0</v>
      </c>
      <c r="T263" s="1">
        <f t="shared" si="31"/>
        <v>0</v>
      </c>
      <c r="U263" s="1">
        <f t="shared" si="31"/>
        <v>0</v>
      </c>
      <c r="V263" s="1">
        <f t="shared" si="31"/>
        <v>0</v>
      </c>
      <c r="W263" s="4">
        <f t="shared" si="32"/>
        <v>0</v>
      </c>
    </row>
    <row r="264" spans="4:23" ht="15" customHeight="1">
      <c r="D264" s="85" t="str">
        <f xml:space="preserve"> '2.1 Model setup'!K75</f>
        <v>2.2 Indhentning og validering af målerdata</v>
      </c>
      <c r="K264" s="5" t="str">
        <f t="shared" si="30"/>
        <v>DKKt</v>
      </c>
      <c r="L264" s="85"/>
      <c r="O264" s="202"/>
      <c r="P264" s="202"/>
      <c r="Q264" s="202"/>
      <c r="R264" s="1">
        <f t="shared" si="31"/>
        <v>0</v>
      </c>
      <c r="S264" s="1">
        <f t="shared" si="31"/>
        <v>0</v>
      </c>
      <c r="T264" s="1">
        <f t="shared" si="31"/>
        <v>0</v>
      </c>
      <c r="U264" s="1">
        <f t="shared" si="31"/>
        <v>0</v>
      </c>
      <c r="V264" s="1">
        <f t="shared" si="31"/>
        <v>0</v>
      </c>
      <c r="W264" s="4">
        <f t="shared" si="32"/>
        <v>0</v>
      </c>
    </row>
    <row r="265" spans="4:23" ht="15" customHeight="1">
      <c r="D265" s="85" t="str">
        <f xml:space="preserve"> '2.1 Model setup'!K76</f>
        <v>2.3 Måleradministration og kundehåndtering</v>
      </c>
      <c r="K265" s="5" t="str">
        <f t="shared" si="30"/>
        <v>DKKt</v>
      </c>
      <c r="L265" s="85"/>
      <c r="O265" s="202"/>
      <c r="P265" s="202"/>
      <c r="Q265" s="202"/>
      <c r="R265" s="1">
        <f t="shared" si="31"/>
        <v>0</v>
      </c>
      <c r="S265" s="1">
        <f t="shared" si="31"/>
        <v>0</v>
      </c>
      <c r="T265" s="1">
        <f t="shared" si="31"/>
        <v>0</v>
      </c>
      <c r="U265" s="1">
        <f t="shared" si="31"/>
        <v>0</v>
      </c>
      <c r="V265" s="1">
        <f t="shared" si="31"/>
        <v>0</v>
      </c>
      <c r="W265" s="4">
        <f t="shared" si="32"/>
        <v>0</v>
      </c>
    </row>
    <row r="266" spans="4:23" ht="15" customHeight="1">
      <c r="D266" s="85" t="str">
        <f xml:space="preserve"> '2.1 Model setup'!K77</f>
        <v>3.1 Generel administration</v>
      </c>
      <c r="K266" s="5" t="str">
        <f t="shared" si="30"/>
        <v>DKKt</v>
      </c>
      <c r="L266" s="85"/>
      <c r="O266" s="202"/>
      <c r="P266" s="202"/>
      <c r="Q266" s="202"/>
      <c r="R266" s="1">
        <f t="shared" si="31"/>
        <v>0</v>
      </c>
      <c r="S266" s="1">
        <f t="shared" si="31"/>
        <v>0</v>
      </c>
      <c r="T266" s="1">
        <f t="shared" si="31"/>
        <v>0</v>
      </c>
      <c r="U266" s="1">
        <f t="shared" si="31"/>
        <v>0</v>
      </c>
      <c r="V266" s="1">
        <f t="shared" si="31"/>
        <v>0</v>
      </c>
      <c r="W266" s="4">
        <f t="shared" si="32"/>
        <v>0</v>
      </c>
    </row>
    <row r="267" spans="4:23" ht="15" customHeight="1">
      <c r="D267" s="85" t="str">
        <f xml:space="preserve"> '2.1 Model setup'!K78</f>
        <v>4.1 Omkostninger vedrørende nettab i transformerstationer</v>
      </c>
      <c r="K267" s="5" t="str">
        <f t="shared" si="30"/>
        <v>DKKt</v>
      </c>
      <c r="L267" s="85"/>
      <c r="O267" s="202"/>
      <c r="P267" s="202"/>
      <c r="Q267" s="202"/>
      <c r="R267" s="1">
        <f t="shared" si="31"/>
        <v>0</v>
      </c>
      <c r="S267" s="1">
        <f t="shared" si="31"/>
        <v>0</v>
      </c>
      <c r="T267" s="1">
        <f t="shared" si="31"/>
        <v>0</v>
      </c>
      <c r="U267" s="1">
        <f t="shared" si="31"/>
        <v>0</v>
      </c>
      <c r="V267" s="1">
        <f t="shared" si="31"/>
        <v>0</v>
      </c>
      <c r="W267" s="4">
        <f t="shared" si="32"/>
        <v>0</v>
      </c>
    </row>
    <row r="268" spans="4:23" ht="15" customHeight="1">
      <c r="D268" s="85" t="str">
        <f xml:space="preserve"> '2.1 Model setup'!K79</f>
        <v>4.2 Omkostninger vedrørende nettab i ledningsnettet</v>
      </c>
      <c r="K268" s="5" t="str">
        <f t="shared" si="30"/>
        <v>DKKt</v>
      </c>
      <c r="L268" s="85"/>
      <c r="O268" s="202"/>
      <c r="P268" s="202"/>
      <c r="Q268" s="202"/>
      <c r="R268" s="1">
        <f t="shared" si="31"/>
        <v>0</v>
      </c>
      <c r="S268" s="1">
        <f t="shared" si="31"/>
        <v>0</v>
      </c>
      <c r="T268" s="1">
        <f t="shared" si="31"/>
        <v>0</v>
      </c>
      <c r="U268" s="1">
        <f t="shared" si="31"/>
        <v>0</v>
      </c>
      <c r="V268" s="1">
        <f t="shared" si="31"/>
        <v>0</v>
      </c>
      <c r="W268" s="4">
        <f t="shared" si="32"/>
        <v>0</v>
      </c>
    </row>
    <row r="269" spans="4:23" ht="15" customHeight="1">
      <c r="D269" s="85" t="str">
        <f xml:space="preserve"> '2.1 Model setup'!K80</f>
        <v>5.1 Omkostninger til overliggende net ifm. forbrug</v>
      </c>
      <c r="K269" s="5" t="str">
        <f t="shared" si="30"/>
        <v>DKKt</v>
      </c>
      <c r="L269" s="85"/>
      <c r="O269" s="202"/>
      <c r="P269" s="202"/>
      <c r="Q269" s="202"/>
      <c r="R269" s="1">
        <f t="shared" ref="R269:V276" si="33" xml:space="preserve"> R98 * R$196</f>
        <v>0</v>
      </c>
      <c r="S269" s="1">
        <f t="shared" si="33"/>
        <v>0</v>
      </c>
      <c r="T269" s="1">
        <f t="shared" si="33"/>
        <v>0</v>
      </c>
      <c r="U269" s="1">
        <f t="shared" si="33"/>
        <v>0</v>
      </c>
      <c r="V269" s="1">
        <f t="shared" si="33"/>
        <v>0</v>
      </c>
      <c r="W269" s="4">
        <f xml:space="preserve"> SUM( R269:V269 )</f>
        <v>0</v>
      </c>
    </row>
    <row r="270" spans="4:23" ht="15" customHeight="1">
      <c r="D270" s="85" t="str">
        <f xml:space="preserve"> '2.1 Model setup'!K81</f>
        <v>5.2 Øvrige omkostninger</v>
      </c>
      <c r="K270" s="5" t="str">
        <f t="shared" si="30"/>
        <v>DKKt</v>
      </c>
      <c r="L270" s="85"/>
      <c r="O270" s="202"/>
      <c r="P270" s="202"/>
      <c r="Q270" s="202"/>
      <c r="R270" s="1">
        <f t="shared" si="33"/>
        <v>0</v>
      </c>
      <c r="S270" s="1">
        <f t="shared" si="33"/>
        <v>0</v>
      </c>
      <c r="T270" s="1">
        <f t="shared" si="33"/>
        <v>0</v>
      </c>
      <c r="U270" s="1">
        <f t="shared" si="33"/>
        <v>0</v>
      </c>
      <c r="V270" s="1">
        <f t="shared" si="33"/>
        <v>0</v>
      </c>
      <c r="W270" s="4">
        <f t="shared" si="32"/>
        <v>0</v>
      </c>
    </row>
    <row r="271" spans="4:23" ht="15" customHeight="1">
      <c r="D271" s="85" t="str">
        <f xml:space="preserve"> '2.1 Model setup'!K82</f>
        <v>6.1 Afskrivninger på transformerstationer</v>
      </c>
      <c r="K271" s="5" t="str">
        <f t="shared" si="30"/>
        <v>DKKt</v>
      </c>
      <c r="L271" s="85"/>
      <c r="O271" s="202"/>
      <c r="P271" s="202"/>
      <c r="Q271" s="202"/>
      <c r="R271" s="1">
        <f t="shared" si="33"/>
        <v>0</v>
      </c>
      <c r="S271" s="1">
        <f t="shared" si="33"/>
        <v>0</v>
      </c>
      <c r="T271" s="1">
        <f t="shared" si="33"/>
        <v>0</v>
      </c>
      <c r="U271" s="1">
        <f t="shared" si="33"/>
        <v>0</v>
      </c>
      <c r="V271" s="1">
        <f t="shared" si="33"/>
        <v>0</v>
      </c>
      <c r="W271" s="4">
        <f t="shared" si="32"/>
        <v>0</v>
      </c>
    </row>
    <row r="272" spans="4:23" ht="15" customHeight="1">
      <c r="D272" s="85" t="str">
        <f xml:space="preserve"> '2.1 Model setup'!K83</f>
        <v>6.2 Afskrivninger på netaktiver ekskl. målere og transformerstationer</v>
      </c>
      <c r="K272" s="5" t="str">
        <f t="shared" si="30"/>
        <v>DKKt</v>
      </c>
      <c r="L272" s="85"/>
      <c r="O272" s="202"/>
      <c r="P272" s="202"/>
      <c r="Q272" s="202"/>
      <c r="R272" s="1">
        <f t="shared" si="33"/>
        <v>0</v>
      </c>
      <c r="S272" s="1">
        <f t="shared" si="33"/>
        <v>0</v>
      </c>
      <c r="T272" s="1">
        <f t="shared" si="33"/>
        <v>0</v>
      </c>
      <c r="U272" s="1">
        <f t="shared" si="33"/>
        <v>0</v>
      </c>
      <c r="V272" s="1">
        <f t="shared" si="33"/>
        <v>0</v>
      </c>
      <c r="W272" s="4">
        <f t="shared" si="32"/>
        <v>0</v>
      </c>
    </row>
    <row r="273" spans="4:23" ht="15" customHeight="1">
      <c r="D273" s="85" t="str">
        <f xml:space="preserve"> '2.1 Model setup'!K84</f>
        <v>6.3 Afskrivninger på målere</v>
      </c>
      <c r="K273" s="5" t="str">
        <f t="shared" si="30"/>
        <v>DKKt</v>
      </c>
      <c r="L273" s="85"/>
      <c r="O273" s="202"/>
      <c r="P273" s="202"/>
      <c r="Q273" s="202"/>
      <c r="R273" s="1">
        <f t="shared" si="33"/>
        <v>0</v>
      </c>
      <c r="S273" s="1">
        <f t="shared" si="33"/>
        <v>0</v>
      </c>
      <c r="T273" s="1">
        <f t="shared" si="33"/>
        <v>0</v>
      </c>
      <c r="U273" s="1">
        <f t="shared" si="33"/>
        <v>0</v>
      </c>
      <c r="V273" s="1">
        <f t="shared" si="33"/>
        <v>0</v>
      </c>
      <c r="W273" s="4">
        <f t="shared" si="32"/>
        <v>0</v>
      </c>
    </row>
    <row r="274" spans="4:23" ht="15" customHeight="1">
      <c r="D274" s="85" t="str">
        <f xml:space="preserve"> '2.1 Model setup'!K85</f>
        <v>7.1 Transformerstationer (forrentning)</v>
      </c>
      <c r="K274" s="5" t="str">
        <f t="shared" si="30"/>
        <v>DKKt</v>
      </c>
      <c r="L274" s="85"/>
      <c r="O274" s="202"/>
      <c r="P274" s="202"/>
      <c r="Q274" s="202"/>
      <c r="R274" s="1">
        <f t="shared" si="33"/>
        <v>0</v>
      </c>
      <c r="S274" s="1">
        <f t="shared" si="33"/>
        <v>0</v>
      </c>
      <c r="T274" s="1">
        <f t="shared" si="33"/>
        <v>0</v>
      </c>
      <c r="U274" s="1">
        <f t="shared" si="33"/>
        <v>0</v>
      </c>
      <c r="V274" s="1">
        <f t="shared" si="33"/>
        <v>0</v>
      </c>
      <c r="W274" s="4">
        <f t="shared" si="32"/>
        <v>0</v>
      </c>
    </row>
    <row r="275" spans="4:23" ht="15" customHeight="1">
      <c r="D275" s="85" t="str">
        <f xml:space="preserve"> '2.1 Model setup'!K86</f>
        <v>7.2 Netaktiver ekskl. målere og transformerstationer (forrentning)</v>
      </c>
      <c r="K275" s="5" t="str">
        <f t="shared" si="30"/>
        <v>DKKt</v>
      </c>
      <c r="L275" s="85"/>
      <c r="O275" s="202"/>
      <c r="P275" s="202"/>
      <c r="Q275" s="202"/>
      <c r="R275" s="1">
        <f t="shared" si="33"/>
        <v>0</v>
      </c>
      <c r="S275" s="1">
        <f t="shared" si="33"/>
        <v>0</v>
      </c>
      <c r="T275" s="1">
        <f t="shared" si="33"/>
        <v>0</v>
      </c>
      <c r="U275" s="1">
        <f t="shared" si="33"/>
        <v>0</v>
      </c>
      <c r="V275" s="1">
        <f t="shared" si="33"/>
        <v>0</v>
      </c>
      <c r="W275" s="4">
        <f t="shared" si="32"/>
        <v>0</v>
      </c>
    </row>
    <row r="276" spans="4:23" ht="15" customHeight="1">
      <c r="D276" s="99" t="str">
        <f xml:space="preserve"> '2.1 Model setup'!K87</f>
        <v>7.3 Målere (forrentning)</v>
      </c>
      <c r="E276" s="27"/>
      <c r="F276" s="27"/>
      <c r="G276" s="27"/>
      <c r="H276" s="27"/>
      <c r="I276" s="27"/>
      <c r="J276" s="27"/>
      <c r="K276" s="32" t="str">
        <f t="shared" si="30"/>
        <v>DKKt</v>
      </c>
      <c r="L276" s="99"/>
      <c r="M276" s="27"/>
      <c r="N276" s="27"/>
      <c r="O276" s="269"/>
      <c r="P276" s="269"/>
      <c r="Q276" s="269"/>
      <c r="R276" s="27">
        <f t="shared" si="33"/>
        <v>0</v>
      </c>
      <c r="S276" s="27">
        <f t="shared" si="33"/>
        <v>0</v>
      </c>
      <c r="T276" s="27">
        <f t="shared" si="33"/>
        <v>0</v>
      </c>
      <c r="U276" s="27">
        <f t="shared" si="33"/>
        <v>0</v>
      </c>
      <c r="V276" s="27">
        <f t="shared" si="33"/>
        <v>0</v>
      </c>
      <c r="W276" s="35">
        <f t="shared" si="32"/>
        <v>0</v>
      </c>
    </row>
    <row r="278" spans="4:23" ht="15" customHeight="1">
      <c r="D278" s="35" t="s">
        <v>497</v>
      </c>
      <c r="E278" s="27"/>
      <c r="F278" s="27"/>
      <c r="G278" s="27"/>
      <c r="H278" s="27"/>
      <c r="I278" s="27"/>
      <c r="J278" s="27"/>
      <c r="K278" s="32"/>
      <c r="L278" s="27"/>
      <c r="M278" s="27"/>
      <c r="N278" s="27"/>
      <c r="O278" s="27"/>
      <c r="P278" s="27"/>
      <c r="Q278" s="27"/>
      <c r="R278" s="27"/>
      <c r="S278" s="27"/>
      <c r="T278" s="27"/>
      <c r="U278" s="27"/>
      <c r="V278" s="27"/>
      <c r="W278" s="185" t="s">
        <v>16</v>
      </c>
    </row>
    <row r="279" spans="4:23" ht="15" customHeight="1">
      <c r="D279" s="85" t="str">
        <f xml:space="preserve"> '2.1 Model setup'!K70</f>
        <v>1.1 Drift og vedligeholdelse af transformerstationer</v>
      </c>
      <c r="K279" s="5" t="str">
        <f t="shared" ref="K279:K296" si="34" xml:space="preserve"> Model.Units</f>
        <v>DKKt</v>
      </c>
      <c r="L279" s="85">
        <f t="shared" ref="L279:L296" si="35" xml:space="preserve"> -- ( W279 &lt;&gt; 1 ) * ( W199 &gt; 0 )</f>
        <v>0</v>
      </c>
      <c r="O279" s="202"/>
      <c r="P279" s="202"/>
      <c r="Q279" s="202"/>
      <c r="R279" s="181">
        <f t="shared" ref="R279:V280" si="36" xml:space="preserve"> IF( $W199 = 0, 0, R199 / $W199)</f>
        <v>0</v>
      </c>
      <c r="S279" s="181">
        <f t="shared" si="36"/>
        <v>0</v>
      </c>
      <c r="T279" s="181">
        <f t="shared" si="36"/>
        <v>0</v>
      </c>
      <c r="U279" s="181">
        <f t="shared" si="36"/>
        <v>0</v>
      </c>
      <c r="V279" s="181">
        <f t="shared" si="36"/>
        <v>0</v>
      </c>
      <c r="W279" s="198">
        <f t="shared" ref="W279:W296" si="37" xml:space="preserve"> SUM( R279:V279 )</f>
        <v>0</v>
      </c>
    </row>
    <row r="280" spans="4:23" ht="15" customHeight="1">
      <c r="D280" s="85" t="str">
        <f xml:space="preserve"> '2.1 Model setup'!K71</f>
        <v>1.2 Drift og vedligeholdelse af ledningsnet</v>
      </c>
      <c r="K280" s="5" t="str">
        <f t="shared" si="34"/>
        <v>DKKt</v>
      </c>
      <c r="L280" s="85">
        <f t="shared" si="35"/>
        <v>0</v>
      </c>
      <c r="O280" s="202"/>
      <c r="P280" s="202"/>
      <c r="Q280" s="202"/>
      <c r="R280" s="181">
        <f t="shared" si="36"/>
        <v>0</v>
      </c>
      <c r="S280" s="181">
        <f t="shared" si="36"/>
        <v>0</v>
      </c>
      <c r="T280" s="181">
        <f t="shared" si="36"/>
        <v>0</v>
      </c>
      <c r="U280" s="181">
        <f t="shared" si="36"/>
        <v>0</v>
      </c>
      <c r="V280" s="181">
        <f t="shared" si="36"/>
        <v>0</v>
      </c>
      <c r="W280" s="198">
        <f t="shared" si="37"/>
        <v>0</v>
      </c>
    </row>
    <row r="281" spans="4:23" ht="15" customHeight="1">
      <c r="D281" s="85" t="str">
        <f xml:space="preserve"> '2.1 Model setup'!K72</f>
        <v>1.3 Øvrige omkostninger til drift, styring og kontrol af elnettet</v>
      </c>
      <c r="K281" s="5" t="str">
        <f t="shared" si="34"/>
        <v>DKKt</v>
      </c>
      <c r="L281" s="85">
        <f t="shared" si="35"/>
        <v>0</v>
      </c>
      <c r="O281" s="202"/>
      <c r="P281" s="202"/>
      <c r="Q281" s="202"/>
      <c r="R281" s="181">
        <f t="shared" ref="R281:V282" si="38" xml:space="preserve"> IF( $W201 = 0, 0, R201 / $W201)</f>
        <v>0</v>
      </c>
      <c r="S281" s="181">
        <f t="shared" si="38"/>
        <v>0</v>
      </c>
      <c r="T281" s="181">
        <f t="shared" si="38"/>
        <v>0</v>
      </c>
      <c r="U281" s="181">
        <f t="shared" si="38"/>
        <v>0</v>
      </c>
      <c r="V281" s="181">
        <f t="shared" si="38"/>
        <v>0</v>
      </c>
      <c r="W281" s="198">
        <f t="shared" si="37"/>
        <v>0</v>
      </c>
    </row>
    <row r="282" spans="4:23" ht="15" customHeight="1">
      <c r="D282" s="85" t="str">
        <f xml:space="preserve"> '2.1 Model setup'!K73</f>
        <v>1.4 Omkostninger vedrørende 132-150/30-60 kV-stationer</v>
      </c>
      <c r="K282" s="5" t="str">
        <f t="shared" si="34"/>
        <v>DKKt</v>
      </c>
      <c r="L282" s="85">
        <f t="shared" si="35"/>
        <v>0</v>
      </c>
      <c r="O282" s="202"/>
      <c r="P282" s="202"/>
      <c r="Q282" s="202"/>
      <c r="R282" s="181">
        <f t="shared" si="38"/>
        <v>0</v>
      </c>
      <c r="S282" s="181">
        <f t="shared" si="38"/>
        <v>0</v>
      </c>
      <c r="T282" s="181">
        <f t="shared" si="38"/>
        <v>0</v>
      </c>
      <c r="U282" s="181">
        <f t="shared" si="38"/>
        <v>0</v>
      </c>
      <c r="V282" s="181">
        <f t="shared" si="38"/>
        <v>0</v>
      </c>
      <c r="W282" s="198">
        <f xml:space="preserve"> SUM( R282:V282 )</f>
        <v>0</v>
      </c>
    </row>
    <row r="283" spans="4:23" ht="15" customHeight="1">
      <c r="D283" s="85" t="str">
        <f xml:space="preserve"> '2.1 Model setup'!K74</f>
        <v>2.1 Drift og vedligeholdelse af målere</v>
      </c>
      <c r="K283" s="5" t="str">
        <f t="shared" si="34"/>
        <v>DKKt</v>
      </c>
      <c r="L283" s="85">
        <f t="shared" si="35"/>
        <v>0</v>
      </c>
      <c r="O283" s="202"/>
      <c r="P283" s="202"/>
      <c r="Q283" s="202"/>
      <c r="R283" s="181">
        <f t="shared" ref="R283:V296" si="39" xml:space="preserve"> IF( $W203 = 0, 0, R203 / $W203)</f>
        <v>0</v>
      </c>
      <c r="S283" s="181">
        <f t="shared" si="39"/>
        <v>0</v>
      </c>
      <c r="T283" s="181">
        <f t="shared" si="39"/>
        <v>0</v>
      </c>
      <c r="U283" s="181">
        <f t="shared" si="39"/>
        <v>0</v>
      </c>
      <c r="V283" s="181">
        <f t="shared" si="39"/>
        <v>0</v>
      </c>
      <c r="W283" s="198">
        <f t="shared" si="37"/>
        <v>0</v>
      </c>
    </row>
    <row r="284" spans="4:23" ht="15" customHeight="1">
      <c r="D284" s="85" t="str">
        <f xml:space="preserve"> '2.1 Model setup'!K75</f>
        <v>2.2 Indhentning og validering af målerdata</v>
      </c>
      <c r="K284" s="5" t="str">
        <f t="shared" si="34"/>
        <v>DKKt</v>
      </c>
      <c r="L284" s="85">
        <f t="shared" si="35"/>
        <v>0</v>
      </c>
      <c r="O284" s="202"/>
      <c r="P284" s="202"/>
      <c r="Q284" s="202"/>
      <c r="R284" s="181">
        <f t="shared" si="39"/>
        <v>0</v>
      </c>
      <c r="S284" s="181">
        <f t="shared" si="39"/>
        <v>0</v>
      </c>
      <c r="T284" s="181">
        <f t="shared" si="39"/>
        <v>0</v>
      </c>
      <c r="U284" s="181">
        <f t="shared" si="39"/>
        <v>0</v>
      </c>
      <c r="V284" s="181">
        <f t="shared" si="39"/>
        <v>0</v>
      </c>
      <c r="W284" s="198">
        <f t="shared" si="37"/>
        <v>0</v>
      </c>
    </row>
    <row r="285" spans="4:23" ht="15" customHeight="1">
      <c r="D285" s="85" t="str">
        <f xml:space="preserve"> '2.1 Model setup'!K76</f>
        <v>2.3 Måleradministration og kundehåndtering</v>
      </c>
      <c r="K285" s="5" t="str">
        <f t="shared" si="34"/>
        <v>DKKt</v>
      </c>
      <c r="L285" s="85">
        <f t="shared" si="35"/>
        <v>0</v>
      </c>
      <c r="O285" s="202"/>
      <c r="P285" s="202"/>
      <c r="Q285" s="202"/>
      <c r="R285" s="181">
        <f t="shared" si="39"/>
        <v>0</v>
      </c>
      <c r="S285" s="181">
        <f t="shared" si="39"/>
        <v>0</v>
      </c>
      <c r="T285" s="181">
        <f t="shared" si="39"/>
        <v>0</v>
      </c>
      <c r="U285" s="181">
        <f t="shared" si="39"/>
        <v>0</v>
      </c>
      <c r="V285" s="181">
        <f t="shared" si="39"/>
        <v>0</v>
      </c>
      <c r="W285" s="198">
        <f t="shared" si="37"/>
        <v>0</v>
      </c>
    </row>
    <row r="286" spans="4:23" ht="15" customHeight="1">
      <c r="D286" s="85" t="str">
        <f xml:space="preserve"> '2.1 Model setup'!K77</f>
        <v>3.1 Generel administration</v>
      </c>
      <c r="K286" s="5" t="str">
        <f t="shared" si="34"/>
        <v>DKKt</v>
      </c>
      <c r="L286" s="85">
        <f t="shared" si="35"/>
        <v>0</v>
      </c>
      <c r="O286" s="202"/>
      <c r="P286" s="202"/>
      <c r="Q286" s="202"/>
      <c r="R286" s="181">
        <f t="shared" si="39"/>
        <v>0</v>
      </c>
      <c r="S286" s="181">
        <f t="shared" si="39"/>
        <v>0</v>
      </c>
      <c r="T286" s="181">
        <f t="shared" si="39"/>
        <v>0</v>
      </c>
      <c r="U286" s="181">
        <f t="shared" si="39"/>
        <v>0</v>
      </c>
      <c r="V286" s="181">
        <f t="shared" si="39"/>
        <v>0</v>
      </c>
      <c r="W286" s="198">
        <f t="shared" si="37"/>
        <v>0</v>
      </c>
    </row>
    <row r="287" spans="4:23" ht="15" customHeight="1">
      <c r="D287" s="85" t="str">
        <f xml:space="preserve"> '2.1 Model setup'!K78</f>
        <v>4.1 Omkostninger vedrørende nettab i transformerstationer</v>
      </c>
      <c r="K287" s="5" t="str">
        <f t="shared" si="34"/>
        <v>DKKt</v>
      </c>
      <c r="L287" s="85">
        <f t="shared" si="35"/>
        <v>0</v>
      </c>
      <c r="O287" s="202"/>
      <c r="P287" s="202"/>
      <c r="Q287" s="202"/>
      <c r="R287" s="181">
        <f t="shared" si="39"/>
        <v>0</v>
      </c>
      <c r="S287" s="181">
        <f t="shared" si="39"/>
        <v>0</v>
      </c>
      <c r="T287" s="181">
        <f t="shared" si="39"/>
        <v>0</v>
      </c>
      <c r="U287" s="181">
        <f t="shared" si="39"/>
        <v>0</v>
      </c>
      <c r="V287" s="181">
        <f t="shared" si="39"/>
        <v>0</v>
      </c>
      <c r="W287" s="198">
        <f t="shared" si="37"/>
        <v>0</v>
      </c>
    </row>
    <row r="288" spans="4:23" ht="15" customHeight="1">
      <c r="D288" s="85" t="str">
        <f xml:space="preserve"> '2.1 Model setup'!K79</f>
        <v>4.2 Omkostninger vedrørende nettab i ledningsnettet</v>
      </c>
      <c r="K288" s="5" t="str">
        <f t="shared" si="34"/>
        <v>DKKt</v>
      </c>
      <c r="L288" s="85">
        <f t="shared" si="35"/>
        <v>0</v>
      </c>
      <c r="O288" s="202"/>
      <c r="P288" s="202"/>
      <c r="Q288" s="202"/>
      <c r="R288" s="181">
        <f t="shared" si="39"/>
        <v>0</v>
      </c>
      <c r="S288" s="181">
        <f t="shared" si="39"/>
        <v>0</v>
      </c>
      <c r="T288" s="181">
        <f t="shared" si="39"/>
        <v>0</v>
      </c>
      <c r="U288" s="181">
        <f t="shared" si="39"/>
        <v>0</v>
      </c>
      <c r="V288" s="181">
        <f t="shared" si="39"/>
        <v>0</v>
      </c>
      <c r="W288" s="198">
        <f t="shared" si="37"/>
        <v>0</v>
      </c>
    </row>
    <row r="289" spans="4:23" ht="15" customHeight="1">
      <c r="D289" s="85" t="str">
        <f xml:space="preserve"> '2.1 Model setup'!K80</f>
        <v>5.1 Omkostninger til overliggende net ifm. forbrug</v>
      </c>
      <c r="K289" s="5" t="str">
        <f t="shared" si="34"/>
        <v>DKKt</v>
      </c>
      <c r="L289" s="85">
        <f t="shared" si="35"/>
        <v>0</v>
      </c>
      <c r="O289" s="202"/>
      <c r="P289" s="202"/>
      <c r="Q289" s="202"/>
      <c r="R289" s="181">
        <f t="shared" si="39"/>
        <v>0</v>
      </c>
      <c r="S289" s="181">
        <f t="shared" si="39"/>
        <v>0</v>
      </c>
      <c r="T289" s="181">
        <f t="shared" si="39"/>
        <v>0</v>
      </c>
      <c r="U289" s="181">
        <f t="shared" si="39"/>
        <v>0</v>
      </c>
      <c r="V289" s="181">
        <f t="shared" si="39"/>
        <v>0</v>
      </c>
      <c r="W289" s="198">
        <f xml:space="preserve"> SUM( R289:V289 )</f>
        <v>0</v>
      </c>
    </row>
    <row r="290" spans="4:23" ht="15" customHeight="1">
      <c r="D290" s="85" t="str">
        <f xml:space="preserve"> '2.1 Model setup'!K81</f>
        <v>5.2 Øvrige omkostninger</v>
      </c>
      <c r="K290" s="5" t="str">
        <f t="shared" si="34"/>
        <v>DKKt</v>
      </c>
      <c r="L290" s="85">
        <f t="shared" si="35"/>
        <v>0</v>
      </c>
      <c r="O290" s="202"/>
      <c r="P290" s="202"/>
      <c r="Q290" s="202"/>
      <c r="R290" s="181">
        <f t="shared" si="39"/>
        <v>0</v>
      </c>
      <c r="S290" s="181">
        <f t="shared" si="39"/>
        <v>0</v>
      </c>
      <c r="T290" s="181">
        <f t="shared" si="39"/>
        <v>0</v>
      </c>
      <c r="U290" s="181">
        <f t="shared" si="39"/>
        <v>0</v>
      </c>
      <c r="V290" s="181">
        <f t="shared" si="39"/>
        <v>0</v>
      </c>
      <c r="W290" s="198">
        <f t="shared" si="37"/>
        <v>0</v>
      </c>
    </row>
    <row r="291" spans="4:23" ht="15" customHeight="1">
      <c r="D291" s="85" t="str">
        <f xml:space="preserve"> '2.1 Model setup'!K82</f>
        <v>6.1 Afskrivninger på transformerstationer</v>
      </c>
      <c r="K291" s="5" t="str">
        <f t="shared" si="34"/>
        <v>DKKt</v>
      </c>
      <c r="L291" s="85">
        <f t="shared" si="35"/>
        <v>0</v>
      </c>
      <c r="O291" s="202"/>
      <c r="P291" s="202"/>
      <c r="Q291" s="202"/>
      <c r="R291" s="181">
        <f t="shared" si="39"/>
        <v>0</v>
      </c>
      <c r="S291" s="181">
        <f t="shared" si="39"/>
        <v>0</v>
      </c>
      <c r="T291" s="181">
        <f t="shared" si="39"/>
        <v>0</v>
      </c>
      <c r="U291" s="181">
        <f t="shared" si="39"/>
        <v>0</v>
      </c>
      <c r="V291" s="181">
        <f t="shared" si="39"/>
        <v>0</v>
      </c>
      <c r="W291" s="198">
        <f t="shared" si="37"/>
        <v>0</v>
      </c>
    </row>
    <row r="292" spans="4:23" ht="15" customHeight="1">
      <c r="D292" s="85" t="str">
        <f xml:space="preserve"> '2.1 Model setup'!K83</f>
        <v>6.2 Afskrivninger på netaktiver ekskl. målere og transformerstationer</v>
      </c>
      <c r="K292" s="5" t="str">
        <f t="shared" si="34"/>
        <v>DKKt</v>
      </c>
      <c r="L292" s="85">
        <f t="shared" si="35"/>
        <v>0</v>
      </c>
      <c r="O292" s="202"/>
      <c r="P292" s="202"/>
      <c r="Q292" s="202"/>
      <c r="R292" s="181">
        <f t="shared" si="39"/>
        <v>0</v>
      </c>
      <c r="S292" s="181">
        <f t="shared" si="39"/>
        <v>0</v>
      </c>
      <c r="T292" s="181">
        <f t="shared" si="39"/>
        <v>0</v>
      </c>
      <c r="U292" s="181">
        <f t="shared" si="39"/>
        <v>0</v>
      </c>
      <c r="V292" s="181">
        <f t="shared" si="39"/>
        <v>0</v>
      </c>
      <c r="W292" s="198">
        <f t="shared" si="37"/>
        <v>0</v>
      </c>
    </row>
    <row r="293" spans="4:23" ht="15" customHeight="1">
      <c r="D293" s="85" t="str">
        <f xml:space="preserve"> '2.1 Model setup'!K84</f>
        <v>6.3 Afskrivninger på målere</v>
      </c>
      <c r="K293" s="5" t="str">
        <f t="shared" si="34"/>
        <v>DKKt</v>
      </c>
      <c r="L293" s="85">
        <f t="shared" si="35"/>
        <v>0</v>
      </c>
      <c r="O293" s="202"/>
      <c r="P293" s="202"/>
      <c r="Q293" s="202"/>
      <c r="R293" s="181">
        <f t="shared" si="39"/>
        <v>0</v>
      </c>
      <c r="S293" s="181">
        <f t="shared" si="39"/>
        <v>0</v>
      </c>
      <c r="T293" s="181">
        <f t="shared" si="39"/>
        <v>0</v>
      </c>
      <c r="U293" s="181">
        <f t="shared" si="39"/>
        <v>0</v>
      </c>
      <c r="V293" s="181">
        <f t="shared" si="39"/>
        <v>0</v>
      </c>
      <c r="W293" s="198">
        <f t="shared" si="37"/>
        <v>0</v>
      </c>
    </row>
    <row r="294" spans="4:23" ht="15" customHeight="1">
      <c r="D294" s="85" t="str">
        <f xml:space="preserve"> '2.1 Model setup'!K85</f>
        <v>7.1 Transformerstationer (forrentning)</v>
      </c>
      <c r="K294" s="5" t="str">
        <f t="shared" si="34"/>
        <v>DKKt</v>
      </c>
      <c r="L294" s="85">
        <f t="shared" si="35"/>
        <v>0</v>
      </c>
      <c r="O294" s="202"/>
      <c r="P294" s="202"/>
      <c r="Q294" s="202"/>
      <c r="R294" s="181">
        <f t="shared" si="39"/>
        <v>0</v>
      </c>
      <c r="S294" s="181">
        <f t="shared" si="39"/>
        <v>0</v>
      </c>
      <c r="T294" s="181">
        <f t="shared" si="39"/>
        <v>0</v>
      </c>
      <c r="U294" s="181">
        <f t="shared" si="39"/>
        <v>0</v>
      </c>
      <c r="V294" s="181">
        <f t="shared" si="39"/>
        <v>0</v>
      </c>
      <c r="W294" s="198">
        <f t="shared" si="37"/>
        <v>0</v>
      </c>
    </row>
    <row r="295" spans="4:23" ht="15" customHeight="1">
      <c r="D295" s="85" t="str">
        <f xml:space="preserve"> '2.1 Model setup'!K86</f>
        <v>7.2 Netaktiver ekskl. målere og transformerstationer (forrentning)</v>
      </c>
      <c r="K295" s="5" t="str">
        <f t="shared" si="34"/>
        <v>DKKt</v>
      </c>
      <c r="L295" s="85">
        <f t="shared" si="35"/>
        <v>0</v>
      </c>
      <c r="O295" s="202"/>
      <c r="P295" s="202"/>
      <c r="Q295" s="202"/>
      <c r="R295" s="181">
        <f t="shared" si="39"/>
        <v>0</v>
      </c>
      <c r="S295" s="181">
        <f t="shared" si="39"/>
        <v>0</v>
      </c>
      <c r="T295" s="181">
        <f t="shared" si="39"/>
        <v>0</v>
      </c>
      <c r="U295" s="181">
        <f t="shared" si="39"/>
        <v>0</v>
      </c>
      <c r="V295" s="181">
        <f t="shared" si="39"/>
        <v>0</v>
      </c>
      <c r="W295" s="198">
        <f t="shared" si="37"/>
        <v>0</v>
      </c>
    </row>
    <row r="296" spans="4:23" ht="15" customHeight="1">
      <c r="D296" s="99" t="str">
        <f xml:space="preserve"> '2.1 Model setup'!K87</f>
        <v>7.3 Målere (forrentning)</v>
      </c>
      <c r="E296" s="27"/>
      <c r="F296" s="27"/>
      <c r="G296" s="27"/>
      <c r="H296" s="27"/>
      <c r="I296" s="27"/>
      <c r="J296" s="27"/>
      <c r="K296" s="32" t="str">
        <f t="shared" si="34"/>
        <v>DKKt</v>
      </c>
      <c r="L296" s="99">
        <f t="shared" si="35"/>
        <v>0</v>
      </c>
      <c r="M296" s="27"/>
      <c r="N296" s="27"/>
      <c r="O296" s="269"/>
      <c r="P296" s="269"/>
      <c r="Q296" s="269"/>
      <c r="R296" s="182">
        <f t="shared" si="39"/>
        <v>0</v>
      </c>
      <c r="S296" s="182">
        <f t="shared" si="39"/>
        <v>0</v>
      </c>
      <c r="T296" s="182">
        <f t="shared" si="39"/>
        <v>0</v>
      </c>
      <c r="U296" s="182">
        <f t="shared" si="39"/>
        <v>0</v>
      </c>
      <c r="V296" s="182">
        <f t="shared" si="39"/>
        <v>0</v>
      </c>
      <c r="W296" s="199">
        <f t="shared" si="37"/>
        <v>0</v>
      </c>
    </row>
    <row r="298" spans="4:23" ht="15" customHeight="1">
      <c r="D298" s="35" t="s">
        <v>498</v>
      </c>
      <c r="E298" s="27"/>
      <c r="F298" s="27"/>
      <c r="G298" s="27"/>
      <c r="H298" s="27"/>
      <c r="I298" s="27"/>
      <c r="J298" s="27"/>
      <c r="K298" s="32"/>
      <c r="L298" s="27"/>
      <c r="M298" s="27"/>
      <c r="N298" s="27"/>
      <c r="O298" s="27"/>
      <c r="P298" s="27"/>
      <c r="Q298" s="27"/>
      <c r="R298" s="27"/>
      <c r="S298" s="27"/>
      <c r="T298" s="27"/>
      <c r="U298" s="27"/>
      <c r="V298" s="27"/>
      <c r="W298" s="185" t="s">
        <v>16</v>
      </c>
    </row>
    <row r="299" spans="4:23" ht="15" customHeight="1">
      <c r="D299" s="85" t="str">
        <f xml:space="preserve"> '2.1 Model setup'!K70</f>
        <v>1.1 Drift og vedligeholdelse af transformerstationer</v>
      </c>
      <c r="K299" s="5" t="str">
        <f t="shared" ref="K299:K316" si="40" xml:space="preserve"> Model.Units</f>
        <v>DKKt</v>
      </c>
      <c r="L299" s="85">
        <f t="shared" ref="L299:L316" si="41" xml:space="preserve"> -- ( W299 &lt;&gt; 1 ) * ( W219 &gt; 0 )</f>
        <v>0</v>
      </c>
      <c r="O299" s="202"/>
      <c r="P299" s="202"/>
      <c r="Q299" s="202"/>
      <c r="R299" s="181">
        <f t="shared" ref="R299:V300" si="42" xml:space="preserve"> IF( $W219 = 0, 0, R219 / $W219 )</f>
        <v>0</v>
      </c>
      <c r="S299" s="181">
        <f t="shared" si="42"/>
        <v>0</v>
      </c>
      <c r="T299" s="181">
        <f t="shared" si="42"/>
        <v>0</v>
      </c>
      <c r="U299" s="181">
        <f t="shared" si="42"/>
        <v>0</v>
      </c>
      <c r="V299" s="181">
        <f t="shared" si="42"/>
        <v>0</v>
      </c>
      <c r="W299" s="198">
        <f t="shared" ref="W299:W316" si="43" xml:space="preserve"> SUM( R299:V299 )</f>
        <v>0</v>
      </c>
    </row>
    <row r="300" spans="4:23" ht="15" customHeight="1">
      <c r="D300" s="85" t="str">
        <f xml:space="preserve"> '2.1 Model setup'!K71</f>
        <v>1.2 Drift og vedligeholdelse af ledningsnet</v>
      </c>
      <c r="K300" s="5" t="str">
        <f t="shared" si="40"/>
        <v>DKKt</v>
      </c>
      <c r="L300" s="85">
        <f t="shared" si="41"/>
        <v>0</v>
      </c>
      <c r="O300" s="202"/>
      <c r="P300" s="202"/>
      <c r="Q300" s="202"/>
      <c r="R300" s="181">
        <f t="shared" si="42"/>
        <v>0</v>
      </c>
      <c r="S300" s="181">
        <f t="shared" si="42"/>
        <v>0</v>
      </c>
      <c r="T300" s="181">
        <f t="shared" si="42"/>
        <v>0</v>
      </c>
      <c r="U300" s="181">
        <f t="shared" si="42"/>
        <v>0</v>
      </c>
      <c r="V300" s="181">
        <f t="shared" si="42"/>
        <v>0</v>
      </c>
      <c r="W300" s="198">
        <f t="shared" si="43"/>
        <v>0</v>
      </c>
    </row>
    <row r="301" spans="4:23" ht="15" customHeight="1">
      <c r="D301" s="85" t="str">
        <f xml:space="preserve"> '2.1 Model setup'!K72</f>
        <v>1.3 Øvrige omkostninger til drift, styring og kontrol af elnettet</v>
      </c>
      <c r="K301" s="5" t="str">
        <f t="shared" si="40"/>
        <v>DKKt</v>
      </c>
      <c r="L301" s="85">
        <f t="shared" si="41"/>
        <v>0</v>
      </c>
      <c r="O301" s="202"/>
      <c r="P301" s="202"/>
      <c r="Q301" s="202"/>
      <c r="R301" s="181">
        <f t="shared" ref="R301:V302" si="44" xml:space="preserve"> IF( $W221 = 0, 0, R221 / $W221 )</f>
        <v>0</v>
      </c>
      <c r="S301" s="181">
        <f t="shared" si="44"/>
        <v>0</v>
      </c>
      <c r="T301" s="181">
        <f t="shared" si="44"/>
        <v>0</v>
      </c>
      <c r="U301" s="181">
        <f t="shared" si="44"/>
        <v>0</v>
      </c>
      <c r="V301" s="181">
        <f t="shared" si="44"/>
        <v>0</v>
      </c>
      <c r="W301" s="198">
        <f t="shared" si="43"/>
        <v>0</v>
      </c>
    </row>
    <row r="302" spans="4:23" ht="15" customHeight="1">
      <c r="D302" s="85" t="str">
        <f xml:space="preserve"> '2.1 Model setup'!K73</f>
        <v>1.4 Omkostninger vedrørende 132-150/30-60 kV-stationer</v>
      </c>
      <c r="K302" s="5" t="str">
        <f t="shared" si="40"/>
        <v>DKKt</v>
      </c>
      <c r="L302" s="85">
        <f t="shared" si="41"/>
        <v>0</v>
      </c>
      <c r="O302" s="202"/>
      <c r="P302" s="202"/>
      <c r="Q302" s="202"/>
      <c r="R302" s="181">
        <f t="shared" si="44"/>
        <v>0</v>
      </c>
      <c r="S302" s="181">
        <f t="shared" si="44"/>
        <v>0</v>
      </c>
      <c r="T302" s="181">
        <f t="shared" si="44"/>
        <v>0</v>
      </c>
      <c r="U302" s="181">
        <f t="shared" si="44"/>
        <v>0</v>
      </c>
      <c r="V302" s="181">
        <f t="shared" si="44"/>
        <v>0</v>
      </c>
      <c r="W302" s="198">
        <f xml:space="preserve"> SUM( R302:V302 )</f>
        <v>0</v>
      </c>
    </row>
    <row r="303" spans="4:23" ht="15" customHeight="1">
      <c r="D303" s="85" t="str">
        <f xml:space="preserve"> '2.1 Model setup'!K74</f>
        <v>2.1 Drift og vedligeholdelse af målere</v>
      </c>
      <c r="K303" s="5" t="str">
        <f t="shared" si="40"/>
        <v>DKKt</v>
      </c>
      <c r="L303" s="85">
        <f t="shared" si="41"/>
        <v>0</v>
      </c>
      <c r="O303" s="202"/>
      <c r="P303" s="202"/>
      <c r="Q303" s="202"/>
      <c r="R303" s="181">
        <f t="shared" ref="R303:V316" si="45" xml:space="preserve"> IF( $W223 = 0, 0, R223 / $W223 )</f>
        <v>0</v>
      </c>
      <c r="S303" s="181">
        <f t="shared" si="45"/>
        <v>0</v>
      </c>
      <c r="T303" s="181">
        <f t="shared" si="45"/>
        <v>0</v>
      </c>
      <c r="U303" s="181">
        <f t="shared" si="45"/>
        <v>0</v>
      </c>
      <c r="V303" s="181">
        <f t="shared" si="45"/>
        <v>0</v>
      </c>
      <c r="W303" s="198">
        <f t="shared" si="43"/>
        <v>0</v>
      </c>
    </row>
    <row r="304" spans="4:23" ht="15" customHeight="1">
      <c r="D304" s="85" t="str">
        <f xml:space="preserve"> '2.1 Model setup'!K75</f>
        <v>2.2 Indhentning og validering af målerdata</v>
      </c>
      <c r="K304" s="5" t="str">
        <f t="shared" si="40"/>
        <v>DKKt</v>
      </c>
      <c r="L304" s="85">
        <f t="shared" si="41"/>
        <v>0</v>
      </c>
      <c r="O304" s="202"/>
      <c r="P304" s="202"/>
      <c r="Q304" s="202"/>
      <c r="R304" s="181">
        <f t="shared" si="45"/>
        <v>0</v>
      </c>
      <c r="S304" s="181">
        <f t="shared" si="45"/>
        <v>0</v>
      </c>
      <c r="T304" s="181">
        <f t="shared" si="45"/>
        <v>0</v>
      </c>
      <c r="U304" s="181">
        <f t="shared" si="45"/>
        <v>0</v>
      </c>
      <c r="V304" s="181">
        <f t="shared" si="45"/>
        <v>0</v>
      </c>
      <c r="W304" s="198">
        <f t="shared" si="43"/>
        <v>0</v>
      </c>
    </row>
    <row r="305" spans="4:23" ht="15" customHeight="1">
      <c r="D305" s="85" t="str">
        <f xml:space="preserve"> '2.1 Model setup'!K76</f>
        <v>2.3 Måleradministration og kundehåndtering</v>
      </c>
      <c r="K305" s="5" t="str">
        <f t="shared" si="40"/>
        <v>DKKt</v>
      </c>
      <c r="L305" s="85">
        <f t="shared" si="41"/>
        <v>0</v>
      </c>
      <c r="O305" s="202"/>
      <c r="P305" s="202"/>
      <c r="Q305" s="202"/>
      <c r="R305" s="181">
        <f t="shared" si="45"/>
        <v>0</v>
      </c>
      <c r="S305" s="181">
        <f t="shared" si="45"/>
        <v>0</v>
      </c>
      <c r="T305" s="181">
        <f t="shared" si="45"/>
        <v>0</v>
      </c>
      <c r="U305" s="181">
        <f t="shared" si="45"/>
        <v>0</v>
      </c>
      <c r="V305" s="181">
        <f t="shared" si="45"/>
        <v>0</v>
      </c>
      <c r="W305" s="198">
        <f t="shared" si="43"/>
        <v>0</v>
      </c>
    </row>
    <row r="306" spans="4:23" ht="15" customHeight="1">
      <c r="D306" s="85" t="str">
        <f xml:space="preserve"> '2.1 Model setup'!K77</f>
        <v>3.1 Generel administration</v>
      </c>
      <c r="K306" s="5" t="str">
        <f t="shared" si="40"/>
        <v>DKKt</v>
      </c>
      <c r="L306" s="85">
        <f t="shared" si="41"/>
        <v>0</v>
      </c>
      <c r="O306" s="202"/>
      <c r="P306" s="202"/>
      <c r="Q306" s="202"/>
      <c r="R306" s="181">
        <f t="shared" si="45"/>
        <v>0</v>
      </c>
      <c r="S306" s="181">
        <f t="shared" si="45"/>
        <v>0</v>
      </c>
      <c r="T306" s="181">
        <f t="shared" si="45"/>
        <v>0</v>
      </c>
      <c r="U306" s="181">
        <f t="shared" si="45"/>
        <v>0</v>
      </c>
      <c r="V306" s="181">
        <f t="shared" si="45"/>
        <v>0</v>
      </c>
      <c r="W306" s="198">
        <f t="shared" si="43"/>
        <v>0</v>
      </c>
    </row>
    <row r="307" spans="4:23" ht="15" customHeight="1">
      <c r="D307" s="85" t="str">
        <f xml:space="preserve"> '2.1 Model setup'!K78</f>
        <v>4.1 Omkostninger vedrørende nettab i transformerstationer</v>
      </c>
      <c r="K307" s="5" t="str">
        <f t="shared" si="40"/>
        <v>DKKt</v>
      </c>
      <c r="L307" s="85">
        <f t="shared" si="41"/>
        <v>0</v>
      </c>
      <c r="O307" s="202"/>
      <c r="P307" s="202"/>
      <c r="Q307" s="202"/>
      <c r="R307" s="181">
        <f t="shared" si="45"/>
        <v>0</v>
      </c>
      <c r="S307" s="181">
        <f t="shared" si="45"/>
        <v>0</v>
      </c>
      <c r="T307" s="181">
        <f t="shared" si="45"/>
        <v>0</v>
      </c>
      <c r="U307" s="181">
        <f t="shared" si="45"/>
        <v>0</v>
      </c>
      <c r="V307" s="181">
        <f t="shared" si="45"/>
        <v>0</v>
      </c>
      <c r="W307" s="198">
        <f t="shared" si="43"/>
        <v>0</v>
      </c>
    </row>
    <row r="308" spans="4:23" ht="15" customHeight="1">
      <c r="D308" s="85" t="str">
        <f xml:space="preserve"> '2.1 Model setup'!K79</f>
        <v>4.2 Omkostninger vedrørende nettab i ledningsnettet</v>
      </c>
      <c r="K308" s="5" t="str">
        <f t="shared" si="40"/>
        <v>DKKt</v>
      </c>
      <c r="L308" s="85">
        <f t="shared" si="41"/>
        <v>0</v>
      </c>
      <c r="O308" s="202"/>
      <c r="P308" s="202"/>
      <c r="Q308" s="202"/>
      <c r="R308" s="181">
        <f t="shared" si="45"/>
        <v>0</v>
      </c>
      <c r="S308" s="181">
        <f t="shared" si="45"/>
        <v>0</v>
      </c>
      <c r="T308" s="181">
        <f t="shared" si="45"/>
        <v>0</v>
      </c>
      <c r="U308" s="181">
        <f t="shared" si="45"/>
        <v>0</v>
      </c>
      <c r="V308" s="181">
        <f t="shared" si="45"/>
        <v>0</v>
      </c>
      <c r="W308" s="198">
        <f t="shared" si="43"/>
        <v>0</v>
      </c>
    </row>
    <row r="309" spans="4:23" ht="15" customHeight="1">
      <c r="D309" s="85" t="str">
        <f xml:space="preserve"> '2.1 Model setup'!K80</f>
        <v>5.1 Omkostninger til overliggende net ifm. forbrug</v>
      </c>
      <c r="K309" s="5" t="str">
        <f t="shared" si="40"/>
        <v>DKKt</v>
      </c>
      <c r="L309" s="85">
        <f t="shared" si="41"/>
        <v>0</v>
      </c>
      <c r="O309" s="202"/>
      <c r="P309" s="202"/>
      <c r="Q309" s="202"/>
      <c r="R309" s="181">
        <f t="shared" si="45"/>
        <v>0</v>
      </c>
      <c r="S309" s="181">
        <f t="shared" si="45"/>
        <v>0</v>
      </c>
      <c r="T309" s="181">
        <f t="shared" si="45"/>
        <v>0</v>
      </c>
      <c r="U309" s="181">
        <f t="shared" si="45"/>
        <v>0</v>
      </c>
      <c r="V309" s="181">
        <f t="shared" si="45"/>
        <v>0</v>
      </c>
      <c r="W309" s="198">
        <f xml:space="preserve"> SUM( R309:V309 )</f>
        <v>0</v>
      </c>
    </row>
    <row r="310" spans="4:23" ht="15" customHeight="1">
      <c r="D310" s="85" t="str">
        <f xml:space="preserve"> '2.1 Model setup'!K81</f>
        <v>5.2 Øvrige omkostninger</v>
      </c>
      <c r="K310" s="5" t="str">
        <f t="shared" si="40"/>
        <v>DKKt</v>
      </c>
      <c r="L310" s="85">
        <f t="shared" si="41"/>
        <v>0</v>
      </c>
      <c r="O310" s="202"/>
      <c r="P310" s="202"/>
      <c r="Q310" s="202"/>
      <c r="R310" s="181">
        <f t="shared" si="45"/>
        <v>0</v>
      </c>
      <c r="S310" s="181">
        <f t="shared" si="45"/>
        <v>0</v>
      </c>
      <c r="T310" s="181">
        <f t="shared" si="45"/>
        <v>0</v>
      </c>
      <c r="U310" s="181">
        <f t="shared" si="45"/>
        <v>0</v>
      </c>
      <c r="V310" s="181">
        <f t="shared" si="45"/>
        <v>0</v>
      </c>
      <c r="W310" s="198">
        <f t="shared" si="43"/>
        <v>0</v>
      </c>
    </row>
    <row r="311" spans="4:23" ht="15" customHeight="1">
      <c r="D311" s="85" t="str">
        <f xml:space="preserve"> '2.1 Model setup'!K82</f>
        <v>6.1 Afskrivninger på transformerstationer</v>
      </c>
      <c r="K311" s="5" t="str">
        <f t="shared" si="40"/>
        <v>DKKt</v>
      </c>
      <c r="L311" s="85">
        <f t="shared" si="41"/>
        <v>0</v>
      </c>
      <c r="O311" s="202"/>
      <c r="P311" s="202"/>
      <c r="Q311" s="202"/>
      <c r="R311" s="181">
        <f t="shared" si="45"/>
        <v>0</v>
      </c>
      <c r="S311" s="181">
        <f t="shared" si="45"/>
        <v>0</v>
      </c>
      <c r="T311" s="181">
        <f t="shared" si="45"/>
        <v>0</v>
      </c>
      <c r="U311" s="181">
        <f t="shared" si="45"/>
        <v>0</v>
      </c>
      <c r="V311" s="181">
        <f t="shared" si="45"/>
        <v>0</v>
      </c>
      <c r="W311" s="198">
        <f t="shared" si="43"/>
        <v>0</v>
      </c>
    </row>
    <row r="312" spans="4:23" ht="15" customHeight="1">
      <c r="D312" s="85" t="str">
        <f xml:space="preserve"> '2.1 Model setup'!K83</f>
        <v>6.2 Afskrivninger på netaktiver ekskl. målere og transformerstationer</v>
      </c>
      <c r="K312" s="5" t="str">
        <f t="shared" si="40"/>
        <v>DKKt</v>
      </c>
      <c r="L312" s="85">
        <f t="shared" si="41"/>
        <v>0</v>
      </c>
      <c r="O312" s="202"/>
      <c r="P312" s="202"/>
      <c r="Q312" s="202"/>
      <c r="R312" s="181">
        <f t="shared" si="45"/>
        <v>0</v>
      </c>
      <c r="S312" s="181">
        <f t="shared" si="45"/>
        <v>0</v>
      </c>
      <c r="T312" s="181">
        <f t="shared" si="45"/>
        <v>0</v>
      </c>
      <c r="U312" s="181">
        <f t="shared" si="45"/>
        <v>0</v>
      </c>
      <c r="V312" s="181">
        <f t="shared" si="45"/>
        <v>0</v>
      </c>
      <c r="W312" s="198">
        <f t="shared" si="43"/>
        <v>0</v>
      </c>
    </row>
    <row r="313" spans="4:23" ht="15" customHeight="1">
      <c r="D313" s="85" t="str">
        <f xml:space="preserve"> '2.1 Model setup'!K84</f>
        <v>6.3 Afskrivninger på målere</v>
      </c>
      <c r="K313" s="5" t="str">
        <f t="shared" si="40"/>
        <v>DKKt</v>
      </c>
      <c r="L313" s="85">
        <f t="shared" si="41"/>
        <v>0</v>
      </c>
      <c r="O313" s="202"/>
      <c r="P313" s="202"/>
      <c r="Q313" s="202"/>
      <c r="R313" s="181">
        <f t="shared" si="45"/>
        <v>0</v>
      </c>
      <c r="S313" s="181">
        <f t="shared" si="45"/>
        <v>0</v>
      </c>
      <c r="T313" s="181">
        <f t="shared" si="45"/>
        <v>0</v>
      </c>
      <c r="U313" s="181">
        <f t="shared" si="45"/>
        <v>0</v>
      </c>
      <c r="V313" s="181">
        <f t="shared" si="45"/>
        <v>0</v>
      </c>
      <c r="W313" s="198">
        <f t="shared" si="43"/>
        <v>0</v>
      </c>
    </row>
    <row r="314" spans="4:23" ht="15" customHeight="1">
      <c r="D314" s="85" t="str">
        <f xml:space="preserve"> '2.1 Model setup'!K85</f>
        <v>7.1 Transformerstationer (forrentning)</v>
      </c>
      <c r="K314" s="5" t="str">
        <f t="shared" si="40"/>
        <v>DKKt</v>
      </c>
      <c r="L314" s="85">
        <f t="shared" si="41"/>
        <v>0</v>
      </c>
      <c r="O314" s="202"/>
      <c r="P314" s="202"/>
      <c r="Q314" s="202"/>
      <c r="R314" s="181">
        <f t="shared" si="45"/>
        <v>0</v>
      </c>
      <c r="S314" s="181">
        <f t="shared" si="45"/>
        <v>0</v>
      </c>
      <c r="T314" s="181">
        <f t="shared" si="45"/>
        <v>0</v>
      </c>
      <c r="U314" s="181">
        <f t="shared" si="45"/>
        <v>0</v>
      </c>
      <c r="V314" s="181">
        <f t="shared" si="45"/>
        <v>0</v>
      </c>
      <c r="W314" s="198">
        <f t="shared" si="43"/>
        <v>0</v>
      </c>
    </row>
    <row r="315" spans="4:23" ht="15" customHeight="1">
      <c r="D315" s="85" t="str">
        <f xml:space="preserve"> '2.1 Model setup'!K86</f>
        <v>7.2 Netaktiver ekskl. målere og transformerstationer (forrentning)</v>
      </c>
      <c r="K315" s="5" t="str">
        <f t="shared" si="40"/>
        <v>DKKt</v>
      </c>
      <c r="L315" s="85">
        <f t="shared" si="41"/>
        <v>0</v>
      </c>
      <c r="O315" s="202"/>
      <c r="P315" s="202"/>
      <c r="Q315" s="202"/>
      <c r="R315" s="181">
        <f t="shared" si="45"/>
        <v>0</v>
      </c>
      <c r="S315" s="181">
        <f t="shared" si="45"/>
        <v>0</v>
      </c>
      <c r="T315" s="181">
        <f t="shared" si="45"/>
        <v>0</v>
      </c>
      <c r="U315" s="181">
        <f t="shared" si="45"/>
        <v>0</v>
      </c>
      <c r="V315" s="181">
        <f t="shared" si="45"/>
        <v>0</v>
      </c>
      <c r="W315" s="198">
        <f t="shared" si="43"/>
        <v>0</v>
      </c>
    </row>
    <row r="316" spans="4:23" ht="15" customHeight="1">
      <c r="D316" s="99" t="str">
        <f xml:space="preserve"> '2.1 Model setup'!K87</f>
        <v>7.3 Målere (forrentning)</v>
      </c>
      <c r="E316" s="27"/>
      <c r="F316" s="27"/>
      <c r="G316" s="27"/>
      <c r="H316" s="27"/>
      <c r="I316" s="27"/>
      <c r="J316" s="27"/>
      <c r="K316" s="32" t="str">
        <f t="shared" si="40"/>
        <v>DKKt</v>
      </c>
      <c r="L316" s="99">
        <f t="shared" si="41"/>
        <v>0</v>
      </c>
      <c r="M316" s="27"/>
      <c r="N316" s="27"/>
      <c r="O316" s="269"/>
      <c r="P316" s="269"/>
      <c r="Q316" s="269"/>
      <c r="R316" s="182">
        <f t="shared" si="45"/>
        <v>0</v>
      </c>
      <c r="S316" s="182">
        <f t="shared" si="45"/>
        <v>0</v>
      </c>
      <c r="T316" s="182">
        <f t="shared" si="45"/>
        <v>0</v>
      </c>
      <c r="U316" s="182">
        <f t="shared" si="45"/>
        <v>0</v>
      </c>
      <c r="V316" s="182">
        <f t="shared" si="45"/>
        <v>0</v>
      </c>
      <c r="W316" s="199">
        <f t="shared" si="43"/>
        <v>0</v>
      </c>
    </row>
    <row r="318" spans="4:23" ht="15" customHeight="1">
      <c r="D318" s="35" t="s">
        <v>499</v>
      </c>
      <c r="E318" s="27"/>
      <c r="F318" s="27"/>
      <c r="G318" s="27"/>
      <c r="H318" s="27"/>
      <c r="I318" s="27"/>
      <c r="J318" s="27"/>
      <c r="K318" s="32"/>
      <c r="L318" s="27"/>
      <c r="M318" s="27"/>
      <c r="N318" s="27"/>
      <c r="O318" s="27"/>
      <c r="P318" s="27"/>
      <c r="Q318" s="27"/>
      <c r="R318" s="27"/>
      <c r="S318" s="27"/>
      <c r="T318" s="27"/>
      <c r="U318" s="27"/>
      <c r="V318" s="27"/>
      <c r="W318" s="185" t="s">
        <v>16</v>
      </c>
    </row>
    <row r="319" spans="4:23" ht="15" customHeight="1">
      <c r="D319" s="85" t="str">
        <f xml:space="preserve"> '2.1 Model setup'!K70</f>
        <v>1.1 Drift og vedligeholdelse af transformerstationer</v>
      </c>
      <c r="K319" s="5" t="str">
        <f t="shared" ref="K319:K336" si="46" xml:space="preserve"> Model.Units</f>
        <v>DKKt</v>
      </c>
      <c r="L319" s="85">
        <f t="shared" ref="L319:L336" si="47" xml:space="preserve"> -- ( W319 &lt;&gt; 1 ) * ( W239 &gt; 0 )</f>
        <v>0</v>
      </c>
      <c r="O319" s="202"/>
      <c r="P319" s="202"/>
      <c r="Q319" s="202"/>
      <c r="R319" s="181">
        <f t="shared" ref="R319:V320" si="48" xml:space="preserve"> IF( $W239 = 0, 0, R239 / $W239 )</f>
        <v>0</v>
      </c>
      <c r="S319" s="181">
        <f t="shared" si="48"/>
        <v>0</v>
      </c>
      <c r="T319" s="181">
        <f t="shared" si="48"/>
        <v>0</v>
      </c>
      <c r="U319" s="181">
        <f t="shared" si="48"/>
        <v>0</v>
      </c>
      <c r="V319" s="181">
        <f t="shared" si="48"/>
        <v>0</v>
      </c>
      <c r="W319" s="198">
        <f t="shared" ref="W319:W336" si="49" xml:space="preserve"> SUM( R319:V319 )</f>
        <v>0</v>
      </c>
    </row>
    <row r="320" spans="4:23" ht="15" customHeight="1">
      <c r="D320" s="85" t="str">
        <f xml:space="preserve"> '2.1 Model setup'!K71</f>
        <v>1.2 Drift og vedligeholdelse af ledningsnet</v>
      </c>
      <c r="K320" s="5" t="str">
        <f t="shared" si="46"/>
        <v>DKKt</v>
      </c>
      <c r="L320" s="85">
        <f t="shared" si="47"/>
        <v>0</v>
      </c>
      <c r="O320" s="202"/>
      <c r="P320" s="202"/>
      <c r="Q320" s="202"/>
      <c r="R320" s="181">
        <f t="shared" si="48"/>
        <v>0</v>
      </c>
      <c r="S320" s="181">
        <f t="shared" si="48"/>
        <v>0</v>
      </c>
      <c r="T320" s="181">
        <f t="shared" si="48"/>
        <v>0</v>
      </c>
      <c r="U320" s="181">
        <f t="shared" si="48"/>
        <v>0</v>
      </c>
      <c r="V320" s="181">
        <f t="shared" si="48"/>
        <v>0</v>
      </c>
      <c r="W320" s="198">
        <f t="shared" si="49"/>
        <v>0</v>
      </c>
    </row>
    <row r="321" spans="4:23" ht="15" customHeight="1">
      <c r="D321" s="85" t="str">
        <f xml:space="preserve"> '2.1 Model setup'!K72</f>
        <v>1.3 Øvrige omkostninger til drift, styring og kontrol af elnettet</v>
      </c>
      <c r="K321" s="5" t="str">
        <f t="shared" si="46"/>
        <v>DKKt</v>
      </c>
      <c r="L321" s="85">
        <f t="shared" si="47"/>
        <v>0</v>
      </c>
      <c r="O321" s="202"/>
      <c r="P321" s="202"/>
      <c r="Q321" s="202"/>
      <c r="R321" s="181">
        <f t="shared" ref="R321:V322" si="50" xml:space="preserve"> IF( $W241 = 0, 0, R241 / $W241 )</f>
        <v>0</v>
      </c>
      <c r="S321" s="181">
        <f t="shared" si="50"/>
        <v>0</v>
      </c>
      <c r="T321" s="181">
        <f t="shared" si="50"/>
        <v>0</v>
      </c>
      <c r="U321" s="181">
        <f t="shared" si="50"/>
        <v>0</v>
      </c>
      <c r="V321" s="181">
        <f t="shared" si="50"/>
        <v>0</v>
      </c>
      <c r="W321" s="198">
        <f t="shared" si="49"/>
        <v>0</v>
      </c>
    </row>
    <row r="322" spans="4:23" ht="15" customHeight="1">
      <c r="D322" s="85" t="str">
        <f xml:space="preserve"> '2.1 Model setup'!K73</f>
        <v>1.4 Omkostninger vedrørende 132-150/30-60 kV-stationer</v>
      </c>
      <c r="K322" s="5" t="str">
        <f t="shared" si="46"/>
        <v>DKKt</v>
      </c>
      <c r="L322" s="85">
        <f t="shared" si="47"/>
        <v>0</v>
      </c>
      <c r="O322" s="202"/>
      <c r="P322" s="202"/>
      <c r="Q322" s="202"/>
      <c r="R322" s="181">
        <f t="shared" si="50"/>
        <v>0</v>
      </c>
      <c r="S322" s="181">
        <f t="shared" si="50"/>
        <v>0</v>
      </c>
      <c r="T322" s="181">
        <f t="shared" si="50"/>
        <v>0</v>
      </c>
      <c r="U322" s="181">
        <f t="shared" si="50"/>
        <v>0</v>
      </c>
      <c r="V322" s="181">
        <f t="shared" si="50"/>
        <v>0</v>
      </c>
      <c r="W322" s="198">
        <f xml:space="preserve"> SUM( R322:V322 )</f>
        <v>0</v>
      </c>
    </row>
    <row r="323" spans="4:23" ht="15" customHeight="1">
      <c r="D323" s="85" t="str">
        <f xml:space="preserve"> '2.1 Model setup'!K74</f>
        <v>2.1 Drift og vedligeholdelse af målere</v>
      </c>
      <c r="K323" s="5" t="str">
        <f t="shared" si="46"/>
        <v>DKKt</v>
      </c>
      <c r="L323" s="85">
        <f t="shared" si="47"/>
        <v>0</v>
      </c>
      <c r="O323" s="202"/>
      <c r="P323" s="202"/>
      <c r="Q323" s="202"/>
      <c r="R323" s="181">
        <f t="shared" ref="R323:V336" si="51" xml:space="preserve"> IF( $W243 = 0, 0, R243 / $W243 )</f>
        <v>0</v>
      </c>
      <c r="S323" s="181">
        <f t="shared" si="51"/>
        <v>0</v>
      </c>
      <c r="T323" s="181">
        <f t="shared" si="51"/>
        <v>0</v>
      </c>
      <c r="U323" s="181">
        <f t="shared" si="51"/>
        <v>0</v>
      </c>
      <c r="V323" s="181">
        <f t="shared" si="51"/>
        <v>0</v>
      </c>
      <c r="W323" s="198">
        <f t="shared" si="49"/>
        <v>0</v>
      </c>
    </row>
    <row r="324" spans="4:23" ht="15" customHeight="1">
      <c r="D324" s="85" t="str">
        <f xml:space="preserve"> '2.1 Model setup'!K75</f>
        <v>2.2 Indhentning og validering af målerdata</v>
      </c>
      <c r="K324" s="5" t="str">
        <f t="shared" si="46"/>
        <v>DKKt</v>
      </c>
      <c r="L324" s="85">
        <f t="shared" si="47"/>
        <v>0</v>
      </c>
      <c r="O324" s="202"/>
      <c r="P324" s="202"/>
      <c r="Q324" s="202"/>
      <c r="R324" s="181">
        <f t="shared" si="51"/>
        <v>0</v>
      </c>
      <c r="S324" s="181">
        <f t="shared" si="51"/>
        <v>0</v>
      </c>
      <c r="T324" s="181">
        <f t="shared" si="51"/>
        <v>0</v>
      </c>
      <c r="U324" s="181">
        <f t="shared" si="51"/>
        <v>0</v>
      </c>
      <c r="V324" s="181">
        <f t="shared" si="51"/>
        <v>0</v>
      </c>
      <c r="W324" s="198">
        <f t="shared" si="49"/>
        <v>0</v>
      </c>
    </row>
    <row r="325" spans="4:23" ht="15" customHeight="1">
      <c r="D325" s="85" t="str">
        <f xml:space="preserve"> '2.1 Model setup'!K76</f>
        <v>2.3 Måleradministration og kundehåndtering</v>
      </c>
      <c r="K325" s="5" t="str">
        <f t="shared" si="46"/>
        <v>DKKt</v>
      </c>
      <c r="L325" s="85">
        <f t="shared" si="47"/>
        <v>0</v>
      </c>
      <c r="O325" s="202"/>
      <c r="P325" s="202"/>
      <c r="Q325" s="202"/>
      <c r="R325" s="181">
        <f t="shared" si="51"/>
        <v>0</v>
      </c>
      <c r="S325" s="181">
        <f t="shared" si="51"/>
        <v>0</v>
      </c>
      <c r="T325" s="181">
        <f t="shared" si="51"/>
        <v>0</v>
      </c>
      <c r="U325" s="181">
        <f t="shared" si="51"/>
        <v>0</v>
      </c>
      <c r="V325" s="181">
        <f t="shared" si="51"/>
        <v>0</v>
      </c>
      <c r="W325" s="198">
        <f t="shared" si="49"/>
        <v>0</v>
      </c>
    </row>
    <row r="326" spans="4:23" ht="15" customHeight="1">
      <c r="D326" s="85" t="str">
        <f xml:space="preserve"> '2.1 Model setup'!K77</f>
        <v>3.1 Generel administration</v>
      </c>
      <c r="K326" s="5" t="str">
        <f t="shared" si="46"/>
        <v>DKKt</v>
      </c>
      <c r="L326" s="85">
        <f t="shared" si="47"/>
        <v>0</v>
      </c>
      <c r="O326" s="202"/>
      <c r="P326" s="202"/>
      <c r="Q326" s="202"/>
      <c r="R326" s="181">
        <f t="shared" si="51"/>
        <v>0</v>
      </c>
      <c r="S326" s="181">
        <f t="shared" si="51"/>
        <v>0</v>
      </c>
      <c r="T326" s="181">
        <f t="shared" si="51"/>
        <v>0</v>
      </c>
      <c r="U326" s="181">
        <f t="shared" si="51"/>
        <v>0</v>
      </c>
      <c r="V326" s="181">
        <f t="shared" si="51"/>
        <v>0</v>
      </c>
      <c r="W326" s="198">
        <f t="shared" si="49"/>
        <v>0</v>
      </c>
    </row>
    <row r="327" spans="4:23" ht="15" customHeight="1">
      <c r="D327" s="85" t="str">
        <f xml:space="preserve"> '2.1 Model setup'!K78</f>
        <v>4.1 Omkostninger vedrørende nettab i transformerstationer</v>
      </c>
      <c r="K327" s="5" t="str">
        <f t="shared" si="46"/>
        <v>DKKt</v>
      </c>
      <c r="L327" s="85">
        <f t="shared" si="47"/>
        <v>0</v>
      </c>
      <c r="O327" s="202"/>
      <c r="P327" s="202"/>
      <c r="Q327" s="202"/>
      <c r="R327" s="181">
        <f t="shared" si="51"/>
        <v>0</v>
      </c>
      <c r="S327" s="181">
        <f t="shared" si="51"/>
        <v>0</v>
      </c>
      <c r="T327" s="181">
        <f t="shared" si="51"/>
        <v>0</v>
      </c>
      <c r="U327" s="181">
        <f t="shared" si="51"/>
        <v>0</v>
      </c>
      <c r="V327" s="181">
        <f t="shared" si="51"/>
        <v>0</v>
      </c>
      <c r="W327" s="198">
        <f t="shared" si="49"/>
        <v>0</v>
      </c>
    </row>
    <row r="328" spans="4:23" ht="15" customHeight="1">
      <c r="D328" s="85" t="str">
        <f xml:space="preserve"> '2.1 Model setup'!K79</f>
        <v>4.2 Omkostninger vedrørende nettab i ledningsnettet</v>
      </c>
      <c r="K328" s="5" t="str">
        <f t="shared" si="46"/>
        <v>DKKt</v>
      </c>
      <c r="L328" s="85">
        <f t="shared" si="47"/>
        <v>0</v>
      </c>
      <c r="O328" s="202"/>
      <c r="P328" s="202"/>
      <c r="Q328" s="202"/>
      <c r="R328" s="181">
        <f t="shared" si="51"/>
        <v>0</v>
      </c>
      <c r="S328" s="181">
        <f t="shared" si="51"/>
        <v>0</v>
      </c>
      <c r="T328" s="181">
        <f t="shared" si="51"/>
        <v>0</v>
      </c>
      <c r="U328" s="181">
        <f t="shared" si="51"/>
        <v>0</v>
      </c>
      <c r="V328" s="181">
        <f t="shared" si="51"/>
        <v>0</v>
      </c>
      <c r="W328" s="198">
        <f t="shared" si="49"/>
        <v>0</v>
      </c>
    </row>
    <row r="329" spans="4:23" ht="15" customHeight="1">
      <c r="D329" s="85" t="str">
        <f xml:space="preserve"> '2.1 Model setup'!K80</f>
        <v>5.1 Omkostninger til overliggende net ifm. forbrug</v>
      </c>
      <c r="K329" s="5" t="str">
        <f t="shared" si="46"/>
        <v>DKKt</v>
      </c>
      <c r="L329" s="85">
        <f t="shared" si="47"/>
        <v>0</v>
      </c>
      <c r="O329" s="202"/>
      <c r="P329" s="202"/>
      <c r="Q329" s="202"/>
      <c r="R329" s="181">
        <f t="shared" si="51"/>
        <v>0</v>
      </c>
      <c r="S329" s="181">
        <f t="shared" si="51"/>
        <v>0</v>
      </c>
      <c r="T329" s="181">
        <f t="shared" si="51"/>
        <v>0</v>
      </c>
      <c r="U329" s="181">
        <f t="shared" si="51"/>
        <v>0</v>
      </c>
      <c r="V329" s="181">
        <f t="shared" si="51"/>
        <v>0</v>
      </c>
      <c r="W329" s="198">
        <f xml:space="preserve"> SUM( R329:V329 )</f>
        <v>0</v>
      </c>
    </row>
    <row r="330" spans="4:23" ht="15" customHeight="1">
      <c r="D330" s="85" t="str">
        <f xml:space="preserve"> '2.1 Model setup'!K81</f>
        <v>5.2 Øvrige omkostninger</v>
      </c>
      <c r="K330" s="5" t="str">
        <f t="shared" si="46"/>
        <v>DKKt</v>
      </c>
      <c r="L330" s="85">
        <f t="shared" si="47"/>
        <v>0</v>
      </c>
      <c r="O330" s="202"/>
      <c r="P330" s="202"/>
      <c r="Q330" s="202"/>
      <c r="R330" s="181">
        <f t="shared" si="51"/>
        <v>0</v>
      </c>
      <c r="S330" s="181">
        <f t="shared" si="51"/>
        <v>0</v>
      </c>
      <c r="T330" s="181">
        <f t="shared" si="51"/>
        <v>0</v>
      </c>
      <c r="U330" s="181">
        <f t="shared" si="51"/>
        <v>0</v>
      </c>
      <c r="V330" s="181">
        <f t="shared" si="51"/>
        <v>0</v>
      </c>
      <c r="W330" s="198">
        <f t="shared" si="49"/>
        <v>0</v>
      </c>
    </row>
    <row r="331" spans="4:23" ht="15" customHeight="1">
      <c r="D331" s="85" t="str">
        <f xml:space="preserve"> '2.1 Model setup'!K82</f>
        <v>6.1 Afskrivninger på transformerstationer</v>
      </c>
      <c r="K331" s="5" t="str">
        <f t="shared" si="46"/>
        <v>DKKt</v>
      </c>
      <c r="L331" s="85">
        <f t="shared" si="47"/>
        <v>0</v>
      </c>
      <c r="O331" s="202"/>
      <c r="P331" s="202"/>
      <c r="Q331" s="202"/>
      <c r="R331" s="181">
        <f t="shared" si="51"/>
        <v>0</v>
      </c>
      <c r="S331" s="181">
        <f t="shared" si="51"/>
        <v>0</v>
      </c>
      <c r="T331" s="181">
        <f t="shared" si="51"/>
        <v>0</v>
      </c>
      <c r="U331" s="181">
        <f t="shared" si="51"/>
        <v>0</v>
      </c>
      <c r="V331" s="181">
        <f t="shared" si="51"/>
        <v>0</v>
      </c>
      <c r="W331" s="198">
        <f t="shared" si="49"/>
        <v>0</v>
      </c>
    </row>
    <row r="332" spans="4:23" ht="15" customHeight="1">
      <c r="D332" s="85" t="str">
        <f xml:space="preserve"> '2.1 Model setup'!K83</f>
        <v>6.2 Afskrivninger på netaktiver ekskl. målere og transformerstationer</v>
      </c>
      <c r="K332" s="5" t="str">
        <f t="shared" si="46"/>
        <v>DKKt</v>
      </c>
      <c r="L332" s="85">
        <f t="shared" si="47"/>
        <v>0</v>
      </c>
      <c r="O332" s="202"/>
      <c r="P332" s="202"/>
      <c r="Q332" s="202"/>
      <c r="R332" s="181">
        <f t="shared" si="51"/>
        <v>0</v>
      </c>
      <c r="S332" s="181">
        <f t="shared" si="51"/>
        <v>0</v>
      </c>
      <c r="T332" s="181">
        <f t="shared" si="51"/>
        <v>0</v>
      </c>
      <c r="U332" s="181">
        <f t="shared" si="51"/>
        <v>0</v>
      </c>
      <c r="V332" s="181">
        <f t="shared" si="51"/>
        <v>0</v>
      </c>
      <c r="W332" s="198">
        <f t="shared" si="49"/>
        <v>0</v>
      </c>
    </row>
    <row r="333" spans="4:23" ht="15" customHeight="1">
      <c r="D333" s="85" t="str">
        <f xml:space="preserve"> '2.1 Model setup'!K84</f>
        <v>6.3 Afskrivninger på målere</v>
      </c>
      <c r="K333" s="5" t="str">
        <f t="shared" si="46"/>
        <v>DKKt</v>
      </c>
      <c r="L333" s="85">
        <f t="shared" si="47"/>
        <v>0</v>
      </c>
      <c r="O333" s="202"/>
      <c r="P333" s="202"/>
      <c r="Q333" s="202"/>
      <c r="R333" s="181">
        <f t="shared" si="51"/>
        <v>0</v>
      </c>
      <c r="S333" s="181">
        <f t="shared" si="51"/>
        <v>0</v>
      </c>
      <c r="T333" s="181">
        <f t="shared" si="51"/>
        <v>0</v>
      </c>
      <c r="U333" s="181">
        <f t="shared" si="51"/>
        <v>0</v>
      </c>
      <c r="V333" s="181">
        <f t="shared" si="51"/>
        <v>0</v>
      </c>
      <c r="W333" s="198">
        <f t="shared" si="49"/>
        <v>0</v>
      </c>
    </row>
    <row r="334" spans="4:23" ht="15" customHeight="1">
      <c r="D334" s="85" t="str">
        <f xml:space="preserve"> '2.1 Model setup'!K85</f>
        <v>7.1 Transformerstationer (forrentning)</v>
      </c>
      <c r="K334" s="5" t="str">
        <f t="shared" si="46"/>
        <v>DKKt</v>
      </c>
      <c r="L334" s="85">
        <f t="shared" si="47"/>
        <v>0</v>
      </c>
      <c r="O334" s="202"/>
      <c r="P334" s="202"/>
      <c r="Q334" s="202"/>
      <c r="R334" s="181">
        <f t="shared" si="51"/>
        <v>0</v>
      </c>
      <c r="S334" s="181">
        <f t="shared" si="51"/>
        <v>0</v>
      </c>
      <c r="T334" s="181">
        <f t="shared" si="51"/>
        <v>0</v>
      </c>
      <c r="U334" s="181">
        <f t="shared" si="51"/>
        <v>0</v>
      </c>
      <c r="V334" s="181">
        <f t="shared" si="51"/>
        <v>0</v>
      </c>
      <c r="W334" s="198">
        <f t="shared" si="49"/>
        <v>0</v>
      </c>
    </row>
    <row r="335" spans="4:23" ht="15" customHeight="1">
      <c r="D335" s="85" t="str">
        <f xml:space="preserve"> '2.1 Model setup'!K86</f>
        <v>7.2 Netaktiver ekskl. målere og transformerstationer (forrentning)</v>
      </c>
      <c r="K335" s="5" t="str">
        <f t="shared" si="46"/>
        <v>DKKt</v>
      </c>
      <c r="L335" s="85">
        <f t="shared" si="47"/>
        <v>0</v>
      </c>
      <c r="O335" s="202"/>
      <c r="P335" s="202"/>
      <c r="Q335" s="202"/>
      <c r="R335" s="181">
        <f t="shared" si="51"/>
        <v>0</v>
      </c>
      <c r="S335" s="181">
        <f t="shared" si="51"/>
        <v>0</v>
      </c>
      <c r="T335" s="181">
        <f t="shared" si="51"/>
        <v>0</v>
      </c>
      <c r="U335" s="181">
        <f t="shared" si="51"/>
        <v>0</v>
      </c>
      <c r="V335" s="181">
        <f t="shared" si="51"/>
        <v>0</v>
      </c>
      <c r="W335" s="198">
        <f t="shared" si="49"/>
        <v>0</v>
      </c>
    </row>
    <row r="336" spans="4:23" ht="15" customHeight="1">
      <c r="D336" s="99" t="str">
        <f xml:space="preserve"> '2.1 Model setup'!K87</f>
        <v>7.3 Målere (forrentning)</v>
      </c>
      <c r="E336" s="27"/>
      <c r="F336" s="27"/>
      <c r="G336" s="27"/>
      <c r="H336" s="27"/>
      <c r="I336" s="27"/>
      <c r="J336" s="27"/>
      <c r="K336" s="32" t="str">
        <f t="shared" si="46"/>
        <v>DKKt</v>
      </c>
      <c r="L336" s="99">
        <f t="shared" si="47"/>
        <v>0</v>
      </c>
      <c r="M336" s="27"/>
      <c r="N336" s="27"/>
      <c r="O336" s="269"/>
      <c r="P336" s="269"/>
      <c r="Q336" s="269"/>
      <c r="R336" s="182">
        <f t="shared" si="51"/>
        <v>0</v>
      </c>
      <c r="S336" s="182">
        <f t="shared" si="51"/>
        <v>0</v>
      </c>
      <c r="T336" s="182">
        <f t="shared" si="51"/>
        <v>0</v>
      </c>
      <c r="U336" s="182">
        <f t="shared" si="51"/>
        <v>0</v>
      </c>
      <c r="V336" s="182">
        <f t="shared" si="51"/>
        <v>0</v>
      </c>
      <c r="W336" s="199">
        <f t="shared" si="49"/>
        <v>0</v>
      </c>
    </row>
    <row r="338" spans="4:23" ht="15" customHeight="1">
      <c r="D338" s="35" t="s">
        <v>500</v>
      </c>
      <c r="E338" s="27"/>
      <c r="F338" s="27"/>
      <c r="G338" s="27"/>
      <c r="H338" s="27"/>
      <c r="I338" s="27"/>
      <c r="J338" s="27"/>
      <c r="K338" s="32"/>
      <c r="L338" s="27"/>
      <c r="M338" s="27"/>
      <c r="N338" s="27"/>
      <c r="O338" s="27"/>
      <c r="P338" s="27"/>
      <c r="Q338" s="27"/>
      <c r="R338" s="27"/>
      <c r="S338" s="27"/>
      <c r="T338" s="27"/>
      <c r="U338" s="27"/>
      <c r="V338" s="27"/>
      <c r="W338" s="185" t="s">
        <v>16</v>
      </c>
    </row>
    <row r="339" spans="4:23" ht="15" customHeight="1">
      <c r="D339" s="85" t="str">
        <f xml:space="preserve"> '2.1 Model setup'!K70</f>
        <v>1.1 Drift og vedligeholdelse af transformerstationer</v>
      </c>
      <c r="K339" s="5" t="str">
        <f t="shared" ref="K339:K356" si="52" xml:space="preserve"> Model.Units</f>
        <v>DKKt</v>
      </c>
      <c r="L339" s="85">
        <f t="shared" ref="L339:L356" si="53" xml:space="preserve"> -- ( W339 &lt;&gt; 1 ) * ( W259 &gt; 0 )</f>
        <v>0</v>
      </c>
      <c r="O339" s="202"/>
      <c r="P339" s="202"/>
      <c r="Q339" s="202"/>
      <c r="R339" s="181">
        <f t="shared" ref="R339:V340" si="54" xml:space="preserve"> IF( $W259 =  0, 0, R259 / $W259 )</f>
        <v>0</v>
      </c>
      <c r="S339" s="181">
        <f t="shared" si="54"/>
        <v>0</v>
      </c>
      <c r="T339" s="181">
        <f t="shared" si="54"/>
        <v>0</v>
      </c>
      <c r="U339" s="181">
        <f t="shared" si="54"/>
        <v>0</v>
      </c>
      <c r="V339" s="181">
        <f t="shared" si="54"/>
        <v>0</v>
      </c>
      <c r="W339" s="198">
        <f t="shared" ref="W339:W356" si="55" xml:space="preserve"> SUM( R339:V339 )</f>
        <v>0</v>
      </c>
    </row>
    <row r="340" spans="4:23" ht="15" customHeight="1">
      <c r="D340" s="85" t="str">
        <f xml:space="preserve"> '2.1 Model setup'!K71</f>
        <v>1.2 Drift og vedligeholdelse af ledningsnet</v>
      </c>
      <c r="K340" s="5" t="str">
        <f t="shared" si="52"/>
        <v>DKKt</v>
      </c>
      <c r="L340" s="85">
        <f t="shared" si="53"/>
        <v>0</v>
      </c>
      <c r="O340" s="202"/>
      <c r="P340" s="202"/>
      <c r="Q340" s="202"/>
      <c r="R340" s="181">
        <f t="shared" si="54"/>
        <v>0</v>
      </c>
      <c r="S340" s="181">
        <f t="shared" si="54"/>
        <v>0</v>
      </c>
      <c r="T340" s="181">
        <f t="shared" si="54"/>
        <v>0</v>
      </c>
      <c r="U340" s="181">
        <f t="shared" si="54"/>
        <v>0</v>
      </c>
      <c r="V340" s="181">
        <f t="shared" si="54"/>
        <v>0</v>
      </c>
      <c r="W340" s="198">
        <f t="shared" si="55"/>
        <v>0</v>
      </c>
    </row>
    <row r="341" spans="4:23" ht="15" customHeight="1">
      <c r="D341" s="85" t="str">
        <f xml:space="preserve"> '2.1 Model setup'!K72</f>
        <v>1.3 Øvrige omkostninger til drift, styring og kontrol af elnettet</v>
      </c>
      <c r="K341" s="5" t="str">
        <f t="shared" si="52"/>
        <v>DKKt</v>
      </c>
      <c r="L341" s="85">
        <f t="shared" si="53"/>
        <v>0</v>
      </c>
      <c r="O341" s="202"/>
      <c r="P341" s="202"/>
      <c r="Q341" s="202"/>
      <c r="R341" s="181">
        <f t="shared" ref="R341:V342" si="56" xml:space="preserve"> IF( $W261 =  0, 0, R261 / $W261 )</f>
        <v>0</v>
      </c>
      <c r="S341" s="181">
        <f t="shared" si="56"/>
        <v>0</v>
      </c>
      <c r="T341" s="181">
        <f t="shared" si="56"/>
        <v>0</v>
      </c>
      <c r="U341" s="181">
        <f t="shared" si="56"/>
        <v>0</v>
      </c>
      <c r="V341" s="181">
        <f t="shared" si="56"/>
        <v>0</v>
      </c>
      <c r="W341" s="198">
        <f t="shared" si="55"/>
        <v>0</v>
      </c>
    </row>
    <row r="342" spans="4:23" ht="15" customHeight="1">
      <c r="D342" s="85" t="str">
        <f xml:space="preserve"> '2.1 Model setup'!K73</f>
        <v>1.4 Omkostninger vedrørende 132-150/30-60 kV-stationer</v>
      </c>
      <c r="K342" s="5" t="str">
        <f t="shared" si="52"/>
        <v>DKKt</v>
      </c>
      <c r="L342" s="85">
        <f t="shared" si="53"/>
        <v>0</v>
      </c>
      <c r="O342" s="202"/>
      <c r="P342" s="202"/>
      <c r="Q342" s="202"/>
      <c r="R342" s="181">
        <f t="shared" si="56"/>
        <v>0</v>
      </c>
      <c r="S342" s="181">
        <f t="shared" si="56"/>
        <v>0</v>
      </c>
      <c r="T342" s="181">
        <f t="shared" si="56"/>
        <v>0</v>
      </c>
      <c r="U342" s="181">
        <f t="shared" si="56"/>
        <v>0</v>
      </c>
      <c r="V342" s="181">
        <f t="shared" si="56"/>
        <v>0</v>
      </c>
      <c r="W342" s="198">
        <f xml:space="preserve"> SUM( R342:V342 )</f>
        <v>0</v>
      </c>
    </row>
    <row r="343" spans="4:23" ht="15" customHeight="1">
      <c r="D343" s="85" t="str">
        <f xml:space="preserve"> '2.1 Model setup'!K74</f>
        <v>2.1 Drift og vedligeholdelse af målere</v>
      </c>
      <c r="K343" s="5" t="str">
        <f t="shared" si="52"/>
        <v>DKKt</v>
      </c>
      <c r="L343" s="85">
        <f t="shared" si="53"/>
        <v>0</v>
      </c>
      <c r="O343" s="202"/>
      <c r="P343" s="202"/>
      <c r="Q343" s="202"/>
      <c r="R343" s="181">
        <f t="shared" ref="R343:V356" si="57" xml:space="preserve"> IF( $W263 =  0, 0, R263 / $W263 )</f>
        <v>0</v>
      </c>
      <c r="S343" s="181">
        <f t="shared" si="57"/>
        <v>0</v>
      </c>
      <c r="T343" s="181">
        <f t="shared" si="57"/>
        <v>0</v>
      </c>
      <c r="U343" s="181">
        <f t="shared" si="57"/>
        <v>0</v>
      </c>
      <c r="V343" s="181">
        <f t="shared" si="57"/>
        <v>0</v>
      </c>
      <c r="W343" s="198">
        <f t="shared" si="55"/>
        <v>0</v>
      </c>
    </row>
    <row r="344" spans="4:23" ht="15" customHeight="1">
      <c r="D344" s="85" t="str">
        <f xml:space="preserve"> '2.1 Model setup'!K75</f>
        <v>2.2 Indhentning og validering af målerdata</v>
      </c>
      <c r="K344" s="5" t="str">
        <f t="shared" si="52"/>
        <v>DKKt</v>
      </c>
      <c r="L344" s="85">
        <f t="shared" si="53"/>
        <v>0</v>
      </c>
      <c r="O344" s="202"/>
      <c r="P344" s="202"/>
      <c r="Q344" s="202"/>
      <c r="R344" s="181">
        <f t="shared" si="57"/>
        <v>0</v>
      </c>
      <c r="S344" s="181">
        <f t="shared" si="57"/>
        <v>0</v>
      </c>
      <c r="T344" s="181">
        <f t="shared" si="57"/>
        <v>0</v>
      </c>
      <c r="U344" s="181">
        <f t="shared" si="57"/>
        <v>0</v>
      </c>
      <c r="V344" s="181">
        <f t="shared" si="57"/>
        <v>0</v>
      </c>
      <c r="W344" s="198">
        <f t="shared" si="55"/>
        <v>0</v>
      </c>
    </row>
    <row r="345" spans="4:23" ht="15" customHeight="1">
      <c r="D345" s="85" t="str">
        <f xml:space="preserve"> '2.1 Model setup'!K76</f>
        <v>2.3 Måleradministration og kundehåndtering</v>
      </c>
      <c r="K345" s="5" t="str">
        <f t="shared" si="52"/>
        <v>DKKt</v>
      </c>
      <c r="L345" s="85">
        <f t="shared" si="53"/>
        <v>0</v>
      </c>
      <c r="O345" s="202"/>
      <c r="P345" s="202"/>
      <c r="Q345" s="202"/>
      <c r="R345" s="181">
        <f t="shared" si="57"/>
        <v>0</v>
      </c>
      <c r="S345" s="181">
        <f t="shared" si="57"/>
        <v>0</v>
      </c>
      <c r="T345" s="181">
        <f t="shared" si="57"/>
        <v>0</v>
      </c>
      <c r="U345" s="181">
        <f t="shared" si="57"/>
        <v>0</v>
      </c>
      <c r="V345" s="181">
        <f t="shared" si="57"/>
        <v>0</v>
      </c>
      <c r="W345" s="198">
        <f t="shared" si="55"/>
        <v>0</v>
      </c>
    </row>
    <row r="346" spans="4:23" ht="15" customHeight="1">
      <c r="D346" s="85" t="str">
        <f xml:space="preserve"> '2.1 Model setup'!K77</f>
        <v>3.1 Generel administration</v>
      </c>
      <c r="K346" s="5" t="str">
        <f t="shared" si="52"/>
        <v>DKKt</v>
      </c>
      <c r="L346" s="85">
        <f t="shared" si="53"/>
        <v>0</v>
      </c>
      <c r="O346" s="202"/>
      <c r="P346" s="202"/>
      <c r="Q346" s="202"/>
      <c r="R346" s="181">
        <f t="shared" si="57"/>
        <v>0</v>
      </c>
      <c r="S346" s="181">
        <f t="shared" si="57"/>
        <v>0</v>
      </c>
      <c r="T346" s="181">
        <f t="shared" si="57"/>
        <v>0</v>
      </c>
      <c r="U346" s="181">
        <f t="shared" si="57"/>
        <v>0</v>
      </c>
      <c r="V346" s="181">
        <f t="shared" si="57"/>
        <v>0</v>
      </c>
      <c r="W346" s="198">
        <f t="shared" si="55"/>
        <v>0</v>
      </c>
    </row>
    <row r="347" spans="4:23" ht="15" customHeight="1">
      <c r="D347" s="85" t="str">
        <f xml:space="preserve"> '2.1 Model setup'!K78</f>
        <v>4.1 Omkostninger vedrørende nettab i transformerstationer</v>
      </c>
      <c r="K347" s="5" t="str">
        <f t="shared" si="52"/>
        <v>DKKt</v>
      </c>
      <c r="L347" s="85">
        <f t="shared" si="53"/>
        <v>0</v>
      </c>
      <c r="O347" s="202"/>
      <c r="P347" s="202"/>
      <c r="Q347" s="202"/>
      <c r="R347" s="181">
        <f t="shared" si="57"/>
        <v>0</v>
      </c>
      <c r="S347" s="181">
        <f t="shared" si="57"/>
        <v>0</v>
      </c>
      <c r="T347" s="181">
        <f t="shared" si="57"/>
        <v>0</v>
      </c>
      <c r="U347" s="181">
        <f t="shared" si="57"/>
        <v>0</v>
      </c>
      <c r="V347" s="181">
        <f t="shared" si="57"/>
        <v>0</v>
      </c>
      <c r="W347" s="198">
        <f t="shared" si="55"/>
        <v>0</v>
      </c>
    </row>
    <row r="348" spans="4:23" ht="15" customHeight="1">
      <c r="D348" s="85" t="str">
        <f xml:space="preserve"> '2.1 Model setup'!K79</f>
        <v>4.2 Omkostninger vedrørende nettab i ledningsnettet</v>
      </c>
      <c r="K348" s="5" t="str">
        <f t="shared" si="52"/>
        <v>DKKt</v>
      </c>
      <c r="L348" s="85">
        <f t="shared" si="53"/>
        <v>0</v>
      </c>
      <c r="O348" s="202"/>
      <c r="P348" s="202"/>
      <c r="Q348" s="202"/>
      <c r="R348" s="181">
        <f t="shared" si="57"/>
        <v>0</v>
      </c>
      <c r="S348" s="181">
        <f t="shared" si="57"/>
        <v>0</v>
      </c>
      <c r="T348" s="181">
        <f t="shared" si="57"/>
        <v>0</v>
      </c>
      <c r="U348" s="181">
        <f t="shared" si="57"/>
        <v>0</v>
      </c>
      <c r="V348" s="181">
        <f t="shared" si="57"/>
        <v>0</v>
      </c>
      <c r="W348" s="198">
        <f t="shared" si="55"/>
        <v>0</v>
      </c>
    </row>
    <row r="349" spans="4:23" ht="15" customHeight="1">
      <c r="D349" s="85" t="str">
        <f xml:space="preserve"> '2.1 Model setup'!K80</f>
        <v>5.1 Omkostninger til overliggende net ifm. forbrug</v>
      </c>
      <c r="K349" s="5" t="str">
        <f t="shared" si="52"/>
        <v>DKKt</v>
      </c>
      <c r="L349" s="85">
        <f t="shared" si="53"/>
        <v>0</v>
      </c>
      <c r="O349" s="202"/>
      <c r="P349" s="202"/>
      <c r="Q349" s="202"/>
      <c r="R349" s="181">
        <f t="shared" si="57"/>
        <v>0</v>
      </c>
      <c r="S349" s="181">
        <f t="shared" si="57"/>
        <v>0</v>
      </c>
      <c r="T349" s="181">
        <f t="shared" si="57"/>
        <v>0</v>
      </c>
      <c r="U349" s="181">
        <f t="shared" si="57"/>
        <v>0</v>
      </c>
      <c r="V349" s="181">
        <f t="shared" si="57"/>
        <v>0</v>
      </c>
      <c r="W349" s="198">
        <f xml:space="preserve"> SUM( R349:V349 )</f>
        <v>0</v>
      </c>
    </row>
    <row r="350" spans="4:23" ht="15" customHeight="1">
      <c r="D350" s="85" t="str">
        <f xml:space="preserve"> '2.1 Model setup'!K81</f>
        <v>5.2 Øvrige omkostninger</v>
      </c>
      <c r="K350" s="5" t="str">
        <f t="shared" si="52"/>
        <v>DKKt</v>
      </c>
      <c r="L350" s="85">
        <f t="shared" si="53"/>
        <v>0</v>
      </c>
      <c r="O350" s="202"/>
      <c r="P350" s="202"/>
      <c r="Q350" s="202"/>
      <c r="R350" s="181">
        <f t="shared" si="57"/>
        <v>0</v>
      </c>
      <c r="S350" s="181">
        <f t="shared" si="57"/>
        <v>0</v>
      </c>
      <c r="T350" s="181">
        <f t="shared" si="57"/>
        <v>0</v>
      </c>
      <c r="U350" s="181">
        <f t="shared" si="57"/>
        <v>0</v>
      </c>
      <c r="V350" s="181">
        <f t="shared" si="57"/>
        <v>0</v>
      </c>
      <c r="W350" s="198">
        <f t="shared" si="55"/>
        <v>0</v>
      </c>
    </row>
    <row r="351" spans="4:23" ht="15" customHeight="1">
      <c r="D351" s="85" t="str">
        <f xml:space="preserve"> '2.1 Model setup'!K82</f>
        <v>6.1 Afskrivninger på transformerstationer</v>
      </c>
      <c r="K351" s="5" t="str">
        <f t="shared" si="52"/>
        <v>DKKt</v>
      </c>
      <c r="L351" s="85">
        <f t="shared" si="53"/>
        <v>0</v>
      </c>
      <c r="O351" s="202"/>
      <c r="P351" s="202"/>
      <c r="Q351" s="202"/>
      <c r="R351" s="181">
        <f t="shared" si="57"/>
        <v>0</v>
      </c>
      <c r="S351" s="181">
        <f t="shared" si="57"/>
        <v>0</v>
      </c>
      <c r="T351" s="181">
        <f t="shared" si="57"/>
        <v>0</v>
      </c>
      <c r="U351" s="181">
        <f t="shared" si="57"/>
        <v>0</v>
      </c>
      <c r="V351" s="181">
        <f t="shared" si="57"/>
        <v>0</v>
      </c>
      <c r="W351" s="198">
        <f t="shared" si="55"/>
        <v>0</v>
      </c>
    </row>
    <row r="352" spans="4:23" ht="15" customHeight="1">
      <c r="D352" s="85" t="str">
        <f xml:space="preserve"> '2.1 Model setup'!K83</f>
        <v>6.2 Afskrivninger på netaktiver ekskl. målere og transformerstationer</v>
      </c>
      <c r="K352" s="5" t="str">
        <f t="shared" si="52"/>
        <v>DKKt</v>
      </c>
      <c r="L352" s="85">
        <f t="shared" si="53"/>
        <v>0</v>
      </c>
      <c r="O352" s="202"/>
      <c r="P352" s="202"/>
      <c r="Q352" s="202"/>
      <c r="R352" s="181">
        <f t="shared" si="57"/>
        <v>0</v>
      </c>
      <c r="S352" s="181">
        <f t="shared" si="57"/>
        <v>0</v>
      </c>
      <c r="T352" s="181">
        <f t="shared" si="57"/>
        <v>0</v>
      </c>
      <c r="U352" s="181">
        <f t="shared" si="57"/>
        <v>0</v>
      </c>
      <c r="V352" s="181">
        <f t="shared" si="57"/>
        <v>0</v>
      </c>
      <c r="W352" s="198">
        <f t="shared" si="55"/>
        <v>0</v>
      </c>
    </row>
    <row r="353" spans="4:23" ht="15" customHeight="1">
      <c r="D353" s="85" t="str">
        <f xml:space="preserve"> '2.1 Model setup'!K84</f>
        <v>6.3 Afskrivninger på målere</v>
      </c>
      <c r="K353" s="5" t="str">
        <f t="shared" si="52"/>
        <v>DKKt</v>
      </c>
      <c r="L353" s="85">
        <f t="shared" si="53"/>
        <v>0</v>
      </c>
      <c r="O353" s="202"/>
      <c r="P353" s="202"/>
      <c r="Q353" s="202"/>
      <c r="R353" s="181">
        <f t="shared" si="57"/>
        <v>0</v>
      </c>
      <c r="S353" s="181">
        <f t="shared" si="57"/>
        <v>0</v>
      </c>
      <c r="T353" s="181">
        <f t="shared" si="57"/>
        <v>0</v>
      </c>
      <c r="U353" s="181">
        <f t="shared" si="57"/>
        <v>0</v>
      </c>
      <c r="V353" s="181">
        <f t="shared" si="57"/>
        <v>0</v>
      </c>
      <c r="W353" s="198">
        <f t="shared" si="55"/>
        <v>0</v>
      </c>
    </row>
    <row r="354" spans="4:23" ht="15" customHeight="1">
      <c r="D354" s="85" t="str">
        <f xml:space="preserve"> '2.1 Model setup'!K85</f>
        <v>7.1 Transformerstationer (forrentning)</v>
      </c>
      <c r="K354" s="5" t="str">
        <f t="shared" si="52"/>
        <v>DKKt</v>
      </c>
      <c r="L354" s="85">
        <f t="shared" si="53"/>
        <v>0</v>
      </c>
      <c r="O354" s="202"/>
      <c r="P354" s="202"/>
      <c r="Q354" s="202"/>
      <c r="R354" s="181">
        <f t="shared" si="57"/>
        <v>0</v>
      </c>
      <c r="S354" s="181">
        <f t="shared" si="57"/>
        <v>0</v>
      </c>
      <c r="T354" s="181">
        <f t="shared" si="57"/>
        <v>0</v>
      </c>
      <c r="U354" s="181">
        <f t="shared" si="57"/>
        <v>0</v>
      </c>
      <c r="V354" s="181">
        <f t="shared" si="57"/>
        <v>0</v>
      </c>
      <c r="W354" s="198">
        <f t="shared" si="55"/>
        <v>0</v>
      </c>
    </row>
    <row r="355" spans="4:23" ht="15" customHeight="1">
      <c r="D355" s="85" t="str">
        <f xml:space="preserve"> '2.1 Model setup'!K86</f>
        <v>7.2 Netaktiver ekskl. målere og transformerstationer (forrentning)</v>
      </c>
      <c r="K355" s="5" t="str">
        <f t="shared" si="52"/>
        <v>DKKt</v>
      </c>
      <c r="L355" s="85">
        <f t="shared" si="53"/>
        <v>0</v>
      </c>
      <c r="O355" s="202"/>
      <c r="P355" s="202"/>
      <c r="Q355" s="202"/>
      <c r="R355" s="181">
        <f t="shared" si="57"/>
        <v>0</v>
      </c>
      <c r="S355" s="181">
        <f t="shared" si="57"/>
        <v>0</v>
      </c>
      <c r="T355" s="181">
        <f t="shared" si="57"/>
        <v>0</v>
      </c>
      <c r="U355" s="181">
        <f t="shared" si="57"/>
        <v>0</v>
      </c>
      <c r="V355" s="181">
        <f t="shared" si="57"/>
        <v>0</v>
      </c>
      <c r="W355" s="198">
        <f t="shared" si="55"/>
        <v>0</v>
      </c>
    </row>
    <row r="356" spans="4:23" ht="15" customHeight="1">
      <c r="D356" s="99" t="str">
        <f xml:space="preserve"> '2.1 Model setup'!K87</f>
        <v>7.3 Målere (forrentning)</v>
      </c>
      <c r="E356" s="27"/>
      <c r="F356" s="27"/>
      <c r="G356" s="27"/>
      <c r="H356" s="27"/>
      <c r="I356" s="27"/>
      <c r="J356" s="27"/>
      <c r="K356" s="32" t="str">
        <f t="shared" si="52"/>
        <v>DKKt</v>
      </c>
      <c r="L356" s="99">
        <f t="shared" si="53"/>
        <v>0</v>
      </c>
      <c r="M356" s="27"/>
      <c r="N356" s="27"/>
      <c r="O356" s="269"/>
      <c r="P356" s="269"/>
      <c r="Q356" s="269"/>
      <c r="R356" s="182">
        <f t="shared" si="57"/>
        <v>0</v>
      </c>
      <c r="S356" s="182">
        <f t="shared" si="57"/>
        <v>0</v>
      </c>
      <c r="T356" s="182">
        <f t="shared" si="57"/>
        <v>0</v>
      </c>
      <c r="U356" s="182">
        <f t="shared" si="57"/>
        <v>0</v>
      </c>
      <c r="V356" s="182">
        <f t="shared" si="57"/>
        <v>0</v>
      </c>
      <c r="W356" s="199">
        <f t="shared" si="55"/>
        <v>0</v>
      </c>
    </row>
    <row r="358" spans="4:23" ht="15" customHeight="1">
      <c r="D358" s="35" t="s">
        <v>438</v>
      </c>
      <c r="E358" s="27"/>
      <c r="F358" s="27"/>
      <c r="G358" s="27"/>
      <c r="H358" s="27"/>
      <c r="I358" s="27"/>
      <c r="J358" s="27"/>
      <c r="K358" s="32"/>
      <c r="L358" s="27"/>
      <c r="M358" s="27"/>
      <c r="N358" s="27"/>
      <c r="O358" s="27"/>
      <c r="P358" s="27"/>
      <c r="Q358" s="27"/>
      <c r="R358" s="27"/>
      <c r="S358" s="27"/>
      <c r="T358" s="27"/>
      <c r="U358" s="27"/>
      <c r="V358" s="27"/>
      <c r="W358" s="185" t="s">
        <v>16</v>
      </c>
    </row>
    <row r="359" spans="4:23" ht="15" customHeight="1">
      <c r="D359" s="85" t="str">
        <f xml:space="preserve"> '2.1 Model setup'!K70</f>
        <v>1.1 Drift og vedligeholdelse af transformerstationer</v>
      </c>
      <c r="K359" s="5" t="str">
        <f t="shared" ref="K359:K377" si="58" xml:space="preserve"> Model.Units</f>
        <v>DKKt</v>
      </c>
      <c r="L359" s="85">
        <f xml:space="preserve"> -- ( ( $N173 = '2.1 Model setup'!$K$41 ) * ( ROUND( W359, 5 ) &lt;&gt; ROUND( R148, 5 ) ) )</f>
        <v>0</v>
      </c>
      <c r="O359" s="202"/>
      <c r="P359" s="202"/>
      <c r="Q359" s="202"/>
      <c r="R359" s="1">
        <f xml:space="preserve"> ( $N173 = '2.1 Model setup'!$K$41 ) *  $R148 * R279</f>
        <v>0</v>
      </c>
      <c r="S359" s="1">
        <f xml:space="preserve"> ( $N173 = '2.1 Model setup'!$K$41 ) *  $R148 * S279</f>
        <v>0</v>
      </c>
      <c r="T359" s="1">
        <f xml:space="preserve"> ( $N173 = '2.1 Model setup'!$K$41 ) *  $R148 * T279</f>
        <v>0</v>
      </c>
      <c r="U359" s="1">
        <f xml:space="preserve"> ( $N173 = '2.1 Model setup'!$K$41 ) *  $R148 * U279</f>
        <v>0</v>
      </c>
      <c r="V359" s="1">
        <f xml:space="preserve"> ( $N173 = '2.1 Model setup'!$K$41 ) *  $R148 * V279</f>
        <v>0</v>
      </c>
      <c r="W359" s="4">
        <f t="shared" ref="W359:W376" si="59" xml:space="preserve"> SUM( R359:V359 )</f>
        <v>0</v>
      </c>
    </row>
    <row r="360" spans="4:23" ht="15" customHeight="1">
      <c r="D360" s="85" t="str">
        <f xml:space="preserve"> '2.1 Model setup'!K71</f>
        <v>1.2 Drift og vedligeholdelse af ledningsnet</v>
      </c>
      <c r="K360" s="5" t="str">
        <f t="shared" si="58"/>
        <v>DKKt</v>
      </c>
      <c r="L360" s="85">
        <f xml:space="preserve"> -- ( ( $N174 = '2.1 Model setup'!$K$41 ) * ( ROUND( W360, 5 ) &lt;&gt; ROUND( R149, 5 ) ) )</f>
        <v>0</v>
      </c>
      <c r="O360" s="202"/>
      <c r="P360" s="202"/>
      <c r="Q360" s="202"/>
      <c r="R360" s="1">
        <f xml:space="preserve"> ( $N174 = '2.1 Model setup'!$K$41 ) *  $R149 * R280</f>
        <v>0</v>
      </c>
      <c r="S360" s="1">
        <f xml:space="preserve"> ( $N174 = '2.1 Model setup'!$K$41 ) *  $R149 * S280</f>
        <v>0</v>
      </c>
      <c r="T360" s="1">
        <f xml:space="preserve"> ( $N174 = '2.1 Model setup'!$K$41 ) *  $R149 * T280</f>
        <v>0</v>
      </c>
      <c r="U360" s="1">
        <f xml:space="preserve"> ( $N174 = '2.1 Model setup'!$K$41 ) *  $R149 * U280</f>
        <v>0</v>
      </c>
      <c r="V360" s="1">
        <f xml:space="preserve"> ( $N174 = '2.1 Model setup'!$K$41 ) *  $R149 * V280</f>
        <v>0</v>
      </c>
      <c r="W360" s="4">
        <f t="shared" si="59"/>
        <v>0</v>
      </c>
    </row>
    <row r="361" spans="4:23" ht="15" customHeight="1">
      <c r="D361" s="85" t="str">
        <f xml:space="preserve"> '2.1 Model setup'!K72</f>
        <v>1.3 Øvrige omkostninger til drift, styring og kontrol af elnettet</v>
      </c>
      <c r="K361" s="5" t="str">
        <f t="shared" si="58"/>
        <v>DKKt</v>
      </c>
      <c r="L361" s="85">
        <f xml:space="preserve"> -- ( ( $N175 = '2.1 Model setup'!$K$41 ) * ( ROUND( W361, 5 ) &lt;&gt; ROUND( R150, 5 ) ) )</f>
        <v>0</v>
      </c>
      <c r="O361" s="202"/>
      <c r="P361" s="202"/>
      <c r="Q361" s="202"/>
      <c r="R361" s="1">
        <f xml:space="preserve"> ( $N175 = '2.1 Model setup'!$K$41 ) *  $R150 * R281</f>
        <v>0</v>
      </c>
      <c r="S361" s="1">
        <f xml:space="preserve"> ( $N175 = '2.1 Model setup'!$K$41 ) *  $R150 * S281</f>
        <v>0</v>
      </c>
      <c r="T361" s="1">
        <f xml:space="preserve"> ( $N175 = '2.1 Model setup'!$K$41 ) *  $R150 * T281</f>
        <v>0</v>
      </c>
      <c r="U361" s="1">
        <f xml:space="preserve"> ( $N175 = '2.1 Model setup'!$K$41 ) *  $R150 * U281</f>
        <v>0</v>
      </c>
      <c r="V361" s="1">
        <f xml:space="preserve"> ( $N175 = '2.1 Model setup'!$K$41 ) *  $R150 * V281</f>
        <v>0</v>
      </c>
      <c r="W361" s="4">
        <f t="shared" si="59"/>
        <v>0</v>
      </c>
    </row>
    <row r="362" spans="4:23" ht="15" customHeight="1">
      <c r="D362" s="85" t="str">
        <f xml:space="preserve"> '2.1 Model setup'!K73</f>
        <v>1.4 Omkostninger vedrørende 132-150/30-60 kV-stationer</v>
      </c>
      <c r="K362" s="5" t="str">
        <f t="shared" si="58"/>
        <v>DKKt</v>
      </c>
      <c r="L362" s="85">
        <f xml:space="preserve"> -- ( ( $N176 = '2.1 Model setup'!$K$41 ) * ( ROUND( W362, 5 ) &lt;&gt; ROUND( R151, 5 ) ) )</f>
        <v>0</v>
      </c>
      <c r="O362" s="202"/>
      <c r="P362" s="202"/>
      <c r="Q362" s="202"/>
      <c r="R362" s="1">
        <f xml:space="preserve"> ( $N176 = '2.1 Model setup'!$K$41 ) *  $R151 * R282</f>
        <v>0</v>
      </c>
      <c r="S362" s="1">
        <f xml:space="preserve"> ( $N176 = '2.1 Model setup'!$K$41 ) *  $R151 * S282</f>
        <v>0</v>
      </c>
      <c r="T362" s="1">
        <f xml:space="preserve"> ( $N176 = '2.1 Model setup'!$K$41 ) *  $R151 * T282</f>
        <v>0</v>
      </c>
      <c r="U362" s="1">
        <f xml:space="preserve"> ( $N176 = '2.1 Model setup'!$K$41 ) *  $R151 * U282</f>
        <v>0</v>
      </c>
      <c r="V362" s="1">
        <f xml:space="preserve"> ( $N176 = '2.1 Model setup'!$K$41 ) *  $R151 * V282</f>
        <v>0</v>
      </c>
      <c r="W362" s="4">
        <f xml:space="preserve"> SUM( R362:V362 )</f>
        <v>0</v>
      </c>
    </row>
    <row r="363" spans="4:23" ht="15" customHeight="1">
      <c r="D363" s="85" t="str">
        <f xml:space="preserve"> '2.1 Model setup'!K74</f>
        <v>2.1 Drift og vedligeholdelse af målere</v>
      </c>
      <c r="K363" s="5" t="str">
        <f t="shared" si="58"/>
        <v>DKKt</v>
      </c>
      <c r="L363" s="85">
        <f xml:space="preserve"> -- ( ( $N177 = '2.1 Model setup'!$K$41 ) * ( ROUND( W363, 5 ) &lt;&gt; ROUND( R152, 5 ) ) )</f>
        <v>0</v>
      </c>
      <c r="O363" s="202"/>
      <c r="P363" s="202"/>
      <c r="Q363" s="202"/>
      <c r="R363" s="1">
        <f xml:space="preserve"> ( $N177 = '2.1 Model setup'!$K$41 ) *  $R152 * R283</f>
        <v>0</v>
      </c>
      <c r="S363" s="1">
        <f xml:space="preserve"> ( $N177 = '2.1 Model setup'!$K$41 ) *  $R152 * S283</f>
        <v>0</v>
      </c>
      <c r="T363" s="1">
        <f xml:space="preserve"> ( $N177 = '2.1 Model setup'!$K$41 ) *  $R152 * T283</f>
        <v>0</v>
      </c>
      <c r="U363" s="1">
        <f xml:space="preserve"> ( $N177 = '2.1 Model setup'!$K$41 ) *  $R152 * U283</f>
        <v>0</v>
      </c>
      <c r="V363" s="1">
        <f xml:space="preserve"> ( $N177 = '2.1 Model setup'!$K$41 ) *  $R152 * V283</f>
        <v>0</v>
      </c>
      <c r="W363" s="4">
        <f t="shared" si="59"/>
        <v>0</v>
      </c>
    </row>
    <row r="364" spans="4:23" ht="15" customHeight="1">
      <c r="D364" s="85" t="str">
        <f xml:space="preserve"> '2.1 Model setup'!K75</f>
        <v>2.2 Indhentning og validering af målerdata</v>
      </c>
      <c r="K364" s="5" t="str">
        <f t="shared" si="58"/>
        <v>DKKt</v>
      </c>
      <c r="L364" s="85">
        <f xml:space="preserve"> -- ( ( $N178 = '2.1 Model setup'!$K$41 ) * ( ROUND( W364, 5 ) &lt;&gt; ROUND( R153, 5 ) ) )</f>
        <v>0</v>
      </c>
      <c r="O364" s="202"/>
      <c r="P364" s="202"/>
      <c r="Q364" s="202"/>
      <c r="R364" s="1">
        <f xml:space="preserve"> ( $N178 = '2.1 Model setup'!$K$41 ) *  $R153 * R284</f>
        <v>0</v>
      </c>
      <c r="S364" s="1">
        <f xml:space="preserve"> ( $N178 = '2.1 Model setup'!$K$41 ) *  $R153 * S284</f>
        <v>0</v>
      </c>
      <c r="T364" s="1">
        <f xml:space="preserve"> ( $N178 = '2.1 Model setup'!$K$41 ) *  $R153 * T284</f>
        <v>0</v>
      </c>
      <c r="U364" s="1">
        <f xml:space="preserve"> ( $N178 = '2.1 Model setup'!$K$41 ) *  $R153 * U284</f>
        <v>0</v>
      </c>
      <c r="V364" s="1">
        <f xml:space="preserve"> ( $N178 = '2.1 Model setup'!$K$41 ) *  $R153 * V284</f>
        <v>0</v>
      </c>
      <c r="W364" s="4">
        <f t="shared" si="59"/>
        <v>0</v>
      </c>
    </row>
    <row r="365" spans="4:23" ht="15" customHeight="1">
      <c r="D365" s="85" t="str">
        <f xml:space="preserve"> '2.1 Model setup'!K76</f>
        <v>2.3 Måleradministration og kundehåndtering</v>
      </c>
      <c r="K365" s="5" t="str">
        <f t="shared" si="58"/>
        <v>DKKt</v>
      </c>
      <c r="L365" s="85">
        <f xml:space="preserve"> -- ( ( $N179 = '2.1 Model setup'!$K$41 ) * ( ROUND( W365, 5 ) &lt;&gt; ROUND( R154, 5 ) ) )</f>
        <v>0</v>
      </c>
      <c r="O365" s="202"/>
      <c r="P365" s="202"/>
      <c r="Q365" s="202"/>
      <c r="R365" s="1">
        <f xml:space="preserve"> ( $N179 = '2.1 Model setup'!$K$41 ) *  $R154 * R285</f>
        <v>0</v>
      </c>
      <c r="S365" s="1">
        <f xml:space="preserve"> ( $N179 = '2.1 Model setup'!$K$41 ) *  $R154 * S285</f>
        <v>0</v>
      </c>
      <c r="T365" s="1">
        <f xml:space="preserve"> ( $N179 = '2.1 Model setup'!$K$41 ) *  $R154 * T285</f>
        <v>0</v>
      </c>
      <c r="U365" s="1">
        <f xml:space="preserve"> ( $N179 = '2.1 Model setup'!$K$41 ) *  $R154 * U285</f>
        <v>0</v>
      </c>
      <c r="V365" s="1">
        <f xml:space="preserve"> ( $N179 = '2.1 Model setup'!$K$41 ) *  $R154 * V285</f>
        <v>0</v>
      </c>
      <c r="W365" s="4">
        <f t="shared" si="59"/>
        <v>0</v>
      </c>
    </row>
    <row r="366" spans="4:23" ht="15" customHeight="1">
      <c r="D366" s="85" t="str">
        <f xml:space="preserve"> '2.1 Model setup'!K77</f>
        <v>3.1 Generel administration</v>
      </c>
      <c r="K366" s="5" t="str">
        <f t="shared" si="58"/>
        <v>DKKt</v>
      </c>
      <c r="L366" s="85">
        <f xml:space="preserve"> -- ( ( $N180 = '2.1 Model setup'!$K$41 ) * ( ROUND( W366, 5 ) &lt;&gt; ROUND( R155, 5 ) ) )</f>
        <v>0</v>
      </c>
      <c r="O366" s="202"/>
      <c r="P366" s="202"/>
      <c r="Q366" s="202"/>
      <c r="R366" s="1">
        <f xml:space="preserve"> ( $N180 = '2.1 Model setup'!$K$41 ) *  $R155 * R286</f>
        <v>0</v>
      </c>
      <c r="S366" s="1">
        <f xml:space="preserve"> ( $N180 = '2.1 Model setup'!$K$41 ) *  $R155 * S286</f>
        <v>0</v>
      </c>
      <c r="T366" s="1">
        <f xml:space="preserve"> ( $N180 = '2.1 Model setup'!$K$41 ) *  $R155 * T286</f>
        <v>0</v>
      </c>
      <c r="U366" s="1">
        <f xml:space="preserve"> ( $N180 = '2.1 Model setup'!$K$41 ) *  $R155 * U286</f>
        <v>0</v>
      </c>
      <c r="V366" s="1">
        <f xml:space="preserve"> ( $N180 = '2.1 Model setup'!$K$41 ) *  $R155 * V286</f>
        <v>0</v>
      </c>
      <c r="W366" s="4">
        <f t="shared" si="59"/>
        <v>0</v>
      </c>
    </row>
    <row r="367" spans="4:23" ht="15" customHeight="1">
      <c r="D367" s="85" t="str">
        <f xml:space="preserve"> '2.1 Model setup'!K78</f>
        <v>4.1 Omkostninger vedrørende nettab i transformerstationer</v>
      </c>
      <c r="K367" s="5" t="str">
        <f t="shared" si="58"/>
        <v>DKKt</v>
      </c>
      <c r="L367" s="85">
        <f xml:space="preserve"> -- ( ( $N181 = '2.1 Model setup'!$K$41 ) * ( ROUND( W367, 5 ) &lt;&gt; ROUND( R156, 5 ) ) )</f>
        <v>0</v>
      </c>
      <c r="O367" s="202"/>
      <c r="P367" s="202"/>
      <c r="Q367" s="202"/>
      <c r="R367" s="1">
        <f xml:space="preserve"> ( $N181 = '2.1 Model setup'!$K$41 ) *  $R156 * R287</f>
        <v>0</v>
      </c>
      <c r="S367" s="1">
        <f xml:space="preserve"> ( $N181 = '2.1 Model setup'!$K$41 ) *  $R156 * S287</f>
        <v>0</v>
      </c>
      <c r="T367" s="1">
        <f xml:space="preserve"> ( $N181 = '2.1 Model setup'!$K$41 ) *  $R156 * T287</f>
        <v>0</v>
      </c>
      <c r="U367" s="1">
        <f xml:space="preserve"> ( $N181 = '2.1 Model setup'!$K$41 ) *  $R156 * U287</f>
        <v>0</v>
      </c>
      <c r="V367" s="1">
        <f xml:space="preserve"> ( $N181 = '2.1 Model setup'!$K$41 ) *  $R156 * V287</f>
        <v>0</v>
      </c>
      <c r="W367" s="4">
        <f t="shared" si="59"/>
        <v>0</v>
      </c>
    </row>
    <row r="368" spans="4:23" ht="15" customHeight="1">
      <c r="D368" s="85" t="str">
        <f xml:space="preserve"> '2.1 Model setup'!K79</f>
        <v>4.2 Omkostninger vedrørende nettab i ledningsnettet</v>
      </c>
      <c r="K368" s="5" t="str">
        <f t="shared" si="58"/>
        <v>DKKt</v>
      </c>
      <c r="L368" s="85">
        <f xml:space="preserve"> -- ( ( $N182 = '2.1 Model setup'!$K$41 ) * ( ROUND( W368, 5 ) &lt;&gt; ROUND( R157, 5 ) ) )</f>
        <v>0</v>
      </c>
      <c r="O368" s="202"/>
      <c r="P368" s="202"/>
      <c r="Q368" s="202"/>
      <c r="R368" s="1">
        <f xml:space="preserve"> ( $N182 = '2.1 Model setup'!$K$41 ) *  $R157 * R288</f>
        <v>0</v>
      </c>
      <c r="S368" s="1">
        <f xml:space="preserve"> ( $N182 = '2.1 Model setup'!$K$41 ) *  $R157 * S288</f>
        <v>0</v>
      </c>
      <c r="T368" s="1">
        <f xml:space="preserve"> ( $N182 = '2.1 Model setup'!$K$41 ) *  $R157 * T288</f>
        <v>0</v>
      </c>
      <c r="U368" s="1">
        <f xml:space="preserve"> ( $N182 = '2.1 Model setup'!$K$41 ) *  $R157 * U288</f>
        <v>0</v>
      </c>
      <c r="V368" s="1">
        <f xml:space="preserve"> ( $N182 = '2.1 Model setup'!$K$41 ) *  $R157 * V288</f>
        <v>0</v>
      </c>
      <c r="W368" s="4">
        <f t="shared" si="59"/>
        <v>0</v>
      </c>
    </row>
    <row r="369" spans="4:23" ht="15" customHeight="1">
      <c r="D369" s="85" t="str">
        <f xml:space="preserve"> '2.1 Model setup'!K80</f>
        <v>5.1 Omkostninger til overliggende net ifm. forbrug</v>
      </c>
      <c r="K369" s="5" t="str">
        <f t="shared" si="58"/>
        <v>DKKt</v>
      </c>
      <c r="L369" s="85">
        <f xml:space="preserve"> -- ( ( $N183 = '2.1 Model setup'!$K$41 ) * ( ROUND( W369, 5 ) &lt;&gt; ROUND( R158, 5 ) ) )</f>
        <v>0</v>
      </c>
      <c r="O369" s="202"/>
      <c r="P369" s="202"/>
      <c r="Q369" s="202"/>
      <c r="R369" s="1">
        <f xml:space="preserve"> ( $N183 = '2.1 Model setup'!$K$41 ) *  $R158 * R289</f>
        <v>0</v>
      </c>
      <c r="S369" s="1">
        <f xml:space="preserve"> ( $N183 = '2.1 Model setup'!$K$41 ) *  $R158 * S289</f>
        <v>0</v>
      </c>
      <c r="T369" s="1">
        <f xml:space="preserve"> ( $N183 = '2.1 Model setup'!$K$41 ) *  $R158 * T289</f>
        <v>0</v>
      </c>
      <c r="U369" s="1">
        <f xml:space="preserve"> ( $N183 = '2.1 Model setup'!$K$41 ) *  $R158 * U289</f>
        <v>0</v>
      </c>
      <c r="V369" s="1">
        <f xml:space="preserve"> ( $N183 = '2.1 Model setup'!$K$41 ) *  $R158 * V289</f>
        <v>0</v>
      </c>
      <c r="W369" s="4">
        <f xml:space="preserve"> SUM( R369:V369 )</f>
        <v>0</v>
      </c>
    </row>
    <row r="370" spans="4:23" ht="15" customHeight="1">
      <c r="D370" s="85" t="str">
        <f xml:space="preserve"> '2.1 Model setup'!K81</f>
        <v>5.2 Øvrige omkostninger</v>
      </c>
      <c r="K370" s="5" t="str">
        <f t="shared" si="58"/>
        <v>DKKt</v>
      </c>
      <c r="L370" s="85">
        <f xml:space="preserve"> -- ( ( $N184 = '2.1 Model setup'!$K$41 ) * ( ROUND( W370, 5 ) &lt;&gt; ROUND( R159, 5 ) ) )</f>
        <v>0</v>
      </c>
      <c r="O370" s="202"/>
      <c r="P370" s="202"/>
      <c r="Q370" s="202"/>
      <c r="R370" s="1">
        <f xml:space="preserve"> ( $N184 = '2.1 Model setup'!$K$41 ) *  $R159 * R290</f>
        <v>0</v>
      </c>
      <c r="S370" s="1">
        <f xml:space="preserve"> ( $N184 = '2.1 Model setup'!$K$41 ) *  $R159 * S290</f>
        <v>0</v>
      </c>
      <c r="T370" s="1">
        <f xml:space="preserve"> ( $N184 = '2.1 Model setup'!$K$41 ) *  $R159 * T290</f>
        <v>0</v>
      </c>
      <c r="U370" s="1">
        <f xml:space="preserve"> ( $N184 = '2.1 Model setup'!$K$41 ) *  $R159 * U290</f>
        <v>0</v>
      </c>
      <c r="V370" s="1">
        <f xml:space="preserve"> ( $N184 = '2.1 Model setup'!$K$41 ) *  $R159 * V290</f>
        <v>0</v>
      </c>
      <c r="W370" s="4">
        <f t="shared" si="59"/>
        <v>0</v>
      </c>
    </row>
    <row r="371" spans="4:23" ht="15" customHeight="1">
      <c r="D371" s="85" t="str">
        <f xml:space="preserve"> '2.1 Model setup'!K82</f>
        <v>6.1 Afskrivninger på transformerstationer</v>
      </c>
      <c r="K371" s="5" t="str">
        <f t="shared" si="58"/>
        <v>DKKt</v>
      </c>
      <c r="L371" s="85">
        <f xml:space="preserve"> -- ( ( $N185 = '2.1 Model setup'!$K$41 ) * ( ROUND( W371, 5 ) &lt;&gt; ROUND( R160, 5 ) ) )</f>
        <v>0</v>
      </c>
      <c r="O371" s="202"/>
      <c r="P371" s="202"/>
      <c r="Q371" s="202"/>
      <c r="R371" s="1">
        <f xml:space="preserve"> ( $N185 = '2.1 Model setup'!$K$41 ) *  $R160 * R291</f>
        <v>0</v>
      </c>
      <c r="S371" s="1">
        <f xml:space="preserve"> ( $N185 = '2.1 Model setup'!$K$41 ) *  $R160 * S291</f>
        <v>0</v>
      </c>
      <c r="T371" s="1">
        <f xml:space="preserve"> ( $N185 = '2.1 Model setup'!$K$41 ) *  $R160 * T291</f>
        <v>0</v>
      </c>
      <c r="U371" s="1">
        <f xml:space="preserve"> ( $N185 = '2.1 Model setup'!$K$41 ) *  $R160 * U291</f>
        <v>0</v>
      </c>
      <c r="V371" s="1">
        <f xml:space="preserve"> ( $N185 = '2.1 Model setup'!$K$41 ) *  $R160 * V291</f>
        <v>0</v>
      </c>
      <c r="W371" s="4">
        <f t="shared" si="59"/>
        <v>0</v>
      </c>
    </row>
    <row r="372" spans="4:23" ht="15" customHeight="1">
      <c r="D372" s="85" t="str">
        <f xml:space="preserve"> '2.1 Model setup'!K83</f>
        <v>6.2 Afskrivninger på netaktiver ekskl. målere og transformerstationer</v>
      </c>
      <c r="K372" s="5" t="str">
        <f t="shared" si="58"/>
        <v>DKKt</v>
      </c>
      <c r="L372" s="85">
        <f xml:space="preserve"> -- ( ( $N186 = '2.1 Model setup'!$K$41 ) * ( ROUND( W372, 5 ) &lt;&gt; ROUND( R161, 5 ) ) )</f>
        <v>0</v>
      </c>
      <c r="O372" s="202"/>
      <c r="P372" s="202"/>
      <c r="Q372" s="202"/>
      <c r="R372" s="1">
        <f xml:space="preserve"> ( $N186 = '2.1 Model setup'!$K$41 ) *  $R161 * R292</f>
        <v>0</v>
      </c>
      <c r="S372" s="1">
        <f xml:space="preserve"> ( $N186 = '2.1 Model setup'!$K$41 ) *  $R161 * S292</f>
        <v>0</v>
      </c>
      <c r="T372" s="1">
        <f xml:space="preserve"> ( $N186 = '2.1 Model setup'!$K$41 ) *  $R161 * T292</f>
        <v>0</v>
      </c>
      <c r="U372" s="1">
        <f xml:space="preserve"> ( $N186 = '2.1 Model setup'!$K$41 ) *  $R161 * U292</f>
        <v>0</v>
      </c>
      <c r="V372" s="1">
        <f xml:space="preserve"> ( $N186 = '2.1 Model setup'!$K$41 ) *  $R161 * V292</f>
        <v>0</v>
      </c>
      <c r="W372" s="4">
        <f t="shared" si="59"/>
        <v>0</v>
      </c>
    </row>
    <row r="373" spans="4:23" ht="15" customHeight="1">
      <c r="D373" s="85" t="str">
        <f xml:space="preserve"> '2.1 Model setup'!K84</f>
        <v>6.3 Afskrivninger på målere</v>
      </c>
      <c r="K373" s="5" t="str">
        <f t="shared" si="58"/>
        <v>DKKt</v>
      </c>
      <c r="L373" s="85">
        <f xml:space="preserve"> -- ( ( $N187 = '2.1 Model setup'!$K$41 ) * ( ROUND( W373, 5 ) &lt;&gt; ROUND( R162, 5 ) ) )</f>
        <v>0</v>
      </c>
      <c r="O373" s="202"/>
      <c r="P373" s="202"/>
      <c r="Q373" s="202"/>
      <c r="R373" s="1">
        <f xml:space="preserve"> ( $N187 = '2.1 Model setup'!$K$41 ) *  $R162 * R293</f>
        <v>0</v>
      </c>
      <c r="S373" s="1">
        <f xml:space="preserve"> ( $N187 = '2.1 Model setup'!$K$41 ) *  $R162 * S293</f>
        <v>0</v>
      </c>
      <c r="T373" s="1">
        <f xml:space="preserve"> ( $N187 = '2.1 Model setup'!$K$41 ) *  $R162 * T293</f>
        <v>0</v>
      </c>
      <c r="U373" s="1">
        <f xml:space="preserve"> ( $N187 = '2.1 Model setup'!$K$41 ) *  $R162 * U293</f>
        <v>0</v>
      </c>
      <c r="V373" s="1">
        <f xml:space="preserve"> ( $N187 = '2.1 Model setup'!$K$41 ) *  $R162 * V293</f>
        <v>0</v>
      </c>
      <c r="W373" s="4">
        <f t="shared" si="59"/>
        <v>0</v>
      </c>
    </row>
    <row r="374" spans="4:23" ht="15" customHeight="1">
      <c r="D374" s="85" t="str">
        <f xml:space="preserve"> '2.1 Model setup'!K85</f>
        <v>7.1 Transformerstationer (forrentning)</v>
      </c>
      <c r="K374" s="5" t="str">
        <f t="shared" si="58"/>
        <v>DKKt</v>
      </c>
      <c r="L374" s="85">
        <f xml:space="preserve"> -- ( ( $N188 = '2.1 Model setup'!$K$41 ) * ( ROUND( W374, 5 ) &lt;&gt; ROUND( R163, 5 ) ) )</f>
        <v>0</v>
      </c>
      <c r="O374" s="202"/>
      <c r="P374" s="202"/>
      <c r="Q374" s="202"/>
      <c r="R374" s="1">
        <f xml:space="preserve"> ( $N188 = '2.1 Model setup'!$K$41 ) *  $R163 * R294</f>
        <v>0</v>
      </c>
      <c r="S374" s="1">
        <f xml:space="preserve"> ( $N188 = '2.1 Model setup'!$K$41 ) *  $R163 * S294</f>
        <v>0</v>
      </c>
      <c r="T374" s="1">
        <f xml:space="preserve"> ( $N188 = '2.1 Model setup'!$K$41 ) *  $R163 * T294</f>
        <v>0</v>
      </c>
      <c r="U374" s="1">
        <f xml:space="preserve"> ( $N188 = '2.1 Model setup'!$K$41 ) *  $R163 * U294</f>
        <v>0</v>
      </c>
      <c r="V374" s="1">
        <f xml:space="preserve"> ( $N188 = '2.1 Model setup'!$K$41 ) *  $R163 * V294</f>
        <v>0</v>
      </c>
      <c r="W374" s="4">
        <f t="shared" si="59"/>
        <v>0</v>
      </c>
    </row>
    <row r="375" spans="4:23" ht="15" customHeight="1">
      <c r="D375" s="85" t="str">
        <f xml:space="preserve"> '2.1 Model setup'!K86</f>
        <v>7.2 Netaktiver ekskl. målere og transformerstationer (forrentning)</v>
      </c>
      <c r="K375" s="5" t="str">
        <f t="shared" si="58"/>
        <v>DKKt</v>
      </c>
      <c r="L375" s="85">
        <f xml:space="preserve"> -- ( ( $N189 = '2.1 Model setup'!$K$41 ) * ( ROUND( W375, 5 ) &lt;&gt; ROUND( R164, 5 ) ) )</f>
        <v>0</v>
      </c>
      <c r="O375" s="202"/>
      <c r="P375" s="202"/>
      <c r="Q375" s="202"/>
      <c r="R375" s="1">
        <f xml:space="preserve"> ( $N189 = '2.1 Model setup'!$K$41 ) *  $R164 * R295</f>
        <v>0</v>
      </c>
      <c r="S375" s="1">
        <f xml:space="preserve"> ( $N189 = '2.1 Model setup'!$K$41 ) *  $R164 * S295</f>
        <v>0</v>
      </c>
      <c r="T375" s="1">
        <f xml:space="preserve"> ( $N189 = '2.1 Model setup'!$K$41 ) *  $R164 * T295</f>
        <v>0</v>
      </c>
      <c r="U375" s="1">
        <f xml:space="preserve"> ( $N189 = '2.1 Model setup'!$K$41 ) *  $R164 * U295</f>
        <v>0</v>
      </c>
      <c r="V375" s="1">
        <f xml:space="preserve"> ( $N189 = '2.1 Model setup'!$K$41 ) *  $R164 * V295</f>
        <v>0</v>
      </c>
      <c r="W375" s="4">
        <f t="shared" si="59"/>
        <v>0</v>
      </c>
    </row>
    <row r="376" spans="4:23" ht="15" customHeight="1">
      <c r="D376" s="99" t="str">
        <f xml:space="preserve"> '2.1 Model setup'!K87</f>
        <v>7.3 Målere (forrentning)</v>
      </c>
      <c r="K376" s="5" t="str">
        <f t="shared" si="58"/>
        <v>DKKt</v>
      </c>
      <c r="L376" s="85">
        <f xml:space="preserve"> -- ( ( $N190 = '2.1 Model setup'!$K$41 ) * ( ROUND( W376, 5 ) &lt;&gt; ROUND( R165, 5 ) ) )</f>
        <v>0</v>
      </c>
      <c r="O376" s="202"/>
      <c r="P376" s="202"/>
      <c r="Q376" s="202"/>
      <c r="R376" s="1">
        <f xml:space="preserve"> ( $N190 = '2.1 Model setup'!$K$41 ) *  $R165 * R296</f>
        <v>0</v>
      </c>
      <c r="S376" s="1">
        <f xml:space="preserve"> ( $N190 = '2.1 Model setup'!$K$41 ) *  $R165 * S296</f>
        <v>0</v>
      </c>
      <c r="T376" s="1">
        <f xml:space="preserve"> ( $N190 = '2.1 Model setup'!$K$41 ) *  $R165 * T296</f>
        <v>0</v>
      </c>
      <c r="U376" s="1">
        <f xml:space="preserve"> ( $N190 = '2.1 Model setup'!$K$41 ) *  $R165 * U296</f>
        <v>0</v>
      </c>
      <c r="V376" s="1">
        <f xml:space="preserve"> ( $N190 = '2.1 Model setup'!$K$41 ) *  $R165 * V296</f>
        <v>0</v>
      </c>
      <c r="W376" s="4">
        <f t="shared" si="59"/>
        <v>0</v>
      </c>
    </row>
    <row r="377" spans="4:23" ht="15" customHeight="1">
      <c r="D377" s="186" t="s">
        <v>16</v>
      </c>
      <c r="E377" s="33"/>
      <c r="F377" s="33"/>
      <c r="G377" s="33"/>
      <c r="H377" s="33"/>
      <c r="I377" s="33"/>
      <c r="J377" s="33"/>
      <c r="K377" s="187" t="str">
        <f t="shared" si="58"/>
        <v>DKKt</v>
      </c>
      <c r="L377" s="186"/>
      <c r="M377" s="186"/>
      <c r="N377" s="186"/>
      <c r="O377" s="388"/>
      <c r="P377" s="388"/>
      <c r="Q377" s="388"/>
      <c r="R377" s="186">
        <f t="shared" ref="R377:W377" si="60" xml:space="preserve"> SUM( R359:R376 )</f>
        <v>0</v>
      </c>
      <c r="S377" s="186">
        <f t="shared" si="60"/>
        <v>0</v>
      </c>
      <c r="T377" s="186">
        <f t="shared" si="60"/>
        <v>0</v>
      </c>
      <c r="U377" s="186">
        <f t="shared" si="60"/>
        <v>0</v>
      </c>
      <c r="V377" s="186">
        <f t="shared" si="60"/>
        <v>0</v>
      </c>
      <c r="W377" s="186">
        <f t="shared" si="60"/>
        <v>0</v>
      </c>
    </row>
    <row r="379" spans="4:23" ht="15" customHeight="1">
      <c r="D379" s="35" t="s">
        <v>439</v>
      </c>
      <c r="E379" s="27"/>
      <c r="F379" s="27"/>
      <c r="G379" s="27"/>
      <c r="H379" s="27"/>
      <c r="I379" s="27"/>
      <c r="J379" s="27"/>
      <c r="K379" s="32"/>
      <c r="L379" s="27"/>
      <c r="M379" s="27"/>
      <c r="N379" s="27"/>
      <c r="O379" s="27"/>
      <c r="P379" s="27"/>
      <c r="Q379" s="27"/>
      <c r="R379" s="27"/>
      <c r="S379" s="27"/>
      <c r="T379" s="27"/>
      <c r="U379" s="27"/>
      <c r="V379" s="27"/>
      <c r="W379" s="185" t="s">
        <v>16</v>
      </c>
    </row>
    <row r="380" spans="4:23" ht="15" customHeight="1">
      <c r="D380" s="85" t="str">
        <f xml:space="preserve"> '2.1 Model setup'!K70</f>
        <v>1.1 Drift og vedligeholdelse af transformerstationer</v>
      </c>
      <c r="K380" s="5" t="str">
        <f t="shared" ref="K380:K398" si="61" xml:space="preserve"> Model.Units</f>
        <v>DKKt</v>
      </c>
      <c r="L380" s="85">
        <f xml:space="preserve"> -- ( ( $N173 = '2.1 Model setup'!$K$41 ) * ( ROUND( W380, 5 ) &lt;&gt;  ROUND( S148, 5 ) ) )</f>
        <v>0</v>
      </c>
      <c r="O380" s="202"/>
      <c r="P380" s="202"/>
      <c r="Q380" s="202"/>
      <c r="R380" s="1">
        <f xml:space="preserve"> ( $N173 = '2.1 Model setup'!$K$41 ) * $S148 * R299</f>
        <v>0</v>
      </c>
      <c r="S380" s="1">
        <f xml:space="preserve"> ( $N173 = '2.1 Model setup'!$K$41 ) * $S148 * S299</f>
        <v>0</v>
      </c>
      <c r="T380" s="1">
        <f xml:space="preserve"> ( $N173 = '2.1 Model setup'!$K$41 ) * $S148 * T299</f>
        <v>0</v>
      </c>
      <c r="U380" s="1">
        <f xml:space="preserve"> ( $N173 = '2.1 Model setup'!$K$41 ) * $S148 * U299</f>
        <v>0</v>
      </c>
      <c r="V380" s="1">
        <f xml:space="preserve"> ( $N173 = '2.1 Model setup'!$K$41 ) * $S148 * V299</f>
        <v>0</v>
      </c>
      <c r="W380" s="4">
        <f t="shared" ref="W380:W397" si="62" xml:space="preserve"> SUM( R380:V380 )</f>
        <v>0</v>
      </c>
    </row>
    <row r="381" spans="4:23" ht="15" customHeight="1">
      <c r="D381" s="85" t="str">
        <f xml:space="preserve"> '2.1 Model setup'!K71</f>
        <v>1.2 Drift og vedligeholdelse af ledningsnet</v>
      </c>
      <c r="K381" s="5" t="str">
        <f t="shared" si="61"/>
        <v>DKKt</v>
      </c>
      <c r="L381" s="85">
        <f xml:space="preserve"> -- ( ( $N174 = '2.1 Model setup'!$K$41 ) * ( ROUND( W381, 5 ) &lt;&gt;  ROUND( S149, 5 ) ) )</f>
        <v>0</v>
      </c>
      <c r="O381" s="202"/>
      <c r="P381" s="202"/>
      <c r="Q381" s="202"/>
      <c r="R381" s="1">
        <f xml:space="preserve"> ( $N174 = '2.1 Model setup'!$K$41 ) * $S149 * R300</f>
        <v>0</v>
      </c>
      <c r="S381" s="1">
        <f xml:space="preserve"> ( $N174 = '2.1 Model setup'!$K$41 ) * $S149 * S300</f>
        <v>0</v>
      </c>
      <c r="T381" s="1">
        <f xml:space="preserve"> ( $N174 = '2.1 Model setup'!$K$41 ) * $S149 * T300</f>
        <v>0</v>
      </c>
      <c r="U381" s="1">
        <f xml:space="preserve"> ( $N174 = '2.1 Model setup'!$K$41 ) * $S149 * U300</f>
        <v>0</v>
      </c>
      <c r="V381" s="1">
        <f xml:space="preserve"> ( $N174 = '2.1 Model setup'!$K$41 ) * $S149 * V300</f>
        <v>0</v>
      </c>
      <c r="W381" s="4">
        <f t="shared" si="62"/>
        <v>0</v>
      </c>
    </row>
    <row r="382" spans="4:23" ht="15" customHeight="1">
      <c r="D382" s="85" t="str">
        <f xml:space="preserve"> '2.1 Model setup'!K72</f>
        <v>1.3 Øvrige omkostninger til drift, styring og kontrol af elnettet</v>
      </c>
      <c r="K382" s="5" t="str">
        <f t="shared" si="61"/>
        <v>DKKt</v>
      </c>
      <c r="L382" s="85">
        <f xml:space="preserve"> -- ( ( $N175 = '2.1 Model setup'!$K$41 ) * ( ROUND( W382, 5 ) &lt;&gt;  ROUND( S150, 5 ) ) )</f>
        <v>0</v>
      </c>
      <c r="O382" s="202"/>
      <c r="P382" s="202"/>
      <c r="Q382" s="202"/>
      <c r="R382" s="1">
        <f xml:space="preserve"> ( $N175 = '2.1 Model setup'!$K$41 ) * $S150 * R301</f>
        <v>0</v>
      </c>
      <c r="S382" s="1">
        <f xml:space="preserve"> ( $N175 = '2.1 Model setup'!$K$41 ) * $S150 * S301</f>
        <v>0</v>
      </c>
      <c r="T382" s="1">
        <f xml:space="preserve"> ( $N175 = '2.1 Model setup'!$K$41 ) * $S150 * T301</f>
        <v>0</v>
      </c>
      <c r="U382" s="1">
        <f xml:space="preserve"> ( $N175 = '2.1 Model setup'!$K$41 ) * $S150 * U301</f>
        <v>0</v>
      </c>
      <c r="V382" s="1">
        <f xml:space="preserve"> ( $N175 = '2.1 Model setup'!$K$41 ) * $S150 * V301</f>
        <v>0</v>
      </c>
      <c r="W382" s="4">
        <f t="shared" si="62"/>
        <v>0</v>
      </c>
    </row>
    <row r="383" spans="4:23" ht="15" customHeight="1">
      <c r="D383" s="85" t="str">
        <f xml:space="preserve"> '2.1 Model setup'!K73</f>
        <v>1.4 Omkostninger vedrørende 132-150/30-60 kV-stationer</v>
      </c>
      <c r="K383" s="5" t="str">
        <f t="shared" si="61"/>
        <v>DKKt</v>
      </c>
      <c r="L383" s="85">
        <f xml:space="preserve"> -- ( ( $N176 = '2.1 Model setup'!$K$41 ) * ( ROUND( W383, 5 ) &lt;&gt;  ROUND( S151, 5 ) ) )</f>
        <v>0</v>
      </c>
      <c r="O383" s="202"/>
      <c r="P383" s="202"/>
      <c r="Q383" s="202"/>
      <c r="R383" s="1">
        <f xml:space="preserve"> ( $N176 = '2.1 Model setup'!$K$41 ) * $S151 * R302</f>
        <v>0</v>
      </c>
      <c r="S383" s="1">
        <f xml:space="preserve"> ( $N176 = '2.1 Model setup'!$K$41 ) * $S151 * S302</f>
        <v>0</v>
      </c>
      <c r="T383" s="1">
        <f xml:space="preserve"> ( $N176 = '2.1 Model setup'!$K$41 ) * $S151 * T302</f>
        <v>0</v>
      </c>
      <c r="U383" s="1">
        <f xml:space="preserve"> ( $N176 = '2.1 Model setup'!$K$41 ) * $S151 * U302</f>
        <v>0</v>
      </c>
      <c r="V383" s="1">
        <f xml:space="preserve"> ( $N176 = '2.1 Model setup'!$K$41 ) * $S151 * V302</f>
        <v>0</v>
      </c>
      <c r="W383" s="4">
        <f xml:space="preserve"> SUM( R383:V383 )</f>
        <v>0</v>
      </c>
    </row>
    <row r="384" spans="4:23" ht="15" customHeight="1">
      <c r="D384" s="85" t="str">
        <f xml:space="preserve"> '2.1 Model setup'!K74</f>
        <v>2.1 Drift og vedligeholdelse af målere</v>
      </c>
      <c r="K384" s="5" t="str">
        <f t="shared" si="61"/>
        <v>DKKt</v>
      </c>
      <c r="L384" s="85">
        <f xml:space="preserve"> -- ( ( $N177 = '2.1 Model setup'!$K$41 ) * ( ROUND( W384, 5 ) &lt;&gt;  ROUND( S152, 5 ) ) )</f>
        <v>0</v>
      </c>
      <c r="O384" s="202"/>
      <c r="P384" s="202"/>
      <c r="Q384" s="202"/>
      <c r="R384" s="1">
        <f xml:space="preserve"> ( $N177 = '2.1 Model setup'!$K$41 ) * $S152 * R303</f>
        <v>0</v>
      </c>
      <c r="S384" s="1">
        <f xml:space="preserve"> ( $N177 = '2.1 Model setup'!$K$41 ) * $S152 * S303</f>
        <v>0</v>
      </c>
      <c r="T384" s="1">
        <f xml:space="preserve"> ( $N177 = '2.1 Model setup'!$K$41 ) * $S152 * T303</f>
        <v>0</v>
      </c>
      <c r="U384" s="1">
        <f xml:space="preserve"> ( $N177 = '2.1 Model setup'!$K$41 ) * $S152 * U303</f>
        <v>0</v>
      </c>
      <c r="V384" s="1">
        <f xml:space="preserve"> ( $N177 = '2.1 Model setup'!$K$41 ) * $S152 * V303</f>
        <v>0</v>
      </c>
      <c r="W384" s="4">
        <f t="shared" si="62"/>
        <v>0</v>
      </c>
    </row>
    <row r="385" spans="4:23" ht="15" customHeight="1">
      <c r="D385" s="85" t="str">
        <f xml:space="preserve"> '2.1 Model setup'!K75</f>
        <v>2.2 Indhentning og validering af målerdata</v>
      </c>
      <c r="K385" s="5" t="str">
        <f t="shared" si="61"/>
        <v>DKKt</v>
      </c>
      <c r="L385" s="85">
        <f xml:space="preserve"> -- ( ( $N178 = '2.1 Model setup'!$K$41 ) * ( ROUND( W385, 5 ) &lt;&gt;  ROUND( S153, 5 ) ) )</f>
        <v>0</v>
      </c>
      <c r="O385" s="202"/>
      <c r="P385" s="202"/>
      <c r="Q385" s="202"/>
      <c r="R385" s="1">
        <f xml:space="preserve"> ( $N178 = '2.1 Model setup'!$K$41 ) * $S153 * R304</f>
        <v>0</v>
      </c>
      <c r="S385" s="1">
        <f xml:space="preserve"> ( $N178 = '2.1 Model setup'!$K$41 ) * $S153 * S304</f>
        <v>0</v>
      </c>
      <c r="T385" s="1">
        <f xml:space="preserve"> ( $N178 = '2.1 Model setup'!$K$41 ) * $S153 * T304</f>
        <v>0</v>
      </c>
      <c r="U385" s="1">
        <f xml:space="preserve"> ( $N178 = '2.1 Model setup'!$K$41 ) * $S153 * U304</f>
        <v>0</v>
      </c>
      <c r="V385" s="1">
        <f xml:space="preserve"> ( $N178 = '2.1 Model setup'!$K$41 ) * $S153 * V304</f>
        <v>0</v>
      </c>
      <c r="W385" s="4">
        <f t="shared" si="62"/>
        <v>0</v>
      </c>
    </row>
    <row r="386" spans="4:23" ht="15" customHeight="1">
      <c r="D386" s="85" t="str">
        <f xml:space="preserve"> '2.1 Model setup'!K76</f>
        <v>2.3 Måleradministration og kundehåndtering</v>
      </c>
      <c r="K386" s="5" t="str">
        <f t="shared" si="61"/>
        <v>DKKt</v>
      </c>
      <c r="L386" s="85">
        <f xml:space="preserve"> -- ( ( $N179 = '2.1 Model setup'!$K$41 ) * ( ROUND( W386, 5 ) &lt;&gt;  ROUND( S154, 5 ) ) )</f>
        <v>0</v>
      </c>
      <c r="O386" s="202"/>
      <c r="P386" s="202"/>
      <c r="Q386" s="202"/>
      <c r="R386" s="1">
        <f xml:space="preserve"> ( $N179 = '2.1 Model setup'!$K$41 ) * $S154 * R305</f>
        <v>0</v>
      </c>
      <c r="S386" s="1">
        <f xml:space="preserve"> ( $N179 = '2.1 Model setup'!$K$41 ) * $S154 * S305</f>
        <v>0</v>
      </c>
      <c r="T386" s="1">
        <f xml:space="preserve"> ( $N179 = '2.1 Model setup'!$K$41 ) * $S154 * T305</f>
        <v>0</v>
      </c>
      <c r="U386" s="1">
        <f xml:space="preserve"> ( $N179 = '2.1 Model setup'!$K$41 ) * $S154 * U305</f>
        <v>0</v>
      </c>
      <c r="V386" s="1">
        <f xml:space="preserve"> ( $N179 = '2.1 Model setup'!$K$41 ) * $S154 * V305</f>
        <v>0</v>
      </c>
      <c r="W386" s="4">
        <f t="shared" si="62"/>
        <v>0</v>
      </c>
    </row>
    <row r="387" spans="4:23" ht="15" customHeight="1">
      <c r="D387" s="85" t="str">
        <f xml:space="preserve"> '2.1 Model setup'!K77</f>
        <v>3.1 Generel administration</v>
      </c>
      <c r="K387" s="5" t="str">
        <f t="shared" si="61"/>
        <v>DKKt</v>
      </c>
      <c r="L387" s="85">
        <f xml:space="preserve"> -- ( ( $N180 = '2.1 Model setup'!$K$41 ) * ( ROUND( W387, 5 ) &lt;&gt;  ROUND( S155, 5 ) ) )</f>
        <v>0</v>
      </c>
      <c r="O387" s="202"/>
      <c r="P387" s="202"/>
      <c r="Q387" s="202"/>
      <c r="R387" s="1">
        <f xml:space="preserve"> ( $N180 = '2.1 Model setup'!$K$41 ) * $S155 * R306</f>
        <v>0</v>
      </c>
      <c r="S387" s="1">
        <f xml:space="preserve"> ( $N180 = '2.1 Model setup'!$K$41 ) * $S155 * S306</f>
        <v>0</v>
      </c>
      <c r="T387" s="1">
        <f xml:space="preserve"> ( $N180 = '2.1 Model setup'!$K$41 ) * $S155 * T306</f>
        <v>0</v>
      </c>
      <c r="U387" s="1">
        <f xml:space="preserve"> ( $N180 = '2.1 Model setup'!$K$41 ) * $S155 * U306</f>
        <v>0</v>
      </c>
      <c r="V387" s="1">
        <f xml:space="preserve"> ( $N180 = '2.1 Model setup'!$K$41 ) * $S155 * V306</f>
        <v>0</v>
      </c>
      <c r="W387" s="4">
        <f t="shared" si="62"/>
        <v>0</v>
      </c>
    </row>
    <row r="388" spans="4:23" ht="15" customHeight="1">
      <c r="D388" s="85" t="str">
        <f xml:space="preserve"> '2.1 Model setup'!K78</f>
        <v>4.1 Omkostninger vedrørende nettab i transformerstationer</v>
      </c>
      <c r="K388" s="5" t="str">
        <f t="shared" si="61"/>
        <v>DKKt</v>
      </c>
      <c r="L388" s="85">
        <f xml:space="preserve"> -- ( ( $N181 = '2.1 Model setup'!$K$41 ) * ( ROUND( W388, 5 ) &lt;&gt;  ROUND( S156, 5 ) ) )</f>
        <v>0</v>
      </c>
      <c r="O388" s="202"/>
      <c r="P388" s="202"/>
      <c r="Q388" s="202"/>
      <c r="R388" s="1">
        <f xml:space="preserve"> ( $N181 = '2.1 Model setup'!$K$41 ) * $S156 * R307</f>
        <v>0</v>
      </c>
      <c r="S388" s="1">
        <f xml:space="preserve"> ( $N181 = '2.1 Model setup'!$K$41 ) * $S156 * S307</f>
        <v>0</v>
      </c>
      <c r="T388" s="1">
        <f xml:space="preserve"> ( $N181 = '2.1 Model setup'!$K$41 ) * $S156 * T307</f>
        <v>0</v>
      </c>
      <c r="U388" s="1">
        <f xml:space="preserve"> ( $N181 = '2.1 Model setup'!$K$41 ) * $S156 * U307</f>
        <v>0</v>
      </c>
      <c r="V388" s="1">
        <f xml:space="preserve"> ( $N181 = '2.1 Model setup'!$K$41 ) * $S156 * V307</f>
        <v>0</v>
      </c>
      <c r="W388" s="4">
        <f t="shared" si="62"/>
        <v>0</v>
      </c>
    </row>
    <row r="389" spans="4:23" ht="15" customHeight="1">
      <c r="D389" s="85" t="str">
        <f xml:space="preserve"> '2.1 Model setup'!K79</f>
        <v>4.2 Omkostninger vedrørende nettab i ledningsnettet</v>
      </c>
      <c r="K389" s="5" t="str">
        <f t="shared" si="61"/>
        <v>DKKt</v>
      </c>
      <c r="L389" s="85">
        <f xml:space="preserve"> -- ( ( $N182 = '2.1 Model setup'!$K$41 ) * ( ROUND( W389, 5 ) &lt;&gt;  ROUND( S157, 5 ) ) )</f>
        <v>0</v>
      </c>
      <c r="O389" s="202"/>
      <c r="P389" s="202"/>
      <c r="Q389" s="202"/>
      <c r="R389" s="1">
        <f xml:space="preserve"> ( $N182 = '2.1 Model setup'!$K$41 ) * $S157 * R308</f>
        <v>0</v>
      </c>
      <c r="S389" s="1">
        <f xml:space="preserve"> ( $N182 = '2.1 Model setup'!$K$41 ) * $S157 * S308</f>
        <v>0</v>
      </c>
      <c r="T389" s="1">
        <f xml:space="preserve"> ( $N182 = '2.1 Model setup'!$K$41 ) * $S157 * T308</f>
        <v>0</v>
      </c>
      <c r="U389" s="1">
        <f xml:space="preserve"> ( $N182 = '2.1 Model setup'!$K$41 ) * $S157 * U308</f>
        <v>0</v>
      </c>
      <c r="V389" s="1">
        <f xml:space="preserve"> ( $N182 = '2.1 Model setup'!$K$41 ) * $S157 * V308</f>
        <v>0</v>
      </c>
      <c r="W389" s="4">
        <f t="shared" si="62"/>
        <v>0</v>
      </c>
    </row>
    <row r="390" spans="4:23" ht="15" customHeight="1">
      <c r="D390" s="85" t="str">
        <f xml:space="preserve"> '2.1 Model setup'!K80</f>
        <v>5.1 Omkostninger til overliggende net ifm. forbrug</v>
      </c>
      <c r="K390" s="5" t="str">
        <f t="shared" si="61"/>
        <v>DKKt</v>
      </c>
      <c r="L390" s="85">
        <f xml:space="preserve"> -- ( ( $N183 = '2.1 Model setup'!$K$41 ) * ( ROUND( W390, 5 ) &lt;&gt;  ROUND( S158, 5 ) ) )</f>
        <v>0</v>
      </c>
      <c r="O390" s="202"/>
      <c r="P390" s="202"/>
      <c r="Q390" s="202"/>
      <c r="R390" s="1">
        <f xml:space="preserve"> ( $N183 = '2.1 Model setup'!$K$41 ) * $S158 * R309</f>
        <v>0</v>
      </c>
      <c r="S390" s="1">
        <f xml:space="preserve"> ( $N183 = '2.1 Model setup'!$K$41 ) * $S158 * S309</f>
        <v>0</v>
      </c>
      <c r="T390" s="1">
        <f xml:space="preserve"> ( $N183 = '2.1 Model setup'!$K$41 ) * $S158 * T309</f>
        <v>0</v>
      </c>
      <c r="U390" s="1">
        <f xml:space="preserve"> ( $N183 = '2.1 Model setup'!$K$41 ) * $S158 * U309</f>
        <v>0</v>
      </c>
      <c r="V390" s="1">
        <f xml:space="preserve"> ( $N183 = '2.1 Model setup'!$K$41 ) * $S158 * V309</f>
        <v>0</v>
      </c>
      <c r="W390" s="4">
        <f xml:space="preserve"> SUM( R390:V390 )</f>
        <v>0</v>
      </c>
    </row>
    <row r="391" spans="4:23" ht="15" customHeight="1">
      <c r="D391" s="85" t="str">
        <f xml:space="preserve"> '2.1 Model setup'!K81</f>
        <v>5.2 Øvrige omkostninger</v>
      </c>
      <c r="K391" s="5" t="str">
        <f t="shared" si="61"/>
        <v>DKKt</v>
      </c>
      <c r="L391" s="85">
        <f xml:space="preserve"> -- ( ( $N184 = '2.1 Model setup'!$K$41 ) * ( ROUND( W391, 5 ) &lt;&gt;  ROUND( S159, 5 ) ) )</f>
        <v>0</v>
      </c>
      <c r="O391" s="202"/>
      <c r="P391" s="202"/>
      <c r="Q391" s="202"/>
      <c r="R391" s="1">
        <f xml:space="preserve"> ( $N184 = '2.1 Model setup'!$K$41 ) * $S159 * R310</f>
        <v>0</v>
      </c>
      <c r="S391" s="1">
        <f xml:space="preserve"> ( $N184 = '2.1 Model setup'!$K$41 ) * $S159 * S310</f>
        <v>0</v>
      </c>
      <c r="T391" s="1">
        <f xml:space="preserve"> ( $N184 = '2.1 Model setup'!$K$41 ) * $S159 * T310</f>
        <v>0</v>
      </c>
      <c r="U391" s="1">
        <f xml:space="preserve"> ( $N184 = '2.1 Model setup'!$K$41 ) * $S159 * U310</f>
        <v>0</v>
      </c>
      <c r="V391" s="1">
        <f xml:space="preserve"> ( $N184 = '2.1 Model setup'!$K$41 ) * $S159 * V310</f>
        <v>0</v>
      </c>
      <c r="W391" s="4">
        <f t="shared" si="62"/>
        <v>0</v>
      </c>
    </row>
    <row r="392" spans="4:23" ht="15" customHeight="1">
      <c r="D392" s="85" t="str">
        <f xml:space="preserve"> '2.1 Model setup'!K82</f>
        <v>6.1 Afskrivninger på transformerstationer</v>
      </c>
      <c r="K392" s="5" t="str">
        <f t="shared" si="61"/>
        <v>DKKt</v>
      </c>
      <c r="L392" s="85">
        <f xml:space="preserve"> -- ( ( $N185 = '2.1 Model setup'!$K$41 ) * ( ROUND( W392, 5 ) &lt;&gt;  ROUND( S160, 5 ) ) )</f>
        <v>0</v>
      </c>
      <c r="O392" s="202"/>
      <c r="P392" s="202"/>
      <c r="Q392" s="202"/>
      <c r="R392" s="1">
        <f xml:space="preserve"> ( $N185 = '2.1 Model setup'!$K$41 ) * $S160 * R311</f>
        <v>0</v>
      </c>
      <c r="S392" s="1">
        <f xml:space="preserve"> ( $N185 = '2.1 Model setup'!$K$41 ) * $S160 * S311</f>
        <v>0</v>
      </c>
      <c r="T392" s="1">
        <f xml:space="preserve"> ( $N185 = '2.1 Model setup'!$K$41 ) * $S160 * T311</f>
        <v>0</v>
      </c>
      <c r="U392" s="1">
        <f xml:space="preserve"> ( $N185 = '2.1 Model setup'!$K$41 ) * $S160 * U311</f>
        <v>0</v>
      </c>
      <c r="V392" s="1">
        <f xml:space="preserve"> ( $N185 = '2.1 Model setup'!$K$41 ) * $S160 * V311</f>
        <v>0</v>
      </c>
      <c r="W392" s="4">
        <f t="shared" si="62"/>
        <v>0</v>
      </c>
    </row>
    <row r="393" spans="4:23" ht="15" customHeight="1">
      <c r="D393" s="85" t="str">
        <f xml:space="preserve"> '2.1 Model setup'!K83</f>
        <v>6.2 Afskrivninger på netaktiver ekskl. målere og transformerstationer</v>
      </c>
      <c r="K393" s="5" t="str">
        <f t="shared" si="61"/>
        <v>DKKt</v>
      </c>
      <c r="L393" s="85">
        <f xml:space="preserve"> -- ( ( $N186 = '2.1 Model setup'!$K$41 ) * ( ROUND( W393, 5 ) &lt;&gt;  ROUND( S161, 5 ) ) )</f>
        <v>0</v>
      </c>
      <c r="O393" s="202"/>
      <c r="P393" s="202"/>
      <c r="Q393" s="202"/>
      <c r="R393" s="1">
        <f xml:space="preserve"> ( $N186 = '2.1 Model setup'!$K$41 ) * $S161 * R312</f>
        <v>0</v>
      </c>
      <c r="S393" s="1">
        <f xml:space="preserve"> ( $N186 = '2.1 Model setup'!$K$41 ) * $S161 * S312</f>
        <v>0</v>
      </c>
      <c r="T393" s="1">
        <f xml:space="preserve"> ( $N186 = '2.1 Model setup'!$K$41 ) * $S161 * T312</f>
        <v>0</v>
      </c>
      <c r="U393" s="1">
        <f xml:space="preserve"> ( $N186 = '2.1 Model setup'!$K$41 ) * $S161 * U312</f>
        <v>0</v>
      </c>
      <c r="V393" s="1">
        <f xml:space="preserve"> ( $N186 = '2.1 Model setup'!$K$41 ) * $S161 * V312</f>
        <v>0</v>
      </c>
      <c r="W393" s="4">
        <f t="shared" si="62"/>
        <v>0</v>
      </c>
    </row>
    <row r="394" spans="4:23" ht="15" customHeight="1">
      <c r="D394" s="85" t="str">
        <f xml:space="preserve"> '2.1 Model setup'!K84</f>
        <v>6.3 Afskrivninger på målere</v>
      </c>
      <c r="K394" s="5" t="str">
        <f t="shared" si="61"/>
        <v>DKKt</v>
      </c>
      <c r="L394" s="85">
        <f xml:space="preserve"> -- ( ( $N187 = '2.1 Model setup'!$K$41 ) * ( ROUND( W394, 5 ) &lt;&gt;  ROUND( S162, 5 ) ) )</f>
        <v>0</v>
      </c>
      <c r="O394" s="202"/>
      <c r="P394" s="202"/>
      <c r="Q394" s="202"/>
      <c r="R394" s="1">
        <f xml:space="preserve"> ( $N187 = '2.1 Model setup'!$K$41 ) * $S162 * R313</f>
        <v>0</v>
      </c>
      <c r="S394" s="1">
        <f xml:space="preserve"> ( $N187 = '2.1 Model setup'!$K$41 ) * $S162 * S313</f>
        <v>0</v>
      </c>
      <c r="T394" s="1">
        <f xml:space="preserve"> ( $N187 = '2.1 Model setup'!$K$41 ) * $S162 * T313</f>
        <v>0</v>
      </c>
      <c r="U394" s="1">
        <f xml:space="preserve"> ( $N187 = '2.1 Model setup'!$K$41 ) * $S162 * U313</f>
        <v>0</v>
      </c>
      <c r="V394" s="1">
        <f xml:space="preserve"> ( $N187 = '2.1 Model setup'!$K$41 ) * $S162 * V313</f>
        <v>0</v>
      </c>
      <c r="W394" s="4">
        <f t="shared" si="62"/>
        <v>0</v>
      </c>
    </row>
    <row r="395" spans="4:23" ht="15" customHeight="1">
      <c r="D395" s="85" t="str">
        <f xml:space="preserve"> '2.1 Model setup'!K85</f>
        <v>7.1 Transformerstationer (forrentning)</v>
      </c>
      <c r="K395" s="5" t="str">
        <f t="shared" si="61"/>
        <v>DKKt</v>
      </c>
      <c r="L395" s="85">
        <f xml:space="preserve"> -- ( ( $N188 = '2.1 Model setup'!$K$41 ) * ( ROUND( W395, 5 ) &lt;&gt;  ROUND( S163, 5 ) ) )</f>
        <v>0</v>
      </c>
      <c r="O395" s="202"/>
      <c r="P395" s="202"/>
      <c r="Q395" s="202"/>
      <c r="R395" s="1">
        <f xml:space="preserve"> ( $N188 = '2.1 Model setup'!$K$41 ) * $S163 * R314</f>
        <v>0</v>
      </c>
      <c r="S395" s="1">
        <f xml:space="preserve"> ( $N188 = '2.1 Model setup'!$K$41 ) * $S163 * S314</f>
        <v>0</v>
      </c>
      <c r="T395" s="1">
        <f xml:space="preserve"> ( $N188 = '2.1 Model setup'!$K$41 ) * $S163 * T314</f>
        <v>0</v>
      </c>
      <c r="U395" s="1">
        <f xml:space="preserve"> ( $N188 = '2.1 Model setup'!$K$41 ) * $S163 * U314</f>
        <v>0</v>
      </c>
      <c r="V395" s="1">
        <f xml:space="preserve"> ( $N188 = '2.1 Model setup'!$K$41 ) * $S163 * V314</f>
        <v>0</v>
      </c>
      <c r="W395" s="4">
        <f t="shared" si="62"/>
        <v>0</v>
      </c>
    </row>
    <row r="396" spans="4:23" ht="15" customHeight="1">
      <c r="D396" s="85" t="str">
        <f xml:space="preserve"> '2.1 Model setup'!K86</f>
        <v>7.2 Netaktiver ekskl. målere og transformerstationer (forrentning)</v>
      </c>
      <c r="K396" s="5" t="str">
        <f t="shared" si="61"/>
        <v>DKKt</v>
      </c>
      <c r="L396" s="85">
        <f xml:space="preserve"> -- ( ( $N189 = '2.1 Model setup'!$K$41 ) * ( ROUND( W396, 5 ) &lt;&gt;  ROUND( S164, 5 ) ) )</f>
        <v>0</v>
      </c>
      <c r="O396" s="202"/>
      <c r="P396" s="202"/>
      <c r="Q396" s="202"/>
      <c r="R396" s="1">
        <f xml:space="preserve"> ( $N189 = '2.1 Model setup'!$K$41 ) * $S164 * R315</f>
        <v>0</v>
      </c>
      <c r="S396" s="1">
        <f xml:space="preserve"> ( $N189 = '2.1 Model setup'!$K$41 ) * $S164 * S315</f>
        <v>0</v>
      </c>
      <c r="T396" s="1">
        <f xml:space="preserve"> ( $N189 = '2.1 Model setup'!$K$41 ) * $S164 * T315</f>
        <v>0</v>
      </c>
      <c r="U396" s="1">
        <f xml:space="preserve"> ( $N189 = '2.1 Model setup'!$K$41 ) * $S164 * U315</f>
        <v>0</v>
      </c>
      <c r="V396" s="1">
        <f xml:space="preserve"> ( $N189 = '2.1 Model setup'!$K$41 ) * $S164 * V315</f>
        <v>0</v>
      </c>
      <c r="W396" s="4">
        <f t="shared" si="62"/>
        <v>0</v>
      </c>
    </row>
    <row r="397" spans="4:23" ht="15" customHeight="1">
      <c r="D397" s="99" t="str">
        <f xml:space="preserve"> '2.1 Model setup'!K87</f>
        <v>7.3 Målere (forrentning)</v>
      </c>
      <c r="K397" s="5" t="str">
        <f t="shared" si="61"/>
        <v>DKKt</v>
      </c>
      <c r="L397" s="85">
        <f xml:space="preserve"> -- ( ( $N190 = '2.1 Model setup'!$K$41 ) * ( ROUND( W397, 5 ) &lt;&gt;  ROUND( S165, 5 ) ) )</f>
        <v>0</v>
      </c>
      <c r="O397" s="202"/>
      <c r="P397" s="202"/>
      <c r="Q397" s="202"/>
      <c r="R397" s="1">
        <f xml:space="preserve"> ( $N190 = '2.1 Model setup'!$K$41 ) * $S165 * R316</f>
        <v>0</v>
      </c>
      <c r="S397" s="1">
        <f xml:space="preserve"> ( $N190 = '2.1 Model setup'!$K$41 ) * $S165 * S316</f>
        <v>0</v>
      </c>
      <c r="T397" s="1">
        <f xml:space="preserve"> ( $N190 = '2.1 Model setup'!$K$41 ) * $S165 * T316</f>
        <v>0</v>
      </c>
      <c r="U397" s="1">
        <f xml:space="preserve"> ( $N190 = '2.1 Model setup'!$K$41 ) * $S165 * U316</f>
        <v>0</v>
      </c>
      <c r="V397" s="1">
        <f xml:space="preserve"> ( $N190 = '2.1 Model setup'!$K$41 ) * $S165 * V316</f>
        <v>0</v>
      </c>
      <c r="W397" s="4">
        <f t="shared" si="62"/>
        <v>0</v>
      </c>
    </row>
    <row r="398" spans="4:23" ht="15" customHeight="1">
      <c r="D398" s="186" t="s">
        <v>16</v>
      </c>
      <c r="E398" s="33"/>
      <c r="F398" s="33"/>
      <c r="G398" s="33"/>
      <c r="H398" s="33"/>
      <c r="I398" s="33"/>
      <c r="J398" s="33"/>
      <c r="K398" s="187" t="str">
        <f t="shared" si="61"/>
        <v>DKKt</v>
      </c>
      <c r="L398" s="186"/>
      <c r="M398" s="186"/>
      <c r="N398" s="186"/>
      <c r="O398" s="388"/>
      <c r="P398" s="388"/>
      <c r="Q398" s="388"/>
      <c r="R398" s="186">
        <f t="shared" ref="R398:W398" si="63" xml:space="preserve"> SUM( R380:R397 )</f>
        <v>0</v>
      </c>
      <c r="S398" s="186">
        <f t="shared" si="63"/>
        <v>0</v>
      </c>
      <c r="T398" s="186">
        <f t="shared" si="63"/>
        <v>0</v>
      </c>
      <c r="U398" s="186">
        <f t="shared" si="63"/>
        <v>0</v>
      </c>
      <c r="V398" s="186">
        <f t="shared" si="63"/>
        <v>0</v>
      </c>
      <c r="W398" s="186">
        <f t="shared" si="63"/>
        <v>0</v>
      </c>
    </row>
    <row r="400" spans="4:23" ht="15" customHeight="1">
      <c r="D400" s="35" t="s">
        <v>440</v>
      </c>
      <c r="E400" s="27"/>
      <c r="F400" s="27"/>
      <c r="G400" s="27"/>
      <c r="H400" s="27"/>
      <c r="I400" s="27"/>
      <c r="J400" s="27"/>
      <c r="K400" s="32"/>
      <c r="L400" s="27"/>
      <c r="M400" s="27"/>
      <c r="N400" s="27"/>
      <c r="O400" s="27"/>
      <c r="P400" s="27"/>
      <c r="Q400" s="27"/>
      <c r="R400" s="27"/>
      <c r="S400" s="27"/>
      <c r="T400" s="27"/>
      <c r="U400" s="27"/>
      <c r="V400" s="27"/>
      <c r="W400" s="185" t="s">
        <v>16</v>
      </c>
    </row>
    <row r="401" spans="4:23" ht="15" customHeight="1">
      <c r="D401" s="85" t="str">
        <f xml:space="preserve"> '2.1 Model setup'!K70</f>
        <v>1.1 Drift og vedligeholdelse af transformerstationer</v>
      </c>
      <c r="K401" s="5" t="str">
        <f t="shared" ref="K401:K419" si="64" xml:space="preserve"> Model.Units</f>
        <v>DKKt</v>
      </c>
      <c r="L401" s="85">
        <f xml:space="preserve"> -- ( ( $N173 = '2.1 Model setup'!$K$41 ) * ( ROUND( W401, 5 ) &lt;&gt;  ROUND( T148, 5 ) ) )</f>
        <v>0</v>
      </c>
      <c r="O401" s="202"/>
      <c r="P401" s="202"/>
      <c r="Q401" s="202"/>
      <c r="R401" s="1">
        <f xml:space="preserve"> ( $N173 = '2.1 Model setup'!$K$41 ) *  $T148 * R319</f>
        <v>0</v>
      </c>
      <c r="S401" s="1">
        <f xml:space="preserve"> ( $N173 = '2.1 Model setup'!$K$41 ) *  $T148 * S319</f>
        <v>0</v>
      </c>
      <c r="T401" s="1">
        <f xml:space="preserve"> ( $N173 = '2.1 Model setup'!$K$41 ) *  $T148 * T319</f>
        <v>0</v>
      </c>
      <c r="U401" s="1">
        <f xml:space="preserve"> ( $N173 = '2.1 Model setup'!$K$41 ) *  $T148 * U319</f>
        <v>0</v>
      </c>
      <c r="V401" s="1">
        <f xml:space="preserve"> ( $N173 = '2.1 Model setup'!$K$41 ) *  $T148 * V319</f>
        <v>0</v>
      </c>
      <c r="W401" s="4">
        <f t="shared" ref="W401:W418" si="65" xml:space="preserve"> SUM( R401:V401 )</f>
        <v>0</v>
      </c>
    </row>
    <row r="402" spans="4:23" ht="15" customHeight="1">
      <c r="D402" s="85" t="str">
        <f xml:space="preserve"> '2.1 Model setup'!K71</f>
        <v>1.2 Drift og vedligeholdelse af ledningsnet</v>
      </c>
      <c r="K402" s="5" t="str">
        <f t="shared" si="64"/>
        <v>DKKt</v>
      </c>
      <c r="L402" s="85">
        <f xml:space="preserve"> -- ( ( $N174 = '2.1 Model setup'!$K$41 ) * ( ROUND( W402, 5 ) &lt;&gt;  ROUND( T149, 5 ) ) )</f>
        <v>0</v>
      </c>
      <c r="O402" s="202"/>
      <c r="P402" s="202"/>
      <c r="Q402" s="202"/>
      <c r="R402" s="1">
        <f xml:space="preserve"> ( $N174 = '2.1 Model setup'!$K$41 ) *  $T149 * R320</f>
        <v>0</v>
      </c>
      <c r="S402" s="1">
        <f xml:space="preserve"> ( $N174 = '2.1 Model setup'!$K$41 ) *  $T149 * S320</f>
        <v>0</v>
      </c>
      <c r="T402" s="1">
        <f xml:space="preserve"> ( $N174 = '2.1 Model setup'!$K$41 ) *  $T149 * T320</f>
        <v>0</v>
      </c>
      <c r="U402" s="1">
        <f xml:space="preserve"> ( $N174 = '2.1 Model setup'!$K$41 ) *  $T149 * U320</f>
        <v>0</v>
      </c>
      <c r="V402" s="1">
        <f xml:space="preserve"> ( $N174 = '2.1 Model setup'!$K$41 ) *  $T149 * V320</f>
        <v>0</v>
      </c>
      <c r="W402" s="4">
        <f t="shared" si="65"/>
        <v>0</v>
      </c>
    </row>
    <row r="403" spans="4:23" ht="15" customHeight="1">
      <c r="D403" s="85" t="str">
        <f xml:space="preserve"> '2.1 Model setup'!K72</f>
        <v>1.3 Øvrige omkostninger til drift, styring og kontrol af elnettet</v>
      </c>
      <c r="K403" s="5" t="str">
        <f t="shared" si="64"/>
        <v>DKKt</v>
      </c>
      <c r="L403" s="85">
        <f xml:space="preserve"> -- ( ( $N175 = '2.1 Model setup'!$K$41 ) * ( ROUND( W403, 5 ) &lt;&gt;  ROUND( T150, 5 ) ) )</f>
        <v>0</v>
      </c>
      <c r="O403" s="202"/>
      <c r="P403" s="202"/>
      <c r="Q403" s="202"/>
      <c r="R403" s="1">
        <f xml:space="preserve"> ( $N175 = '2.1 Model setup'!$K$41 ) *  $T150 * R321</f>
        <v>0</v>
      </c>
      <c r="S403" s="1">
        <f xml:space="preserve"> ( $N175 = '2.1 Model setup'!$K$41 ) *  $T150 * S321</f>
        <v>0</v>
      </c>
      <c r="T403" s="1">
        <f xml:space="preserve"> ( $N175 = '2.1 Model setup'!$K$41 ) *  $T150 * T321</f>
        <v>0</v>
      </c>
      <c r="U403" s="1">
        <f xml:space="preserve"> ( $N175 = '2.1 Model setup'!$K$41 ) *  $T150 * U321</f>
        <v>0</v>
      </c>
      <c r="V403" s="1">
        <f xml:space="preserve"> ( $N175 = '2.1 Model setup'!$K$41 ) *  $T150 * V321</f>
        <v>0</v>
      </c>
      <c r="W403" s="4">
        <f t="shared" si="65"/>
        <v>0</v>
      </c>
    </row>
    <row r="404" spans="4:23" ht="15" customHeight="1">
      <c r="D404" s="85" t="str">
        <f xml:space="preserve"> '2.1 Model setup'!K73</f>
        <v>1.4 Omkostninger vedrørende 132-150/30-60 kV-stationer</v>
      </c>
      <c r="K404" s="5" t="str">
        <f t="shared" si="64"/>
        <v>DKKt</v>
      </c>
      <c r="L404" s="85">
        <f xml:space="preserve"> -- ( ( $N176 = '2.1 Model setup'!$K$41 ) * ( ROUND( W404, 5 ) &lt;&gt;  ROUND( T151, 5 ) ) )</f>
        <v>0</v>
      </c>
      <c r="O404" s="202"/>
      <c r="P404" s="202"/>
      <c r="Q404" s="202"/>
      <c r="R404" s="1">
        <f xml:space="preserve"> ( $N176 = '2.1 Model setup'!$K$41 ) *  $T151 * R322</f>
        <v>0</v>
      </c>
      <c r="S404" s="1">
        <f xml:space="preserve"> ( $N176 = '2.1 Model setup'!$K$41 ) *  $T151 * S322</f>
        <v>0</v>
      </c>
      <c r="T404" s="1">
        <f xml:space="preserve"> ( $N176 = '2.1 Model setup'!$K$41 ) *  $T151 * T322</f>
        <v>0</v>
      </c>
      <c r="U404" s="1">
        <f xml:space="preserve"> ( $N176 = '2.1 Model setup'!$K$41 ) *  $T151 * U322</f>
        <v>0</v>
      </c>
      <c r="V404" s="1">
        <f xml:space="preserve"> ( $N176 = '2.1 Model setup'!$K$41 ) *  $T151 * V322</f>
        <v>0</v>
      </c>
      <c r="W404" s="4">
        <f xml:space="preserve"> SUM( R404:V404 )</f>
        <v>0</v>
      </c>
    </row>
    <row r="405" spans="4:23" ht="15" customHeight="1">
      <c r="D405" s="85" t="str">
        <f xml:space="preserve"> '2.1 Model setup'!K74</f>
        <v>2.1 Drift og vedligeholdelse af målere</v>
      </c>
      <c r="K405" s="5" t="str">
        <f t="shared" si="64"/>
        <v>DKKt</v>
      </c>
      <c r="L405" s="85">
        <f xml:space="preserve"> -- ( ( $N177 = '2.1 Model setup'!$K$41 ) * ( ROUND( W405, 5 ) &lt;&gt;  ROUND( T152, 5 ) ) )</f>
        <v>0</v>
      </c>
      <c r="O405" s="202"/>
      <c r="P405" s="202"/>
      <c r="Q405" s="202"/>
      <c r="R405" s="1">
        <f xml:space="preserve"> ( $N177 = '2.1 Model setup'!$K$41 ) *  $T152 * R323</f>
        <v>0</v>
      </c>
      <c r="S405" s="1">
        <f xml:space="preserve"> ( $N177 = '2.1 Model setup'!$K$41 ) *  $T152 * S323</f>
        <v>0</v>
      </c>
      <c r="T405" s="1">
        <f xml:space="preserve"> ( $N177 = '2.1 Model setup'!$K$41 ) *  $T152 * T323</f>
        <v>0</v>
      </c>
      <c r="U405" s="1">
        <f xml:space="preserve"> ( $N177 = '2.1 Model setup'!$K$41 ) *  $T152 * U323</f>
        <v>0</v>
      </c>
      <c r="V405" s="1">
        <f xml:space="preserve"> ( $N177 = '2.1 Model setup'!$K$41 ) *  $T152 * V323</f>
        <v>0</v>
      </c>
      <c r="W405" s="4">
        <f t="shared" si="65"/>
        <v>0</v>
      </c>
    </row>
    <row r="406" spans="4:23" ht="15" customHeight="1">
      <c r="D406" s="85" t="str">
        <f xml:space="preserve"> '2.1 Model setup'!K75</f>
        <v>2.2 Indhentning og validering af målerdata</v>
      </c>
      <c r="K406" s="5" t="str">
        <f t="shared" si="64"/>
        <v>DKKt</v>
      </c>
      <c r="L406" s="85">
        <f xml:space="preserve"> -- ( ( $N178 = '2.1 Model setup'!$K$41 ) * ( ROUND( W406, 5 ) &lt;&gt;  ROUND( T153, 5 ) ) )</f>
        <v>0</v>
      </c>
      <c r="O406" s="202"/>
      <c r="P406" s="202"/>
      <c r="Q406" s="202"/>
      <c r="R406" s="1">
        <f xml:space="preserve"> ( $N178 = '2.1 Model setup'!$K$41 ) *  $T153 * R324</f>
        <v>0</v>
      </c>
      <c r="S406" s="1">
        <f xml:space="preserve"> ( $N178 = '2.1 Model setup'!$K$41 ) *  $T153 * S324</f>
        <v>0</v>
      </c>
      <c r="T406" s="1">
        <f xml:space="preserve"> ( $N178 = '2.1 Model setup'!$K$41 ) *  $T153 * T324</f>
        <v>0</v>
      </c>
      <c r="U406" s="1">
        <f xml:space="preserve"> ( $N178 = '2.1 Model setup'!$K$41 ) *  $T153 * U324</f>
        <v>0</v>
      </c>
      <c r="V406" s="1">
        <f xml:space="preserve"> ( $N178 = '2.1 Model setup'!$K$41 ) *  $T153 * V324</f>
        <v>0</v>
      </c>
      <c r="W406" s="4">
        <f t="shared" si="65"/>
        <v>0</v>
      </c>
    </row>
    <row r="407" spans="4:23" ht="15" customHeight="1">
      <c r="D407" s="85" t="str">
        <f xml:space="preserve"> '2.1 Model setup'!K76</f>
        <v>2.3 Måleradministration og kundehåndtering</v>
      </c>
      <c r="K407" s="5" t="str">
        <f t="shared" si="64"/>
        <v>DKKt</v>
      </c>
      <c r="L407" s="85">
        <f xml:space="preserve"> -- ( ( $N179 = '2.1 Model setup'!$K$41 ) * ( ROUND( W407, 5 ) &lt;&gt;  ROUND( T154, 5 ) ) )</f>
        <v>0</v>
      </c>
      <c r="O407" s="202"/>
      <c r="P407" s="202"/>
      <c r="Q407" s="202"/>
      <c r="R407" s="1">
        <f xml:space="preserve"> ( $N179 = '2.1 Model setup'!$K$41 ) *  $T154 * R325</f>
        <v>0</v>
      </c>
      <c r="S407" s="1">
        <f xml:space="preserve"> ( $N179 = '2.1 Model setup'!$K$41 ) *  $T154 * S325</f>
        <v>0</v>
      </c>
      <c r="T407" s="1">
        <f xml:space="preserve"> ( $N179 = '2.1 Model setup'!$K$41 ) *  $T154 * T325</f>
        <v>0</v>
      </c>
      <c r="U407" s="1">
        <f xml:space="preserve"> ( $N179 = '2.1 Model setup'!$K$41 ) *  $T154 * U325</f>
        <v>0</v>
      </c>
      <c r="V407" s="1">
        <f xml:space="preserve"> ( $N179 = '2.1 Model setup'!$K$41 ) *  $T154 * V325</f>
        <v>0</v>
      </c>
      <c r="W407" s="4">
        <f t="shared" si="65"/>
        <v>0</v>
      </c>
    </row>
    <row r="408" spans="4:23" ht="15" customHeight="1">
      <c r="D408" s="85" t="str">
        <f xml:space="preserve"> '2.1 Model setup'!K77</f>
        <v>3.1 Generel administration</v>
      </c>
      <c r="K408" s="5" t="str">
        <f t="shared" si="64"/>
        <v>DKKt</v>
      </c>
      <c r="L408" s="85">
        <f xml:space="preserve"> -- ( ( $N180 = '2.1 Model setup'!$K$41 ) * ( ROUND( W408, 5 ) &lt;&gt;  ROUND( T155, 5 ) ) )</f>
        <v>0</v>
      </c>
      <c r="O408" s="202"/>
      <c r="P408" s="202"/>
      <c r="Q408" s="202"/>
      <c r="R408" s="1">
        <f xml:space="preserve"> ( $N180 = '2.1 Model setup'!$K$41 ) *  $T155 * R326</f>
        <v>0</v>
      </c>
      <c r="S408" s="1">
        <f xml:space="preserve"> ( $N180 = '2.1 Model setup'!$K$41 ) *  $T155 * S326</f>
        <v>0</v>
      </c>
      <c r="T408" s="1">
        <f xml:space="preserve"> ( $N180 = '2.1 Model setup'!$K$41 ) *  $T155 * T326</f>
        <v>0</v>
      </c>
      <c r="U408" s="1">
        <f xml:space="preserve"> ( $N180 = '2.1 Model setup'!$K$41 ) *  $T155 * U326</f>
        <v>0</v>
      </c>
      <c r="V408" s="1">
        <f xml:space="preserve"> ( $N180 = '2.1 Model setup'!$K$41 ) *  $T155 * V326</f>
        <v>0</v>
      </c>
      <c r="W408" s="4">
        <f t="shared" si="65"/>
        <v>0</v>
      </c>
    </row>
    <row r="409" spans="4:23" ht="15" customHeight="1">
      <c r="D409" s="85" t="str">
        <f xml:space="preserve"> '2.1 Model setup'!K78</f>
        <v>4.1 Omkostninger vedrørende nettab i transformerstationer</v>
      </c>
      <c r="K409" s="5" t="str">
        <f t="shared" si="64"/>
        <v>DKKt</v>
      </c>
      <c r="L409" s="85">
        <f xml:space="preserve"> -- ( ( $N181 = '2.1 Model setup'!$K$41 ) * ( ROUND( W409, 5 ) &lt;&gt;  ROUND( T156, 5 ) ) )</f>
        <v>0</v>
      </c>
      <c r="O409" s="202"/>
      <c r="P409" s="202"/>
      <c r="Q409" s="202"/>
      <c r="R409" s="1">
        <f xml:space="preserve"> ( $N181 = '2.1 Model setup'!$K$41 ) *  $T156 * R327</f>
        <v>0</v>
      </c>
      <c r="S409" s="1">
        <f xml:space="preserve"> ( $N181 = '2.1 Model setup'!$K$41 ) *  $T156 * S327</f>
        <v>0</v>
      </c>
      <c r="T409" s="1">
        <f xml:space="preserve"> ( $N181 = '2.1 Model setup'!$K$41 ) *  $T156 * T327</f>
        <v>0</v>
      </c>
      <c r="U409" s="1">
        <f xml:space="preserve"> ( $N181 = '2.1 Model setup'!$K$41 ) *  $T156 * U327</f>
        <v>0</v>
      </c>
      <c r="V409" s="1">
        <f xml:space="preserve"> ( $N181 = '2.1 Model setup'!$K$41 ) *  $T156 * V327</f>
        <v>0</v>
      </c>
      <c r="W409" s="4">
        <f t="shared" si="65"/>
        <v>0</v>
      </c>
    </row>
    <row r="410" spans="4:23" ht="15" customHeight="1">
      <c r="D410" s="85" t="str">
        <f xml:space="preserve"> '2.1 Model setup'!K79</f>
        <v>4.2 Omkostninger vedrørende nettab i ledningsnettet</v>
      </c>
      <c r="K410" s="5" t="str">
        <f t="shared" si="64"/>
        <v>DKKt</v>
      </c>
      <c r="L410" s="85">
        <f xml:space="preserve"> -- ( ( $N182 = '2.1 Model setup'!$K$41 ) * ( ROUND( W410, 5 ) &lt;&gt;  ROUND( T157, 5 ) ) )</f>
        <v>0</v>
      </c>
      <c r="O410" s="202"/>
      <c r="P410" s="202"/>
      <c r="Q410" s="202"/>
      <c r="R410" s="1">
        <f xml:space="preserve"> ( $N182 = '2.1 Model setup'!$K$41 ) *  $T157 * R328</f>
        <v>0</v>
      </c>
      <c r="S410" s="1">
        <f xml:space="preserve"> ( $N182 = '2.1 Model setup'!$K$41 ) *  $T157 * S328</f>
        <v>0</v>
      </c>
      <c r="T410" s="1">
        <f xml:space="preserve"> ( $N182 = '2.1 Model setup'!$K$41 ) *  $T157 * T328</f>
        <v>0</v>
      </c>
      <c r="U410" s="1">
        <f xml:space="preserve"> ( $N182 = '2.1 Model setup'!$K$41 ) *  $T157 * U328</f>
        <v>0</v>
      </c>
      <c r="V410" s="1">
        <f xml:space="preserve"> ( $N182 = '2.1 Model setup'!$K$41 ) *  $T157 * V328</f>
        <v>0</v>
      </c>
      <c r="W410" s="4">
        <f t="shared" si="65"/>
        <v>0</v>
      </c>
    </row>
    <row r="411" spans="4:23" ht="15" customHeight="1">
      <c r="D411" s="85" t="str">
        <f xml:space="preserve"> '2.1 Model setup'!K80</f>
        <v>5.1 Omkostninger til overliggende net ifm. forbrug</v>
      </c>
      <c r="K411" s="5" t="str">
        <f t="shared" si="64"/>
        <v>DKKt</v>
      </c>
      <c r="L411" s="85">
        <f xml:space="preserve"> -- ( ( $N183 = '2.1 Model setup'!$K$41 ) * ( ROUND( W411, 5 ) &lt;&gt;  ROUND( T158, 5 ) ) )</f>
        <v>0</v>
      </c>
      <c r="O411" s="202"/>
      <c r="P411" s="202"/>
      <c r="Q411" s="202"/>
      <c r="R411" s="1">
        <f xml:space="preserve"> ( $N183 = '2.1 Model setup'!$K$41 ) *  $T158 * R329</f>
        <v>0</v>
      </c>
      <c r="S411" s="1">
        <f xml:space="preserve"> ( $N183 = '2.1 Model setup'!$K$41 ) *  $T158 * S329</f>
        <v>0</v>
      </c>
      <c r="T411" s="1">
        <f xml:space="preserve"> ( $N183 = '2.1 Model setup'!$K$41 ) *  $T158 * T329</f>
        <v>0</v>
      </c>
      <c r="U411" s="1">
        <f xml:space="preserve"> ( $N183 = '2.1 Model setup'!$K$41 ) *  $T158 * U329</f>
        <v>0</v>
      </c>
      <c r="V411" s="1">
        <f xml:space="preserve"> ( $N183 = '2.1 Model setup'!$K$41 ) *  $T158 * V329</f>
        <v>0</v>
      </c>
      <c r="W411" s="4">
        <f xml:space="preserve"> SUM( R411:V411 )</f>
        <v>0</v>
      </c>
    </row>
    <row r="412" spans="4:23" ht="15" customHeight="1">
      <c r="D412" s="85" t="str">
        <f xml:space="preserve"> '2.1 Model setup'!K81</f>
        <v>5.2 Øvrige omkostninger</v>
      </c>
      <c r="K412" s="5" t="str">
        <f t="shared" si="64"/>
        <v>DKKt</v>
      </c>
      <c r="L412" s="85">
        <f xml:space="preserve"> -- ( ( $N184 = '2.1 Model setup'!$K$41 ) * ( ROUND( W412, 5 ) &lt;&gt;  ROUND( T159, 5 ) ) )</f>
        <v>0</v>
      </c>
      <c r="O412" s="202"/>
      <c r="P412" s="202"/>
      <c r="Q412" s="202"/>
      <c r="R412" s="1">
        <f xml:space="preserve"> ( $N184 = '2.1 Model setup'!$K$41 ) *  $T159 * R330</f>
        <v>0</v>
      </c>
      <c r="S412" s="1">
        <f xml:space="preserve"> ( $N184 = '2.1 Model setup'!$K$41 ) *  $T159 * S330</f>
        <v>0</v>
      </c>
      <c r="T412" s="1">
        <f xml:space="preserve"> ( $N184 = '2.1 Model setup'!$K$41 ) *  $T159 * T330</f>
        <v>0</v>
      </c>
      <c r="U412" s="1">
        <f xml:space="preserve"> ( $N184 = '2.1 Model setup'!$K$41 ) *  $T159 * U330</f>
        <v>0</v>
      </c>
      <c r="V412" s="1">
        <f xml:space="preserve"> ( $N184 = '2.1 Model setup'!$K$41 ) *  $T159 * V330</f>
        <v>0</v>
      </c>
      <c r="W412" s="4">
        <f t="shared" si="65"/>
        <v>0</v>
      </c>
    </row>
    <row r="413" spans="4:23" ht="15" customHeight="1">
      <c r="D413" s="85" t="str">
        <f xml:space="preserve"> '2.1 Model setup'!K82</f>
        <v>6.1 Afskrivninger på transformerstationer</v>
      </c>
      <c r="K413" s="5" t="str">
        <f t="shared" si="64"/>
        <v>DKKt</v>
      </c>
      <c r="L413" s="85">
        <f xml:space="preserve"> -- ( ( $N185 = '2.1 Model setup'!$K$41 ) * ( ROUND( W413, 5 ) &lt;&gt;  ROUND( T160, 5 ) ) )</f>
        <v>0</v>
      </c>
      <c r="O413" s="202"/>
      <c r="P413" s="202"/>
      <c r="Q413" s="202"/>
      <c r="R413" s="1">
        <f xml:space="preserve"> ( $N185 = '2.1 Model setup'!$K$41 ) *  $T160 * R331</f>
        <v>0</v>
      </c>
      <c r="S413" s="1">
        <f xml:space="preserve"> ( $N185 = '2.1 Model setup'!$K$41 ) *  $T160 * S331</f>
        <v>0</v>
      </c>
      <c r="T413" s="1">
        <f xml:space="preserve"> ( $N185 = '2.1 Model setup'!$K$41 ) *  $T160 * T331</f>
        <v>0</v>
      </c>
      <c r="U413" s="1">
        <f xml:space="preserve"> ( $N185 = '2.1 Model setup'!$K$41 ) *  $T160 * U331</f>
        <v>0</v>
      </c>
      <c r="V413" s="1">
        <f xml:space="preserve"> ( $N185 = '2.1 Model setup'!$K$41 ) *  $T160 * V331</f>
        <v>0</v>
      </c>
      <c r="W413" s="4">
        <f t="shared" si="65"/>
        <v>0</v>
      </c>
    </row>
    <row r="414" spans="4:23" ht="15" customHeight="1">
      <c r="D414" s="85" t="str">
        <f xml:space="preserve"> '2.1 Model setup'!K83</f>
        <v>6.2 Afskrivninger på netaktiver ekskl. målere og transformerstationer</v>
      </c>
      <c r="K414" s="5" t="str">
        <f t="shared" si="64"/>
        <v>DKKt</v>
      </c>
      <c r="L414" s="85">
        <f xml:space="preserve"> -- ( ( $N186 = '2.1 Model setup'!$K$41 ) * ( ROUND( W414, 5 ) &lt;&gt;  ROUND( T161, 5 ) ) )</f>
        <v>0</v>
      </c>
      <c r="O414" s="202"/>
      <c r="P414" s="202"/>
      <c r="Q414" s="202"/>
      <c r="R414" s="1">
        <f xml:space="preserve"> ( $N186 = '2.1 Model setup'!$K$41 ) *  $T161 * R332</f>
        <v>0</v>
      </c>
      <c r="S414" s="1">
        <f xml:space="preserve"> ( $N186 = '2.1 Model setup'!$K$41 ) *  $T161 * S332</f>
        <v>0</v>
      </c>
      <c r="T414" s="1">
        <f xml:space="preserve"> ( $N186 = '2.1 Model setup'!$K$41 ) *  $T161 * T332</f>
        <v>0</v>
      </c>
      <c r="U414" s="1">
        <f xml:space="preserve"> ( $N186 = '2.1 Model setup'!$K$41 ) *  $T161 * U332</f>
        <v>0</v>
      </c>
      <c r="V414" s="1">
        <f xml:space="preserve"> ( $N186 = '2.1 Model setup'!$K$41 ) *  $T161 * V332</f>
        <v>0</v>
      </c>
      <c r="W414" s="4">
        <f t="shared" si="65"/>
        <v>0</v>
      </c>
    </row>
    <row r="415" spans="4:23" ht="15" customHeight="1">
      <c r="D415" s="85" t="str">
        <f xml:space="preserve"> '2.1 Model setup'!K84</f>
        <v>6.3 Afskrivninger på målere</v>
      </c>
      <c r="K415" s="5" t="str">
        <f t="shared" si="64"/>
        <v>DKKt</v>
      </c>
      <c r="L415" s="85">
        <f xml:space="preserve"> -- ( ( $N187 = '2.1 Model setup'!$K$41 ) * ( ROUND( W415, 5 ) &lt;&gt;  ROUND( T162, 5 ) ) )</f>
        <v>0</v>
      </c>
      <c r="O415" s="202"/>
      <c r="P415" s="202"/>
      <c r="Q415" s="202"/>
      <c r="R415" s="1">
        <f xml:space="preserve"> ( $N187 = '2.1 Model setup'!$K$41 ) *  $T162 * R333</f>
        <v>0</v>
      </c>
      <c r="S415" s="1">
        <f xml:space="preserve"> ( $N187 = '2.1 Model setup'!$K$41 ) *  $T162 * S333</f>
        <v>0</v>
      </c>
      <c r="T415" s="1">
        <f xml:space="preserve"> ( $N187 = '2.1 Model setup'!$K$41 ) *  $T162 * T333</f>
        <v>0</v>
      </c>
      <c r="U415" s="1">
        <f xml:space="preserve"> ( $N187 = '2.1 Model setup'!$K$41 ) *  $T162 * U333</f>
        <v>0</v>
      </c>
      <c r="V415" s="1">
        <f xml:space="preserve"> ( $N187 = '2.1 Model setup'!$K$41 ) *  $T162 * V333</f>
        <v>0</v>
      </c>
      <c r="W415" s="4">
        <f t="shared" si="65"/>
        <v>0</v>
      </c>
    </row>
    <row r="416" spans="4:23" ht="15" customHeight="1">
      <c r="D416" s="85" t="str">
        <f xml:space="preserve"> '2.1 Model setup'!K85</f>
        <v>7.1 Transformerstationer (forrentning)</v>
      </c>
      <c r="K416" s="5" t="str">
        <f t="shared" si="64"/>
        <v>DKKt</v>
      </c>
      <c r="L416" s="85">
        <f xml:space="preserve"> -- ( ( $N188 = '2.1 Model setup'!$K$41 ) * ( ROUND( W416, 5 ) &lt;&gt;  ROUND( T163, 5 ) ) )</f>
        <v>0</v>
      </c>
      <c r="O416" s="202"/>
      <c r="P416" s="202"/>
      <c r="Q416" s="202"/>
      <c r="R416" s="1">
        <f xml:space="preserve"> ( $N188 = '2.1 Model setup'!$K$41 ) *  $T163 * R334</f>
        <v>0</v>
      </c>
      <c r="S416" s="1">
        <f xml:space="preserve"> ( $N188 = '2.1 Model setup'!$K$41 ) *  $T163 * S334</f>
        <v>0</v>
      </c>
      <c r="T416" s="1">
        <f xml:space="preserve"> ( $N188 = '2.1 Model setup'!$K$41 ) *  $T163 * T334</f>
        <v>0</v>
      </c>
      <c r="U416" s="1">
        <f xml:space="preserve"> ( $N188 = '2.1 Model setup'!$K$41 ) *  $T163 * U334</f>
        <v>0</v>
      </c>
      <c r="V416" s="1">
        <f xml:space="preserve"> ( $N188 = '2.1 Model setup'!$K$41 ) *  $T163 * V334</f>
        <v>0</v>
      </c>
      <c r="W416" s="4">
        <f t="shared" si="65"/>
        <v>0</v>
      </c>
    </row>
    <row r="417" spans="4:23" ht="15" customHeight="1">
      <c r="D417" s="85" t="str">
        <f xml:space="preserve"> '2.1 Model setup'!K86</f>
        <v>7.2 Netaktiver ekskl. målere og transformerstationer (forrentning)</v>
      </c>
      <c r="K417" s="5" t="str">
        <f t="shared" si="64"/>
        <v>DKKt</v>
      </c>
      <c r="L417" s="85">
        <f xml:space="preserve"> -- ( ( $N189 = '2.1 Model setup'!$K$41 ) * ( ROUND( W417, 5 ) &lt;&gt;  ROUND( T164, 5 ) ) )</f>
        <v>0</v>
      </c>
      <c r="O417" s="202"/>
      <c r="P417" s="202"/>
      <c r="Q417" s="202"/>
      <c r="R417" s="1">
        <f xml:space="preserve"> ( $N189 = '2.1 Model setup'!$K$41 ) *  $T164 * R335</f>
        <v>0</v>
      </c>
      <c r="S417" s="1">
        <f xml:space="preserve"> ( $N189 = '2.1 Model setup'!$K$41 ) *  $T164 * S335</f>
        <v>0</v>
      </c>
      <c r="T417" s="1">
        <f xml:space="preserve"> ( $N189 = '2.1 Model setup'!$K$41 ) *  $T164 * T335</f>
        <v>0</v>
      </c>
      <c r="U417" s="1">
        <f xml:space="preserve"> ( $N189 = '2.1 Model setup'!$K$41 ) *  $T164 * U335</f>
        <v>0</v>
      </c>
      <c r="V417" s="1">
        <f xml:space="preserve"> ( $N189 = '2.1 Model setup'!$K$41 ) *  $T164 * V335</f>
        <v>0</v>
      </c>
      <c r="W417" s="4">
        <f t="shared" si="65"/>
        <v>0</v>
      </c>
    </row>
    <row r="418" spans="4:23" ht="15" customHeight="1">
      <c r="D418" s="99" t="str">
        <f xml:space="preserve"> '2.1 Model setup'!K87</f>
        <v>7.3 Målere (forrentning)</v>
      </c>
      <c r="K418" s="5" t="str">
        <f t="shared" si="64"/>
        <v>DKKt</v>
      </c>
      <c r="L418" s="85">
        <f xml:space="preserve"> -- ( ( $N190 = '2.1 Model setup'!$K$41 ) * ( ROUND( W418, 5 ) &lt;&gt;  ROUND( T165, 5 ) ) )</f>
        <v>0</v>
      </c>
      <c r="O418" s="202"/>
      <c r="P418" s="202"/>
      <c r="Q418" s="202"/>
      <c r="R418" s="1">
        <f xml:space="preserve"> ( $N190 = '2.1 Model setup'!$K$41 ) *  $T165 * R336</f>
        <v>0</v>
      </c>
      <c r="S418" s="1">
        <f xml:space="preserve"> ( $N190 = '2.1 Model setup'!$K$41 ) *  $T165 * S336</f>
        <v>0</v>
      </c>
      <c r="T418" s="1">
        <f xml:space="preserve"> ( $N190 = '2.1 Model setup'!$K$41 ) *  $T165 * T336</f>
        <v>0</v>
      </c>
      <c r="U418" s="1">
        <f xml:space="preserve"> ( $N190 = '2.1 Model setup'!$K$41 ) *  $T165 * U336</f>
        <v>0</v>
      </c>
      <c r="V418" s="1">
        <f xml:space="preserve"> ( $N190 = '2.1 Model setup'!$K$41 ) *  $T165 * V336</f>
        <v>0</v>
      </c>
      <c r="W418" s="4">
        <f t="shared" si="65"/>
        <v>0</v>
      </c>
    </row>
    <row r="419" spans="4:23" ht="15" customHeight="1">
      <c r="D419" s="186" t="s">
        <v>16</v>
      </c>
      <c r="E419" s="33"/>
      <c r="F419" s="33"/>
      <c r="G419" s="33"/>
      <c r="H419" s="33"/>
      <c r="I419" s="33"/>
      <c r="J419" s="33"/>
      <c r="K419" s="187" t="str">
        <f t="shared" si="64"/>
        <v>DKKt</v>
      </c>
      <c r="L419" s="186"/>
      <c r="M419" s="186"/>
      <c r="N419" s="186"/>
      <c r="O419" s="388"/>
      <c r="P419" s="388"/>
      <c r="Q419" s="388"/>
      <c r="R419" s="186">
        <f t="shared" ref="R419:W419" si="66" xml:space="preserve"> SUM( R401:R418 )</f>
        <v>0</v>
      </c>
      <c r="S419" s="186">
        <f t="shared" si="66"/>
        <v>0</v>
      </c>
      <c r="T419" s="186">
        <f t="shared" si="66"/>
        <v>0</v>
      </c>
      <c r="U419" s="186">
        <f t="shared" si="66"/>
        <v>0</v>
      </c>
      <c r="V419" s="186">
        <f t="shared" si="66"/>
        <v>0</v>
      </c>
      <c r="W419" s="186">
        <f t="shared" si="66"/>
        <v>0</v>
      </c>
    </row>
    <row r="421" spans="4:23" ht="15" customHeight="1">
      <c r="D421" s="35" t="s">
        <v>441</v>
      </c>
      <c r="E421" s="27"/>
      <c r="F421" s="27"/>
      <c r="G421" s="27"/>
      <c r="H421" s="27"/>
      <c r="I421" s="27"/>
      <c r="J421" s="27"/>
      <c r="K421" s="32"/>
      <c r="L421" s="27"/>
      <c r="M421" s="27"/>
      <c r="N421" s="27"/>
      <c r="O421" s="27"/>
      <c r="P421" s="27"/>
      <c r="Q421" s="27"/>
      <c r="R421" s="27"/>
      <c r="S421" s="27"/>
      <c r="T421" s="27"/>
      <c r="U421" s="27"/>
      <c r="V421" s="27"/>
      <c r="W421" s="185" t="s">
        <v>16</v>
      </c>
    </row>
    <row r="422" spans="4:23" ht="15" customHeight="1">
      <c r="D422" s="85" t="str">
        <f xml:space="preserve"> '2.1 Model setup'!K70</f>
        <v>1.1 Drift og vedligeholdelse af transformerstationer</v>
      </c>
      <c r="K422" s="5" t="str">
        <f t="shared" ref="K422:K440" si="67" xml:space="preserve"> Model.Units</f>
        <v>DKKt</v>
      </c>
      <c r="L422" s="85">
        <f xml:space="preserve"> -- ( ( $N173 = '2.1 Model setup'!$K$41 ) * ( ROUND( W422, 5 ) &lt;&gt;  ROUND( U148, 5 ) ) )</f>
        <v>0</v>
      </c>
      <c r="O422" s="202"/>
      <c r="P422" s="202"/>
      <c r="Q422" s="202"/>
      <c r="R422" s="1">
        <f xml:space="preserve"> ( $N173 = '2.1 Model setup'!$K$41 ) * $U148 * R339</f>
        <v>0</v>
      </c>
      <c r="S422" s="1">
        <f xml:space="preserve"> ( $N173 = '2.1 Model setup'!$K$41 ) * $U148 * S339</f>
        <v>0</v>
      </c>
      <c r="T422" s="1">
        <f xml:space="preserve"> ( $N173 = '2.1 Model setup'!$K$41 ) * $U148 * T339</f>
        <v>0</v>
      </c>
      <c r="U422" s="1">
        <f xml:space="preserve"> ( $N173 = '2.1 Model setup'!$K$41 ) * $U148 * U339</f>
        <v>0</v>
      </c>
      <c r="V422" s="1">
        <f xml:space="preserve"> ( $N173 = '2.1 Model setup'!$K$41 ) * $U148 * V339</f>
        <v>0</v>
      </c>
      <c r="W422" s="4">
        <f t="shared" ref="W422:W439" si="68" xml:space="preserve"> SUM( R422:V422 )</f>
        <v>0</v>
      </c>
    </row>
    <row r="423" spans="4:23" ht="15" customHeight="1">
      <c r="D423" s="85" t="str">
        <f xml:space="preserve"> '2.1 Model setup'!K71</f>
        <v>1.2 Drift og vedligeholdelse af ledningsnet</v>
      </c>
      <c r="K423" s="5" t="str">
        <f t="shared" si="67"/>
        <v>DKKt</v>
      </c>
      <c r="L423" s="85">
        <f xml:space="preserve"> -- ( ( $N174 = '2.1 Model setup'!$K$41 ) * ( ROUND( W423, 5 ) &lt;&gt;  ROUND( U149, 5 ) ) )</f>
        <v>0</v>
      </c>
      <c r="O423" s="202"/>
      <c r="P423" s="202"/>
      <c r="Q423" s="202"/>
      <c r="R423" s="1">
        <f xml:space="preserve"> ( $N174 = '2.1 Model setup'!$K$41 ) * $U149 * R340</f>
        <v>0</v>
      </c>
      <c r="S423" s="1">
        <f xml:space="preserve"> ( $N174 = '2.1 Model setup'!$K$41 ) * $U149 * S340</f>
        <v>0</v>
      </c>
      <c r="T423" s="1">
        <f xml:space="preserve"> ( $N174 = '2.1 Model setup'!$K$41 ) * $U149 * T340</f>
        <v>0</v>
      </c>
      <c r="U423" s="1">
        <f xml:space="preserve"> ( $N174 = '2.1 Model setup'!$K$41 ) * $U149 * U340</f>
        <v>0</v>
      </c>
      <c r="V423" s="1">
        <f xml:space="preserve"> ( $N174 = '2.1 Model setup'!$K$41 ) * $U149 * V340</f>
        <v>0</v>
      </c>
      <c r="W423" s="4">
        <f t="shared" si="68"/>
        <v>0</v>
      </c>
    </row>
    <row r="424" spans="4:23" ht="15" customHeight="1">
      <c r="D424" s="85" t="str">
        <f xml:space="preserve"> '2.1 Model setup'!K72</f>
        <v>1.3 Øvrige omkostninger til drift, styring og kontrol af elnettet</v>
      </c>
      <c r="K424" s="5" t="str">
        <f t="shared" si="67"/>
        <v>DKKt</v>
      </c>
      <c r="L424" s="85">
        <f xml:space="preserve"> -- ( ( $N175 = '2.1 Model setup'!$K$41 ) * ( ROUND( W424, 5 ) &lt;&gt;  ROUND( U150, 5 ) ) )</f>
        <v>0</v>
      </c>
      <c r="O424" s="202"/>
      <c r="P424" s="202"/>
      <c r="Q424" s="202"/>
      <c r="R424" s="1">
        <f xml:space="preserve"> ( $N175 = '2.1 Model setup'!$K$41 ) * $U150 * R341</f>
        <v>0</v>
      </c>
      <c r="S424" s="1">
        <f xml:space="preserve"> ( $N175 = '2.1 Model setup'!$K$41 ) * $U150 * S341</f>
        <v>0</v>
      </c>
      <c r="T424" s="1">
        <f xml:space="preserve"> ( $N175 = '2.1 Model setup'!$K$41 ) * $U150 * T341</f>
        <v>0</v>
      </c>
      <c r="U424" s="1">
        <f xml:space="preserve"> ( $N175 = '2.1 Model setup'!$K$41 ) * $U150 * U341</f>
        <v>0</v>
      </c>
      <c r="V424" s="1">
        <f xml:space="preserve"> ( $N175 = '2.1 Model setup'!$K$41 ) * $U150 * V341</f>
        <v>0</v>
      </c>
      <c r="W424" s="4">
        <f t="shared" si="68"/>
        <v>0</v>
      </c>
    </row>
    <row r="425" spans="4:23" ht="15" customHeight="1">
      <c r="D425" s="85" t="str">
        <f xml:space="preserve"> '2.1 Model setup'!K73</f>
        <v>1.4 Omkostninger vedrørende 132-150/30-60 kV-stationer</v>
      </c>
      <c r="K425" s="5" t="str">
        <f t="shared" si="67"/>
        <v>DKKt</v>
      </c>
      <c r="L425" s="85">
        <f xml:space="preserve"> -- ( ( $N176 = '2.1 Model setup'!$K$41 ) * ( ROUND( W425, 5 ) &lt;&gt;  ROUND( U151, 5 ) ) )</f>
        <v>0</v>
      </c>
      <c r="O425" s="202"/>
      <c r="P425" s="202"/>
      <c r="Q425" s="202"/>
      <c r="R425" s="1">
        <f xml:space="preserve"> ( $N176 = '2.1 Model setup'!$K$41 ) * $U151 * R342</f>
        <v>0</v>
      </c>
      <c r="S425" s="1">
        <f xml:space="preserve"> ( $N176 = '2.1 Model setup'!$K$41 ) * $U151 * S342</f>
        <v>0</v>
      </c>
      <c r="T425" s="1">
        <f xml:space="preserve"> ( $N176 = '2.1 Model setup'!$K$41 ) * $U151 * T342</f>
        <v>0</v>
      </c>
      <c r="U425" s="1">
        <f xml:space="preserve"> ( $N176 = '2.1 Model setup'!$K$41 ) * $U151 * U342</f>
        <v>0</v>
      </c>
      <c r="V425" s="1">
        <f xml:space="preserve"> ( $N176 = '2.1 Model setup'!$K$41 ) * $U151 * V342</f>
        <v>0</v>
      </c>
      <c r="W425" s="4">
        <f xml:space="preserve"> SUM( R425:V425 )</f>
        <v>0</v>
      </c>
    </row>
    <row r="426" spans="4:23" ht="15" customHeight="1">
      <c r="D426" s="85" t="str">
        <f xml:space="preserve"> '2.1 Model setup'!K74</f>
        <v>2.1 Drift og vedligeholdelse af målere</v>
      </c>
      <c r="K426" s="5" t="str">
        <f t="shared" si="67"/>
        <v>DKKt</v>
      </c>
      <c r="L426" s="85">
        <f xml:space="preserve"> -- ( ( $N177 = '2.1 Model setup'!$K$41 ) * ( ROUND( W426, 5 ) &lt;&gt;  ROUND( U152, 5 ) ) )</f>
        <v>0</v>
      </c>
      <c r="O426" s="202"/>
      <c r="P426" s="202"/>
      <c r="Q426" s="202"/>
      <c r="R426" s="1">
        <f xml:space="preserve"> ( $N177 = '2.1 Model setup'!$K$41 ) * $U152 * R343</f>
        <v>0</v>
      </c>
      <c r="S426" s="1">
        <f xml:space="preserve"> ( $N177 = '2.1 Model setup'!$K$41 ) * $U152 * S343</f>
        <v>0</v>
      </c>
      <c r="T426" s="1">
        <f xml:space="preserve"> ( $N177 = '2.1 Model setup'!$K$41 ) * $U152 * T343</f>
        <v>0</v>
      </c>
      <c r="U426" s="1">
        <f xml:space="preserve"> ( $N177 = '2.1 Model setup'!$K$41 ) * $U152 * U343</f>
        <v>0</v>
      </c>
      <c r="V426" s="1">
        <f xml:space="preserve"> ( $N177 = '2.1 Model setup'!$K$41 ) * $U152 * V343</f>
        <v>0</v>
      </c>
      <c r="W426" s="4">
        <f t="shared" si="68"/>
        <v>0</v>
      </c>
    </row>
    <row r="427" spans="4:23" ht="15" customHeight="1">
      <c r="D427" s="85" t="str">
        <f xml:space="preserve"> '2.1 Model setup'!K75</f>
        <v>2.2 Indhentning og validering af målerdata</v>
      </c>
      <c r="K427" s="5" t="str">
        <f t="shared" si="67"/>
        <v>DKKt</v>
      </c>
      <c r="L427" s="85">
        <f xml:space="preserve"> -- ( ( $N178 = '2.1 Model setup'!$K$41 ) * ( ROUND( W427, 5 ) &lt;&gt;  ROUND( U153, 5 ) ) )</f>
        <v>0</v>
      </c>
      <c r="O427" s="202"/>
      <c r="P427" s="202"/>
      <c r="Q427" s="202"/>
      <c r="R427" s="1">
        <f xml:space="preserve"> ( $N178 = '2.1 Model setup'!$K$41 ) * $U153 * R344</f>
        <v>0</v>
      </c>
      <c r="S427" s="1">
        <f xml:space="preserve"> ( $N178 = '2.1 Model setup'!$K$41 ) * $U153 * S344</f>
        <v>0</v>
      </c>
      <c r="T427" s="1">
        <f xml:space="preserve"> ( $N178 = '2.1 Model setup'!$K$41 ) * $U153 * T344</f>
        <v>0</v>
      </c>
      <c r="U427" s="1">
        <f xml:space="preserve"> ( $N178 = '2.1 Model setup'!$K$41 ) * $U153 * U344</f>
        <v>0</v>
      </c>
      <c r="V427" s="1">
        <f xml:space="preserve"> ( $N178 = '2.1 Model setup'!$K$41 ) * $U153 * V344</f>
        <v>0</v>
      </c>
      <c r="W427" s="4">
        <f t="shared" si="68"/>
        <v>0</v>
      </c>
    </row>
    <row r="428" spans="4:23" ht="15" customHeight="1">
      <c r="D428" s="85" t="str">
        <f xml:space="preserve"> '2.1 Model setup'!K76</f>
        <v>2.3 Måleradministration og kundehåndtering</v>
      </c>
      <c r="K428" s="5" t="str">
        <f t="shared" si="67"/>
        <v>DKKt</v>
      </c>
      <c r="L428" s="85">
        <f xml:space="preserve"> -- ( ( $N179 = '2.1 Model setup'!$K$41 ) * ( ROUND( W428, 5 ) &lt;&gt;  ROUND( U154, 5 ) ) )</f>
        <v>0</v>
      </c>
      <c r="O428" s="202"/>
      <c r="P428" s="202"/>
      <c r="Q428" s="202"/>
      <c r="R428" s="1">
        <f xml:space="preserve"> ( $N179 = '2.1 Model setup'!$K$41 ) * $U154 * R345</f>
        <v>0</v>
      </c>
      <c r="S428" s="1">
        <f xml:space="preserve"> ( $N179 = '2.1 Model setup'!$K$41 ) * $U154 * S345</f>
        <v>0</v>
      </c>
      <c r="T428" s="1">
        <f xml:space="preserve"> ( $N179 = '2.1 Model setup'!$K$41 ) * $U154 * T345</f>
        <v>0</v>
      </c>
      <c r="U428" s="1">
        <f xml:space="preserve"> ( $N179 = '2.1 Model setup'!$K$41 ) * $U154 * U345</f>
        <v>0</v>
      </c>
      <c r="V428" s="1">
        <f xml:space="preserve"> ( $N179 = '2.1 Model setup'!$K$41 ) * $U154 * V345</f>
        <v>0</v>
      </c>
      <c r="W428" s="4">
        <f t="shared" si="68"/>
        <v>0</v>
      </c>
    </row>
    <row r="429" spans="4:23" ht="15" customHeight="1">
      <c r="D429" s="85" t="str">
        <f xml:space="preserve"> '2.1 Model setup'!K77</f>
        <v>3.1 Generel administration</v>
      </c>
      <c r="K429" s="5" t="str">
        <f t="shared" si="67"/>
        <v>DKKt</v>
      </c>
      <c r="L429" s="85">
        <f xml:space="preserve"> -- ( ( $N180 = '2.1 Model setup'!$K$41 ) * ( ROUND( W429, 5 ) &lt;&gt;  ROUND( U155, 5 ) ) )</f>
        <v>0</v>
      </c>
      <c r="O429" s="202"/>
      <c r="P429" s="202"/>
      <c r="Q429" s="202"/>
      <c r="R429" s="1">
        <f xml:space="preserve"> ( $N180 = '2.1 Model setup'!$K$41 ) * $U155 * R346</f>
        <v>0</v>
      </c>
      <c r="S429" s="1">
        <f xml:space="preserve"> ( $N180 = '2.1 Model setup'!$K$41 ) * $U155 * S346</f>
        <v>0</v>
      </c>
      <c r="T429" s="1">
        <f xml:space="preserve"> ( $N180 = '2.1 Model setup'!$K$41 ) * $U155 * T346</f>
        <v>0</v>
      </c>
      <c r="U429" s="1">
        <f xml:space="preserve"> ( $N180 = '2.1 Model setup'!$K$41 ) * $U155 * U346</f>
        <v>0</v>
      </c>
      <c r="V429" s="1">
        <f xml:space="preserve"> ( $N180 = '2.1 Model setup'!$K$41 ) * $U155 * V346</f>
        <v>0</v>
      </c>
      <c r="W429" s="4">
        <f t="shared" si="68"/>
        <v>0</v>
      </c>
    </row>
    <row r="430" spans="4:23" ht="15" customHeight="1">
      <c r="D430" s="85" t="str">
        <f xml:space="preserve"> '2.1 Model setup'!K78</f>
        <v>4.1 Omkostninger vedrørende nettab i transformerstationer</v>
      </c>
      <c r="K430" s="5" t="str">
        <f t="shared" si="67"/>
        <v>DKKt</v>
      </c>
      <c r="L430" s="85">
        <f xml:space="preserve"> -- ( ( $N181 = '2.1 Model setup'!$K$41 ) * ( ROUND( W430, 5 ) &lt;&gt;  ROUND( U156, 5 ) ) )</f>
        <v>0</v>
      </c>
      <c r="O430" s="202"/>
      <c r="P430" s="202"/>
      <c r="Q430" s="202"/>
      <c r="R430" s="1">
        <f xml:space="preserve"> ( $N181 = '2.1 Model setup'!$K$41 ) * $U156 * R347</f>
        <v>0</v>
      </c>
      <c r="S430" s="1">
        <f xml:space="preserve"> ( $N181 = '2.1 Model setup'!$K$41 ) * $U156 * S347</f>
        <v>0</v>
      </c>
      <c r="T430" s="1">
        <f xml:space="preserve"> ( $N181 = '2.1 Model setup'!$K$41 ) * $U156 * T347</f>
        <v>0</v>
      </c>
      <c r="U430" s="1">
        <f xml:space="preserve"> ( $N181 = '2.1 Model setup'!$K$41 ) * $U156 * U347</f>
        <v>0</v>
      </c>
      <c r="V430" s="1">
        <f xml:space="preserve"> ( $N181 = '2.1 Model setup'!$K$41 ) * $U156 * V347</f>
        <v>0</v>
      </c>
      <c r="W430" s="4">
        <f t="shared" si="68"/>
        <v>0</v>
      </c>
    </row>
    <row r="431" spans="4:23" ht="15" customHeight="1">
      <c r="D431" s="85" t="str">
        <f xml:space="preserve"> '2.1 Model setup'!K79</f>
        <v>4.2 Omkostninger vedrørende nettab i ledningsnettet</v>
      </c>
      <c r="K431" s="5" t="str">
        <f t="shared" si="67"/>
        <v>DKKt</v>
      </c>
      <c r="L431" s="85">
        <f xml:space="preserve"> -- ( ( $N182 = '2.1 Model setup'!$K$41 ) * ( ROUND( W431, 5 ) &lt;&gt;  ROUND( U157, 5 ) ) )</f>
        <v>0</v>
      </c>
      <c r="O431" s="202"/>
      <c r="P431" s="202"/>
      <c r="Q431" s="202"/>
      <c r="R431" s="1">
        <f xml:space="preserve"> ( $N182 = '2.1 Model setup'!$K$41 ) * $U157 * R348</f>
        <v>0</v>
      </c>
      <c r="S431" s="1">
        <f xml:space="preserve"> ( $N182 = '2.1 Model setup'!$K$41 ) * $U157 * S348</f>
        <v>0</v>
      </c>
      <c r="T431" s="1">
        <f xml:space="preserve"> ( $N182 = '2.1 Model setup'!$K$41 ) * $U157 * T348</f>
        <v>0</v>
      </c>
      <c r="U431" s="1">
        <f xml:space="preserve"> ( $N182 = '2.1 Model setup'!$K$41 ) * $U157 * U348</f>
        <v>0</v>
      </c>
      <c r="V431" s="1">
        <f xml:space="preserve"> ( $N182 = '2.1 Model setup'!$K$41 ) * $U157 * V348</f>
        <v>0</v>
      </c>
      <c r="W431" s="4">
        <f t="shared" si="68"/>
        <v>0</v>
      </c>
    </row>
    <row r="432" spans="4:23" ht="15" customHeight="1">
      <c r="D432" s="85" t="str">
        <f xml:space="preserve"> '2.1 Model setup'!K80</f>
        <v>5.1 Omkostninger til overliggende net ifm. forbrug</v>
      </c>
      <c r="K432" s="5" t="str">
        <f t="shared" si="67"/>
        <v>DKKt</v>
      </c>
      <c r="L432" s="85">
        <f xml:space="preserve"> -- ( ( $N183 = '2.1 Model setup'!$K$41 ) * ( ROUND( W432, 5 ) &lt;&gt;  ROUND( U158, 5 ) ) )</f>
        <v>0</v>
      </c>
      <c r="O432" s="202"/>
      <c r="P432" s="202"/>
      <c r="Q432" s="202"/>
      <c r="R432" s="1">
        <f xml:space="preserve"> ( $N183 = '2.1 Model setup'!$K$41 ) * $U158 * R349</f>
        <v>0</v>
      </c>
      <c r="S432" s="1">
        <f xml:space="preserve"> ( $N183 = '2.1 Model setup'!$K$41 ) * $U158 * S349</f>
        <v>0</v>
      </c>
      <c r="T432" s="1">
        <f xml:space="preserve"> ( $N183 = '2.1 Model setup'!$K$41 ) * $U158 * T349</f>
        <v>0</v>
      </c>
      <c r="U432" s="1">
        <f xml:space="preserve"> ( $N183 = '2.1 Model setup'!$K$41 ) * $U158 * U349</f>
        <v>0</v>
      </c>
      <c r="V432" s="1">
        <f xml:space="preserve"> ( $N183 = '2.1 Model setup'!$K$41 ) * $U158 * V349</f>
        <v>0</v>
      </c>
      <c r="W432" s="4">
        <f xml:space="preserve"> SUM( R432:V432 )</f>
        <v>0</v>
      </c>
    </row>
    <row r="433" spans="4:23" ht="15" customHeight="1">
      <c r="D433" s="85" t="str">
        <f xml:space="preserve"> '2.1 Model setup'!K81</f>
        <v>5.2 Øvrige omkostninger</v>
      </c>
      <c r="K433" s="5" t="str">
        <f t="shared" si="67"/>
        <v>DKKt</v>
      </c>
      <c r="L433" s="85">
        <f xml:space="preserve"> -- ( ( $N184 = '2.1 Model setup'!$K$41 ) * ( ROUND( W433, 5 ) &lt;&gt;  ROUND( U159, 5 ) ) )</f>
        <v>0</v>
      </c>
      <c r="O433" s="202"/>
      <c r="P433" s="202"/>
      <c r="Q433" s="202"/>
      <c r="R433" s="1">
        <f xml:space="preserve"> ( $N184 = '2.1 Model setup'!$K$41 ) * $U159 * R350</f>
        <v>0</v>
      </c>
      <c r="S433" s="1">
        <f xml:space="preserve"> ( $N184 = '2.1 Model setup'!$K$41 ) * $U159 * S350</f>
        <v>0</v>
      </c>
      <c r="T433" s="1">
        <f xml:space="preserve"> ( $N184 = '2.1 Model setup'!$K$41 ) * $U159 * T350</f>
        <v>0</v>
      </c>
      <c r="U433" s="1">
        <f xml:space="preserve"> ( $N184 = '2.1 Model setup'!$K$41 ) * $U159 * U350</f>
        <v>0</v>
      </c>
      <c r="V433" s="1">
        <f xml:space="preserve"> ( $N184 = '2.1 Model setup'!$K$41 ) * $U159 * V350</f>
        <v>0</v>
      </c>
      <c r="W433" s="4">
        <f t="shared" si="68"/>
        <v>0</v>
      </c>
    </row>
    <row r="434" spans="4:23" ht="15" customHeight="1">
      <c r="D434" s="85" t="str">
        <f xml:space="preserve"> '2.1 Model setup'!K82</f>
        <v>6.1 Afskrivninger på transformerstationer</v>
      </c>
      <c r="K434" s="5" t="str">
        <f t="shared" si="67"/>
        <v>DKKt</v>
      </c>
      <c r="L434" s="85">
        <f xml:space="preserve"> -- ( ( $N185 = '2.1 Model setup'!$K$41 ) * ( ROUND( W434, 5 ) &lt;&gt;  ROUND( U160, 5 ) ) )</f>
        <v>0</v>
      </c>
      <c r="O434" s="202"/>
      <c r="P434" s="202"/>
      <c r="Q434" s="202"/>
      <c r="R434" s="1">
        <f xml:space="preserve"> ( $N185 = '2.1 Model setup'!$K$41 ) * $U160 * R351</f>
        <v>0</v>
      </c>
      <c r="S434" s="1">
        <f xml:space="preserve"> ( $N185 = '2.1 Model setup'!$K$41 ) * $U160 * S351</f>
        <v>0</v>
      </c>
      <c r="T434" s="1">
        <f xml:space="preserve"> ( $N185 = '2.1 Model setup'!$K$41 ) * $U160 * T351</f>
        <v>0</v>
      </c>
      <c r="U434" s="1">
        <f xml:space="preserve"> ( $N185 = '2.1 Model setup'!$K$41 ) * $U160 * U351</f>
        <v>0</v>
      </c>
      <c r="V434" s="1">
        <f xml:space="preserve"> ( $N185 = '2.1 Model setup'!$K$41 ) * $U160 * V351</f>
        <v>0</v>
      </c>
      <c r="W434" s="4">
        <f t="shared" si="68"/>
        <v>0</v>
      </c>
    </row>
    <row r="435" spans="4:23" ht="15" customHeight="1">
      <c r="D435" s="85" t="str">
        <f xml:space="preserve"> '2.1 Model setup'!K83</f>
        <v>6.2 Afskrivninger på netaktiver ekskl. målere og transformerstationer</v>
      </c>
      <c r="K435" s="5" t="str">
        <f t="shared" si="67"/>
        <v>DKKt</v>
      </c>
      <c r="L435" s="85">
        <f xml:space="preserve"> -- ( ( $N186 = '2.1 Model setup'!$K$41 ) * ( ROUND( W435, 5 ) &lt;&gt;  ROUND( U161, 5 ) ) )</f>
        <v>0</v>
      </c>
      <c r="O435" s="202"/>
      <c r="P435" s="202"/>
      <c r="Q435" s="202"/>
      <c r="R435" s="1">
        <f xml:space="preserve"> ( $N186 = '2.1 Model setup'!$K$41 ) * $U161 * R352</f>
        <v>0</v>
      </c>
      <c r="S435" s="1">
        <f xml:space="preserve"> ( $N186 = '2.1 Model setup'!$K$41 ) * $U161 * S352</f>
        <v>0</v>
      </c>
      <c r="T435" s="1">
        <f xml:space="preserve"> ( $N186 = '2.1 Model setup'!$K$41 ) * $U161 * T352</f>
        <v>0</v>
      </c>
      <c r="U435" s="1">
        <f xml:space="preserve"> ( $N186 = '2.1 Model setup'!$K$41 ) * $U161 * U352</f>
        <v>0</v>
      </c>
      <c r="V435" s="1">
        <f xml:space="preserve"> ( $N186 = '2.1 Model setup'!$K$41 ) * $U161 * V352</f>
        <v>0</v>
      </c>
      <c r="W435" s="4">
        <f t="shared" si="68"/>
        <v>0</v>
      </c>
    </row>
    <row r="436" spans="4:23" ht="15" customHeight="1">
      <c r="D436" s="85" t="str">
        <f xml:space="preserve"> '2.1 Model setup'!K84</f>
        <v>6.3 Afskrivninger på målere</v>
      </c>
      <c r="K436" s="5" t="str">
        <f t="shared" si="67"/>
        <v>DKKt</v>
      </c>
      <c r="L436" s="85">
        <f xml:space="preserve"> -- ( ( $N187 = '2.1 Model setup'!$K$41 ) * ( ROUND( W436, 5 ) &lt;&gt;  ROUND( U162, 5 ) ) )</f>
        <v>0</v>
      </c>
      <c r="O436" s="202"/>
      <c r="P436" s="202"/>
      <c r="Q436" s="202"/>
      <c r="R436" s="1">
        <f xml:space="preserve"> ( $N187 = '2.1 Model setup'!$K$41 ) * $U162 * R353</f>
        <v>0</v>
      </c>
      <c r="S436" s="1">
        <f xml:space="preserve"> ( $N187 = '2.1 Model setup'!$K$41 ) * $U162 * S353</f>
        <v>0</v>
      </c>
      <c r="T436" s="1">
        <f xml:space="preserve"> ( $N187 = '2.1 Model setup'!$K$41 ) * $U162 * T353</f>
        <v>0</v>
      </c>
      <c r="U436" s="1">
        <f xml:space="preserve"> ( $N187 = '2.1 Model setup'!$K$41 ) * $U162 * U353</f>
        <v>0</v>
      </c>
      <c r="V436" s="1">
        <f xml:space="preserve"> ( $N187 = '2.1 Model setup'!$K$41 ) * $U162 * V353</f>
        <v>0</v>
      </c>
      <c r="W436" s="4">
        <f t="shared" si="68"/>
        <v>0</v>
      </c>
    </row>
    <row r="437" spans="4:23" ht="15" customHeight="1">
      <c r="D437" s="85" t="str">
        <f xml:space="preserve"> '2.1 Model setup'!K85</f>
        <v>7.1 Transformerstationer (forrentning)</v>
      </c>
      <c r="K437" s="5" t="str">
        <f t="shared" si="67"/>
        <v>DKKt</v>
      </c>
      <c r="L437" s="85">
        <f xml:space="preserve"> -- ( ( $N188 = '2.1 Model setup'!$K$41 ) * ( ROUND( W437, 5 ) &lt;&gt;  ROUND( U163, 5 ) ) )</f>
        <v>0</v>
      </c>
      <c r="O437" s="202"/>
      <c r="P437" s="202"/>
      <c r="Q437" s="202"/>
      <c r="R437" s="1">
        <f xml:space="preserve"> ( $N188 = '2.1 Model setup'!$K$41 ) * $U163 * R354</f>
        <v>0</v>
      </c>
      <c r="S437" s="1">
        <f xml:space="preserve"> ( $N188 = '2.1 Model setup'!$K$41 ) * $U163 * S354</f>
        <v>0</v>
      </c>
      <c r="T437" s="1">
        <f xml:space="preserve"> ( $N188 = '2.1 Model setup'!$K$41 ) * $U163 * T354</f>
        <v>0</v>
      </c>
      <c r="U437" s="1">
        <f xml:space="preserve"> ( $N188 = '2.1 Model setup'!$K$41 ) * $U163 * U354</f>
        <v>0</v>
      </c>
      <c r="V437" s="1">
        <f xml:space="preserve"> ( $N188 = '2.1 Model setup'!$K$41 ) * $U163 * V354</f>
        <v>0</v>
      </c>
      <c r="W437" s="4">
        <f t="shared" si="68"/>
        <v>0</v>
      </c>
    </row>
    <row r="438" spans="4:23" ht="15" customHeight="1">
      <c r="D438" s="85" t="str">
        <f xml:space="preserve"> '2.1 Model setup'!K86</f>
        <v>7.2 Netaktiver ekskl. målere og transformerstationer (forrentning)</v>
      </c>
      <c r="K438" s="5" t="str">
        <f t="shared" si="67"/>
        <v>DKKt</v>
      </c>
      <c r="L438" s="85">
        <f xml:space="preserve"> -- ( ( $N189 = '2.1 Model setup'!$K$41 ) * ( ROUND( W438, 5 ) &lt;&gt;  ROUND( U164, 5 ) ) )</f>
        <v>0</v>
      </c>
      <c r="O438" s="202"/>
      <c r="P438" s="202"/>
      <c r="Q438" s="202"/>
      <c r="R438" s="1">
        <f xml:space="preserve"> ( $N189 = '2.1 Model setup'!$K$41 ) * $U164 * R355</f>
        <v>0</v>
      </c>
      <c r="S438" s="1">
        <f xml:space="preserve"> ( $N189 = '2.1 Model setup'!$K$41 ) * $U164 * S355</f>
        <v>0</v>
      </c>
      <c r="T438" s="1">
        <f xml:space="preserve"> ( $N189 = '2.1 Model setup'!$K$41 ) * $U164 * T355</f>
        <v>0</v>
      </c>
      <c r="U438" s="1">
        <f xml:space="preserve"> ( $N189 = '2.1 Model setup'!$K$41 ) * $U164 * U355</f>
        <v>0</v>
      </c>
      <c r="V438" s="1">
        <f xml:space="preserve"> ( $N189 = '2.1 Model setup'!$K$41 ) * $U164 * V355</f>
        <v>0</v>
      </c>
      <c r="W438" s="4">
        <f t="shared" si="68"/>
        <v>0</v>
      </c>
    </row>
    <row r="439" spans="4:23" ht="15" customHeight="1">
      <c r="D439" s="99" t="str">
        <f xml:space="preserve"> '2.1 Model setup'!K87</f>
        <v>7.3 Målere (forrentning)</v>
      </c>
      <c r="K439" s="5" t="str">
        <f t="shared" si="67"/>
        <v>DKKt</v>
      </c>
      <c r="L439" s="85">
        <f xml:space="preserve"> -- ( ( $N190 = '2.1 Model setup'!$K$41 ) * ( ROUND( W439, 5 ) &lt;&gt;  ROUND( U165, 5 ) ) )</f>
        <v>0</v>
      </c>
      <c r="O439" s="202"/>
      <c r="P439" s="202"/>
      <c r="Q439" s="202"/>
      <c r="R439" s="1">
        <f xml:space="preserve"> ( $N190 = '2.1 Model setup'!$K$41 ) * $U165 * R356</f>
        <v>0</v>
      </c>
      <c r="S439" s="1">
        <f xml:space="preserve"> ( $N190 = '2.1 Model setup'!$K$41 ) * $U165 * S356</f>
        <v>0</v>
      </c>
      <c r="T439" s="1">
        <f xml:space="preserve"> ( $N190 = '2.1 Model setup'!$K$41 ) * $U165 * T356</f>
        <v>0</v>
      </c>
      <c r="U439" s="1">
        <f xml:space="preserve"> ( $N190 = '2.1 Model setup'!$K$41 ) * $U165 * U356</f>
        <v>0</v>
      </c>
      <c r="V439" s="1">
        <f xml:space="preserve"> ( $N190 = '2.1 Model setup'!$K$41 ) * $U165 * V356</f>
        <v>0</v>
      </c>
      <c r="W439" s="4">
        <f t="shared" si="68"/>
        <v>0</v>
      </c>
    </row>
    <row r="440" spans="4:23" ht="15" customHeight="1">
      <c r="D440" s="186" t="s">
        <v>16</v>
      </c>
      <c r="E440" s="33"/>
      <c r="F440" s="33"/>
      <c r="G440" s="33"/>
      <c r="H440" s="33"/>
      <c r="I440" s="33"/>
      <c r="J440" s="33"/>
      <c r="K440" s="187" t="str">
        <f t="shared" si="67"/>
        <v>DKKt</v>
      </c>
      <c r="L440" s="186"/>
      <c r="M440" s="186"/>
      <c r="N440" s="186"/>
      <c r="O440" s="388"/>
      <c r="P440" s="388"/>
      <c r="Q440" s="388"/>
      <c r="R440" s="186">
        <f t="shared" ref="R440:W440" si="69" xml:space="preserve"> SUM( R422:R439 )</f>
        <v>0</v>
      </c>
      <c r="S440" s="186">
        <f t="shared" si="69"/>
        <v>0</v>
      </c>
      <c r="T440" s="186">
        <f t="shared" si="69"/>
        <v>0</v>
      </c>
      <c r="U440" s="186">
        <f t="shared" si="69"/>
        <v>0</v>
      </c>
      <c r="V440" s="186">
        <f t="shared" si="69"/>
        <v>0</v>
      </c>
      <c r="W440" s="186">
        <f t="shared" si="69"/>
        <v>0</v>
      </c>
    </row>
    <row r="442" spans="4:23" ht="15" customHeight="1">
      <c r="D442" s="35" t="s">
        <v>442</v>
      </c>
      <c r="E442" s="27"/>
      <c r="F442" s="27"/>
      <c r="G442" s="27"/>
      <c r="H442" s="27"/>
      <c r="I442" s="27"/>
      <c r="J442" s="27"/>
      <c r="K442" s="32"/>
      <c r="L442" s="27"/>
      <c r="M442" s="27"/>
      <c r="N442" s="27"/>
      <c r="O442" s="27"/>
      <c r="P442" s="27"/>
      <c r="Q442" s="27"/>
      <c r="R442" s="27"/>
      <c r="S442" s="27"/>
      <c r="T442" s="27"/>
      <c r="U442" s="27"/>
      <c r="V442" s="27"/>
      <c r="W442" s="185" t="s">
        <v>16</v>
      </c>
    </row>
    <row r="443" spans="4:23" ht="15" customHeight="1">
      <c r="D443" s="85" t="str">
        <f xml:space="preserve"> '2.1 Model setup'!K70</f>
        <v>1.1 Drift og vedligeholdelse af transformerstationer</v>
      </c>
      <c r="K443" s="5" t="str">
        <f t="shared" ref="K443:K461" si="70" xml:space="preserve"> Model.Units</f>
        <v>DKKt</v>
      </c>
      <c r="O443" s="202"/>
      <c r="P443" s="202"/>
      <c r="Q443" s="202"/>
      <c r="R443" s="1">
        <f t="shared" ref="R443:V453" si="71" xml:space="preserve"> R359 + R380 + R401 + R422</f>
        <v>0</v>
      </c>
      <c r="S443" s="1">
        <f t="shared" si="71"/>
        <v>0</v>
      </c>
      <c r="T443" s="1">
        <f t="shared" si="71"/>
        <v>0</v>
      </c>
      <c r="U443" s="1">
        <f t="shared" si="71"/>
        <v>0</v>
      </c>
      <c r="V443" s="1">
        <f t="shared" si="71"/>
        <v>0</v>
      </c>
      <c r="W443" s="4">
        <f t="shared" ref="W443:W460" si="72" xml:space="preserve"> SUM( R443:V443 )</f>
        <v>0</v>
      </c>
    </row>
    <row r="444" spans="4:23" ht="15" customHeight="1">
      <c r="D444" s="85" t="str">
        <f xml:space="preserve"> '2.1 Model setup'!K71</f>
        <v>1.2 Drift og vedligeholdelse af ledningsnet</v>
      </c>
      <c r="K444" s="5" t="str">
        <f t="shared" si="70"/>
        <v>DKKt</v>
      </c>
      <c r="O444" s="202"/>
      <c r="P444" s="202"/>
      <c r="Q444" s="202"/>
      <c r="R444" s="1">
        <f t="shared" si="71"/>
        <v>0</v>
      </c>
      <c r="S444" s="1">
        <f t="shared" si="71"/>
        <v>0</v>
      </c>
      <c r="T444" s="1">
        <f t="shared" si="71"/>
        <v>0</v>
      </c>
      <c r="U444" s="1">
        <f t="shared" si="71"/>
        <v>0</v>
      </c>
      <c r="V444" s="1">
        <f t="shared" si="71"/>
        <v>0</v>
      </c>
      <c r="W444" s="4">
        <f t="shared" si="72"/>
        <v>0</v>
      </c>
    </row>
    <row r="445" spans="4:23" ht="15" customHeight="1">
      <c r="D445" s="85" t="str">
        <f xml:space="preserve"> '2.1 Model setup'!K72</f>
        <v>1.3 Øvrige omkostninger til drift, styring og kontrol af elnettet</v>
      </c>
      <c r="K445" s="5" t="str">
        <f t="shared" si="70"/>
        <v>DKKt</v>
      </c>
      <c r="O445" s="202"/>
      <c r="P445" s="202"/>
      <c r="Q445" s="202"/>
      <c r="R445" s="1">
        <f t="shared" si="71"/>
        <v>0</v>
      </c>
      <c r="S445" s="1">
        <f t="shared" si="71"/>
        <v>0</v>
      </c>
      <c r="T445" s="1">
        <f t="shared" si="71"/>
        <v>0</v>
      </c>
      <c r="U445" s="1">
        <f t="shared" si="71"/>
        <v>0</v>
      </c>
      <c r="V445" s="1">
        <f t="shared" si="71"/>
        <v>0</v>
      </c>
      <c r="W445" s="4">
        <f t="shared" si="72"/>
        <v>0</v>
      </c>
    </row>
    <row r="446" spans="4:23" ht="15" customHeight="1">
      <c r="D446" s="85" t="str">
        <f xml:space="preserve"> '2.1 Model setup'!K73</f>
        <v>1.4 Omkostninger vedrørende 132-150/30-60 kV-stationer</v>
      </c>
      <c r="K446" s="5" t="str">
        <f t="shared" si="70"/>
        <v>DKKt</v>
      </c>
      <c r="O446" s="202"/>
      <c r="P446" s="202"/>
      <c r="Q446" s="202"/>
      <c r="R446" s="1">
        <f t="shared" si="71"/>
        <v>0</v>
      </c>
      <c r="S446" s="1">
        <f t="shared" si="71"/>
        <v>0</v>
      </c>
      <c r="T446" s="1">
        <f t="shared" si="71"/>
        <v>0</v>
      </c>
      <c r="U446" s="1">
        <f t="shared" si="71"/>
        <v>0</v>
      </c>
      <c r="V446" s="1">
        <f t="shared" si="71"/>
        <v>0</v>
      </c>
      <c r="W446" s="4">
        <f xml:space="preserve"> SUM( R446:V446 )</f>
        <v>0</v>
      </c>
    </row>
    <row r="447" spans="4:23" ht="15" customHeight="1">
      <c r="D447" s="85" t="str">
        <f xml:space="preserve"> '2.1 Model setup'!K74</f>
        <v>2.1 Drift og vedligeholdelse af målere</v>
      </c>
      <c r="K447" s="5" t="str">
        <f t="shared" si="70"/>
        <v>DKKt</v>
      </c>
      <c r="O447" s="202"/>
      <c r="P447" s="202"/>
      <c r="Q447" s="202"/>
      <c r="R447" s="1">
        <f t="shared" si="71"/>
        <v>0</v>
      </c>
      <c r="S447" s="1">
        <f t="shared" si="71"/>
        <v>0</v>
      </c>
      <c r="T447" s="1">
        <f t="shared" si="71"/>
        <v>0</v>
      </c>
      <c r="U447" s="1">
        <f t="shared" si="71"/>
        <v>0</v>
      </c>
      <c r="V447" s="1">
        <f t="shared" si="71"/>
        <v>0</v>
      </c>
      <c r="W447" s="4">
        <f t="shared" si="72"/>
        <v>0</v>
      </c>
    </row>
    <row r="448" spans="4:23" ht="15" customHeight="1">
      <c r="D448" s="85" t="str">
        <f xml:space="preserve"> '2.1 Model setup'!K75</f>
        <v>2.2 Indhentning og validering af målerdata</v>
      </c>
      <c r="K448" s="5" t="str">
        <f t="shared" si="70"/>
        <v>DKKt</v>
      </c>
      <c r="O448" s="202"/>
      <c r="P448" s="202"/>
      <c r="Q448" s="202"/>
      <c r="R448" s="1">
        <f t="shared" si="71"/>
        <v>0</v>
      </c>
      <c r="S448" s="1">
        <f t="shared" si="71"/>
        <v>0</v>
      </c>
      <c r="T448" s="1">
        <f t="shared" si="71"/>
        <v>0</v>
      </c>
      <c r="U448" s="1">
        <f t="shared" si="71"/>
        <v>0</v>
      </c>
      <c r="V448" s="1">
        <f t="shared" si="71"/>
        <v>0</v>
      </c>
      <c r="W448" s="4">
        <f t="shared" si="72"/>
        <v>0</v>
      </c>
    </row>
    <row r="449" spans="4:23" ht="15" customHeight="1">
      <c r="D449" s="85" t="str">
        <f xml:space="preserve"> '2.1 Model setup'!K76</f>
        <v>2.3 Måleradministration og kundehåndtering</v>
      </c>
      <c r="K449" s="5" t="str">
        <f t="shared" si="70"/>
        <v>DKKt</v>
      </c>
      <c r="O449" s="202"/>
      <c r="P449" s="202"/>
      <c r="Q449" s="202"/>
      <c r="R449" s="1">
        <f t="shared" si="71"/>
        <v>0</v>
      </c>
      <c r="S449" s="1">
        <f t="shared" si="71"/>
        <v>0</v>
      </c>
      <c r="T449" s="1">
        <f t="shared" si="71"/>
        <v>0</v>
      </c>
      <c r="U449" s="1">
        <f t="shared" si="71"/>
        <v>0</v>
      </c>
      <c r="V449" s="1">
        <f t="shared" si="71"/>
        <v>0</v>
      </c>
      <c r="W449" s="4">
        <f t="shared" si="72"/>
        <v>0</v>
      </c>
    </row>
    <row r="450" spans="4:23" ht="15" customHeight="1">
      <c r="D450" s="85" t="str">
        <f xml:space="preserve"> '2.1 Model setup'!K77</f>
        <v>3.1 Generel administration</v>
      </c>
      <c r="K450" s="5" t="str">
        <f t="shared" si="70"/>
        <v>DKKt</v>
      </c>
      <c r="O450" s="202"/>
      <c r="P450" s="202"/>
      <c r="Q450" s="202"/>
      <c r="R450" s="1">
        <f t="shared" si="71"/>
        <v>0</v>
      </c>
      <c r="S450" s="1">
        <f t="shared" si="71"/>
        <v>0</v>
      </c>
      <c r="T450" s="1">
        <f t="shared" si="71"/>
        <v>0</v>
      </c>
      <c r="U450" s="1">
        <f t="shared" si="71"/>
        <v>0</v>
      </c>
      <c r="V450" s="1">
        <f t="shared" si="71"/>
        <v>0</v>
      </c>
      <c r="W450" s="4">
        <f t="shared" si="72"/>
        <v>0</v>
      </c>
    </row>
    <row r="451" spans="4:23" ht="15" customHeight="1">
      <c r="D451" s="85" t="str">
        <f xml:space="preserve"> '2.1 Model setup'!K78</f>
        <v>4.1 Omkostninger vedrørende nettab i transformerstationer</v>
      </c>
      <c r="K451" s="5" t="str">
        <f t="shared" si="70"/>
        <v>DKKt</v>
      </c>
      <c r="O451" s="202"/>
      <c r="P451" s="202"/>
      <c r="Q451" s="202"/>
      <c r="R451" s="1">
        <f t="shared" si="71"/>
        <v>0</v>
      </c>
      <c r="S451" s="1">
        <f t="shared" si="71"/>
        <v>0</v>
      </c>
      <c r="T451" s="1">
        <f t="shared" si="71"/>
        <v>0</v>
      </c>
      <c r="U451" s="1">
        <f t="shared" si="71"/>
        <v>0</v>
      </c>
      <c r="V451" s="1">
        <f t="shared" si="71"/>
        <v>0</v>
      </c>
      <c r="W451" s="4">
        <f t="shared" si="72"/>
        <v>0</v>
      </c>
    </row>
    <row r="452" spans="4:23" ht="15" customHeight="1">
      <c r="D452" s="85" t="str">
        <f xml:space="preserve"> '2.1 Model setup'!K79</f>
        <v>4.2 Omkostninger vedrørende nettab i ledningsnettet</v>
      </c>
      <c r="K452" s="5" t="str">
        <f t="shared" si="70"/>
        <v>DKKt</v>
      </c>
      <c r="O452" s="202"/>
      <c r="P452" s="202"/>
      <c r="Q452" s="202"/>
      <c r="R452" s="1">
        <f t="shared" si="71"/>
        <v>0</v>
      </c>
      <c r="S452" s="1">
        <f t="shared" si="71"/>
        <v>0</v>
      </c>
      <c r="T452" s="1">
        <f t="shared" si="71"/>
        <v>0</v>
      </c>
      <c r="U452" s="1">
        <f t="shared" si="71"/>
        <v>0</v>
      </c>
      <c r="V452" s="1">
        <f t="shared" si="71"/>
        <v>0</v>
      </c>
      <c r="W452" s="4">
        <f t="shared" si="72"/>
        <v>0</v>
      </c>
    </row>
    <row r="453" spans="4:23" ht="15" customHeight="1">
      <c r="D453" s="85" t="str">
        <f xml:space="preserve"> '2.1 Model setup'!K80</f>
        <v>5.1 Omkostninger til overliggende net ifm. forbrug</v>
      </c>
      <c r="K453" s="5" t="str">
        <f t="shared" si="70"/>
        <v>DKKt</v>
      </c>
      <c r="O453" s="202"/>
      <c r="P453" s="202"/>
      <c r="Q453" s="202"/>
      <c r="R453" s="1">
        <f t="shared" si="71"/>
        <v>0</v>
      </c>
      <c r="S453" s="1">
        <f t="shared" si="71"/>
        <v>0</v>
      </c>
      <c r="T453" s="1">
        <f t="shared" si="71"/>
        <v>0</v>
      </c>
      <c r="U453" s="1">
        <f t="shared" si="71"/>
        <v>0</v>
      </c>
      <c r="V453" s="1">
        <f t="shared" si="71"/>
        <v>0</v>
      </c>
      <c r="W453" s="4">
        <f xml:space="preserve"> SUM( R453:V453 )</f>
        <v>0</v>
      </c>
    </row>
    <row r="454" spans="4:23" ht="15" customHeight="1">
      <c r="D454" s="85" t="str">
        <f xml:space="preserve"> '2.1 Model setup'!K81</f>
        <v>5.2 Øvrige omkostninger</v>
      </c>
      <c r="K454" s="5" t="str">
        <f t="shared" si="70"/>
        <v>DKKt</v>
      </c>
      <c r="O454" s="202"/>
      <c r="P454" s="202"/>
      <c r="Q454" s="202"/>
      <c r="R454" s="1">
        <f xml:space="preserve"> R370 + R391 + R412 + R433</f>
        <v>0</v>
      </c>
      <c r="S454" s="1">
        <f xml:space="preserve"> S370 + S391 + S412 + S433</f>
        <v>0</v>
      </c>
      <c r="T454" s="1">
        <f xml:space="preserve"> T370 + T391 + T412 + T433</f>
        <v>0</v>
      </c>
      <c r="U454" s="1">
        <f xml:space="preserve"> U370 + U391 + U412 + U433</f>
        <v>0</v>
      </c>
      <c r="V454" s="1">
        <f xml:space="preserve"> V370 + V391 + V412 + V433</f>
        <v>0</v>
      </c>
      <c r="W454" s="4">
        <f t="shared" si="72"/>
        <v>0</v>
      </c>
    </row>
    <row r="455" spans="4:23" ht="15" customHeight="1">
      <c r="D455" s="85" t="str">
        <f xml:space="preserve"> '2.1 Model setup'!K82</f>
        <v>6.1 Afskrivninger på transformerstationer</v>
      </c>
      <c r="K455" s="5" t="str">
        <f t="shared" si="70"/>
        <v>DKKt</v>
      </c>
      <c r="O455" s="202"/>
      <c r="P455" s="202"/>
      <c r="Q455" s="202"/>
      <c r="R455" s="1">
        <f t="shared" ref="R455:V460" si="73" xml:space="preserve"> R371 + R392 + R413 + R434</f>
        <v>0</v>
      </c>
      <c r="S455" s="1">
        <f t="shared" si="73"/>
        <v>0</v>
      </c>
      <c r="T455" s="1">
        <f t="shared" si="73"/>
        <v>0</v>
      </c>
      <c r="U455" s="1">
        <f t="shared" si="73"/>
        <v>0</v>
      </c>
      <c r="V455" s="1">
        <f t="shared" si="73"/>
        <v>0</v>
      </c>
      <c r="W455" s="4">
        <f t="shared" si="72"/>
        <v>0</v>
      </c>
    </row>
    <row r="456" spans="4:23" ht="15" customHeight="1">
      <c r="D456" s="85" t="str">
        <f xml:space="preserve"> '2.1 Model setup'!K83</f>
        <v>6.2 Afskrivninger på netaktiver ekskl. målere og transformerstationer</v>
      </c>
      <c r="K456" s="5" t="str">
        <f t="shared" si="70"/>
        <v>DKKt</v>
      </c>
      <c r="O456" s="202"/>
      <c r="P456" s="202"/>
      <c r="Q456" s="202"/>
      <c r="R456" s="1">
        <f t="shared" si="73"/>
        <v>0</v>
      </c>
      <c r="S456" s="1">
        <f t="shared" si="73"/>
        <v>0</v>
      </c>
      <c r="T456" s="1">
        <f t="shared" si="73"/>
        <v>0</v>
      </c>
      <c r="U456" s="1">
        <f t="shared" si="73"/>
        <v>0</v>
      </c>
      <c r="V456" s="1">
        <f t="shared" si="73"/>
        <v>0</v>
      </c>
      <c r="W456" s="4">
        <f t="shared" si="72"/>
        <v>0</v>
      </c>
    </row>
    <row r="457" spans="4:23" ht="15" customHeight="1">
      <c r="D457" s="85" t="str">
        <f xml:space="preserve"> '2.1 Model setup'!K84</f>
        <v>6.3 Afskrivninger på målere</v>
      </c>
      <c r="K457" s="5" t="str">
        <f t="shared" si="70"/>
        <v>DKKt</v>
      </c>
      <c r="O457" s="202"/>
      <c r="P457" s="202"/>
      <c r="Q457" s="202"/>
      <c r="R457" s="1">
        <f t="shared" si="73"/>
        <v>0</v>
      </c>
      <c r="S457" s="1">
        <f t="shared" si="73"/>
        <v>0</v>
      </c>
      <c r="T457" s="1">
        <f t="shared" si="73"/>
        <v>0</v>
      </c>
      <c r="U457" s="1">
        <f t="shared" si="73"/>
        <v>0</v>
      </c>
      <c r="V457" s="1">
        <f t="shared" si="73"/>
        <v>0</v>
      </c>
      <c r="W457" s="4">
        <f t="shared" si="72"/>
        <v>0</v>
      </c>
    </row>
    <row r="458" spans="4:23" ht="15" customHeight="1">
      <c r="D458" s="85" t="str">
        <f xml:space="preserve"> '2.1 Model setup'!K85</f>
        <v>7.1 Transformerstationer (forrentning)</v>
      </c>
      <c r="K458" s="5" t="str">
        <f t="shared" si="70"/>
        <v>DKKt</v>
      </c>
      <c r="O458" s="202"/>
      <c r="P458" s="202"/>
      <c r="Q458" s="202"/>
      <c r="R458" s="1">
        <f t="shared" si="73"/>
        <v>0</v>
      </c>
      <c r="S458" s="1">
        <f t="shared" si="73"/>
        <v>0</v>
      </c>
      <c r="T458" s="1">
        <f t="shared" si="73"/>
        <v>0</v>
      </c>
      <c r="U458" s="1">
        <f t="shared" si="73"/>
        <v>0</v>
      </c>
      <c r="V458" s="1">
        <f t="shared" si="73"/>
        <v>0</v>
      </c>
      <c r="W458" s="4">
        <f t="shared" si="72"/>
        <v>0</v>
      </c>
    </row>
    <row r="459" spans="4:23" ht="15" customHeight="1">
      <c r="D459" s="85" t="str">
        <f xml:space="preserve"> '2.1 Model setup'!K86</f>
        <v>7.2 Netaktiver ekskl. målere og transformerstationer (forrentning)</v>
      </c>
      <c r="K459" s="5" t="str">
        <f t="shared" si="70"/>
        <v>DKKt</v>
      </c>
      <c r="O459" s="202"/>
      <c r="P459" s="202"/>
      <c r="Q459" s="202"/>
      <c r="R459" s="1">
        <f t="shared" si="73"/>
        <v>0</v>
      </c>
      <c r="S459" s="1">
        <f t="shared" si="73"/>
        <v>0</v>
      </c>
      <c r="T459" s="1">
        <f t="shared" si="73"/>
        <v>0</v>
      </c>
      <c r="U459" s="1">
        <f t="shared" si="73"/>
        <v>0</v>
      </c>
      <c r="V459" s="1">
        <f t="shared" si="73"/>
        <v>0</v>
      </c>
      <c r="W459" s="4">
        <f t="shared" si="72"/>
        <v>0</v>
      </c>
    </row>
    <row r="460" spans="4:23" ht="15" customHeight="1">
      <c r="D460" s="99" t="str">
        <f xml:space="preserve"> '2.1 Model setup'!K87</f>
        <v>7.3 Målere (forrentning)</v>
      </c>
      <c r="K460" s="5" t="str">
        <f t="shared" si="70"/>
        <v>DKKt</v>
      </c>
      <c r="O460" s="202"/>
      <c r="P460" s="202"/>
      <c r="Q460" s="202"/>
      <c r="R460" s="1">
        <f t="shared" si="73"/>
        <v>0</v>
      </c>
      <c r="S460" s="1">
        <f t="shared" si="73"/>
        <v>0</v>
      </c>
      <c r="T460" s="1">
        <f t="shared" si="73"/>
        <v>0</v>
      </c>
      <c r="U460" s="1">
        <f t="shared" si="73"/>
        <v>0</v>
      </c>
      <c r="V460" s="1">
        <f t="shared" si="73"/>
        <v>0</v>
      </c>
      <c r="W460" s="4">
        <f t="shared" si="72"/>
        <v>0</v>
      </c>
    </row>
    <row r="461" spans="4:23" ht="15" customHeight="1">
      <c r="D461" s="186" t="s">
        <v>16</v>
      </c>
      <c r="E461" s="33"/>
      <c r="F461" s="33"/>
      <c r="G461" s="33"/>
      <c r="H461" s="33"/>
      <c r="I461" s="33"/>
      <c r="J461" s="33"/>
      <c r="K461" s="187" t="str">
        <f t="shared" si="70"/>
        <v>DKKt</v>
      </c>
      <c r="L461" s="186"/>
      <c r="M461" s="186"/>
      <c r="N461" s="186"/>
      <c r="O461" s="388"/>
      <c r="P461" s="388"/>
      <c r="Q461" s="388"/>
      <c r="R461" s="186">
        <f t="shared" ref="R461:W461" si="74" xml:space="preserve"> SUM( R443:R460 )</f>
        <v>0</v>
      </c>
      <c r="S461" s="186">
        <f t="shared" si="74"/>
        <v>0</v>
      </c>
      <c r="T461" s="186">
        <f t="shared" si="74"/>
        <v>0</v>
      </c>
      <c r="U461" s="186">
        <f t="shared" si="74"/>
        <v>0</v>
      </c>
      <c r="V461" s="186">
        <f t="shared" si="74"/>
        <v>0</v>
      </c>
      <c r="W461" s="186">
        <f t="shared" si="74"/>
        <v>0</v>
      </c>
    </row>
    <row r="463" spans="4:23" ht="15" customHeight="1">
      <c r="D463" s="35" t="s">
        <v>297</v>
      </c>
      <c r="E463" s="27"/>
      <c r="F463" s="27"/>
      <c r="G463" s="27"/>
      <c r="H463" s="27"/>
      <c r="I463" s="27"/>
      <c r="J463" s="27"/>
      <c r="K463" s="32"/>
      <c r="L463" s="27"/>
      <c r="M463" s="27"/>
      <c r="N463" s="27"/>
      <c r="O463" s="27"/>
      <c r="P463" s="27"/>
      <c r="Q463" s="27"/>
      <c r="R463" s="27"/>
      <c r="S463" s="27"/>
      <c r="T463" s="27"/>
      <c r="U463" s="27"/>
      <c r="V463" s="27"/>
      <c r="W463" s="185" t="s">
        <v>16</v>
      </c>
    </row>
    <row r="464" spans="4:23" ht="15" customHeight="1">
      <c r="D464" s="85" t="str">
        <f xml:space="preserve"> '2.1 Model setup'!K70</f>
        <v>1.1 Drift og vedligeholdelse af transformerstationer</v>
      </c>
      <c r="K464" s="5" t="str">
        <f t="shared" ref="K464:K482" si="75" xml:space="preserve"> Model.Units</f>
        <v>DKKt</v>
      </c>
      <c r="O464" s="202"/>
      <c r="P464" s="202"/>
      <c r="Q464" s="202"/>
      <c r="R464" s="1">
        <f xml:space="preserve"> R359 * ( $N173 = '2.1 Model setup'!$K$41 ) + R148 * ( $N173 = '2.1 Model setup'!$K$42 )</f>
        <v>0</v>
      </c>
      <c r="S464" s="320">
        <f xml:space="preserve"> S380 * ( $N173 = '2.1 Model setup'!$K$41 ) + S148 * ( $N173 = '2.1 Model setup'!$K$42 )</f>
        <v>0</v>
      </c>
      <c r="T464" s="320">
        <f xml:space="preserve"> T401 * ( $N173 = '2.1 Model setup'!$K$41 ) + T148 * ( $N173 = '2.1 Model setup'!$K$42 )</f>
        <v>0</v>
      </c>
      <c r="U464" s="320">
        <f xml:space="preserve"> U422 * ( $N173 = '2.1 Model setup'!$K$41 ) + U148 * ( $N173 = '2.1 Model setup'!$K$42 )</f>
        <v>0</v>
      </c>
      <c r="V464" s="321">
        <f t="shared" ref="V464:V481" si="76" xml:space="preserve"> V148</f>
        <v>0</v>
      </c>
      <c r="W464" s="4">
        <f t="shared" ref="W464:W481" si="77" xml:space="preserve"> SUM( R464:V464 )</f>
        <v>0</v>
      </c>
    </row>
    <row r="465" spans="4:23" ht="15" customHeight="1">
      <c r="D465" s="85" t="str">
        <f xml:space="preserve"> '2.1 Model setup'!K71</f>
        <v>1.2 Drift og vedligeholdelse af ledningsnet</v>
      </c>
      <c r="K465" s="5" t="str">
        <f t="shared" si="75"/>
        <v>DKKt</v>
      </c>
      <c r="O465" s="202"/>
      <c r="P465" s="202"/>
      <c r="Q465" s="202"/>
      <c r="R465" s="1">
        <f xml:space="preserve"> R360 * ( $N174 = '2.1 Model setup'!$K$41 ) + R149 * ( $N174 = '2.1 Model setup'!$K$42 )</f>
        <v>0</v>
      </c>
      <c r="S465" s="322">
        <f xml:space="preserve"> S381 * ( $N174 = '2.1 Model setup'!$K$41 ) + S149 * ( $N174 = '2.1 Model setup'!$K$42 )</f>
        <v>0</v>
      </c>
      <c r="T465" s="322">
        <f xml:space="preserve"> T402 * ( $N174 = '2.1 Model setup'!$K$41 ) + T149 * ( $N174 = '2.1 Model setup'!$K$42 )</f>
        <v>0</v>
      </c>
      <c r="U465" s="322">
        <f xml:space="preserve"> U423 * ( $N174 = '2.1 Model setup'!$K$41 ) + U149 * ( $N174 = '2.1 Model setup'!$K$42 )</f>
        <v>0</v>
      </c>
      <c r="V465" s="323">
        <f t="shared" si="76"/>
        <v>0</v>
      </c>
      <c r="W465" s="4">
        <f t="shared" si="77"/>
        <v>0</v>
      </c>
    </row>
    <row r="466" spans="4:23" ht="15" customHeight="1">
      <c r="D466" s="85" t="str">
        <f xml:space="preserve"> '2.1 Model setup'!K72</f>
        <v>1.3 Øvrige omkostninger til drift, styring og kontrol af elnettet</v>
      </c>
      <c r="K466" s="5" t="str">
        <f t="shared" si="75"/>
        <v>DKKt</v>
      </c>
      <c r="O466" s="202"/>
      <c r="P466" s="202"/>
      <c r="Q466" s="202"/>
      <c r="R466" s="1">
        <f xml:space="preserve"> R361 * ( $N175 = '2.1 Model setup'!$K$41 ) + R150 * ( $N175 = '2.1 Model setup'!$K$42 )</f>
        <v>0</v>
      </c>
      <c r="S466" s="322">
        <f xml:space="preserve"> S382 * ( $N175 = '2.1 Model setup'!$K$41 ) + S150 * ( $N175 = '2.1 Model setup'!$K$42 )</f>
        <v>0</v>
      </c>
      <c r="T466" s="322">
        <f xml:space="preserve"> T403 * ( $N175 = '2.1 Model setup'!$K$41 ) + T150 * ( $N175 = '2.1 Model setup'!$K$42 )</f>
        <v>0</v>
      </c>
      <c r="U466" s="322">
        <f xml:space="preserve"> U424 * ( $N175 = '2.1 Model setup'!$K$41 ) + U150 * ( $N175 = '2.1 Model setup'!$K$42 )</f>
        <v>0</v>
      </c>
      <c r="V466" s="323">
        <f t="shared" si="76"/>
        <v>0</v>
      </c>
      <c r="W466" s="4">
        <f t="shared" si="77"/>
        <v>0</v>
      </c>
    </row>
    <row r="467" spans="4:23" ht="15" customHeight="1">
      <c r="D467" s="85" t="str">
        <f xml:space="preserve"> '2.1 Model setup'!K73</f>
        <v>1.4 Omkostninger vedrørende 132-150/30-60 kV-stationer</v>
      </c>
      <c r="K467" s="5" t="str">
        <f t="shared" si="75"/>
        <v>DKKt</v>
      </c>
      <c r="O467" s="202"/>
      <c r="P467" s="202"/>
      <c r="Q467" s="202"/>
      <c r="R467" s="1">
        <f xml:space="preserve"> R362 * ( $N176 = '2.1 Model setup'!$K$41 ) + R151 * ( $N176 = '2.1 Model setup'!$K$42 )</f>
        <v>0</v>
      </c>
      <c r="S467" s="322">
        <f xml:space="preserve"> S383 * ( $N176 = '2.1 Model setup'!$K$41 ) + S151 * ( $N176 = '2.1 Model setup'!$K$42 )</f>
        <v>0</v>
      </c>
      <c r="T467" s="322">
        <f xml:space="preserve"> T404 * ( $N176 = '2.1 Model setup'!$K$41 ) + T151 * ( $N176 = '2.1 Model setup'!$K$42 )</f>
        <v>0</v>
      </c>
      <c r="U467" s="322">
        <f xml:space="preserve"> U425 * ( $N176 = '2.1 Model setup'!$K$41 ) + U151 * ( $N176 = '2.1 Model setup'!$K$42 )</f>
        <v>0</v>
      </c>
      <c r="V467" s="323">
        <f t="shared" si="76"/>
        <v>0</v>
      </c>
      <c r="W467" s="4">
        <f xml:space="preserve"> SUM( R467:V467 )</f>
        <v>0</v>
      </c>
    </row>
    <row r="468" spans="4:23" ht="15" customHeight="1">
      <c r="D468" s="85" t="str">
        <f xml:space="preserve"> '2.1 Model setup'!K74</f>
        <v>2.1 Drift og vedligeholdelse af målere</v>
      </c>
      <c r="K468" s="5" t="str">
        <f t="shared" si="75"/>
        <v>DKKt</v>
      </c>
      <c r="O468" s="202"/>
      <c r="P468" s="202"/>
      <c r="Q468" s="202"/>
      <c r="R468" s="1">
        <f xml:space="preserve"> R363 * ( $N177 = '2.1 Model setup'!$K$41 ) + R152 * ( $N177 = '2.1 Model setup'!$K$42 )</f>
        <v>0</v>
      </c>
      <c r="S468" s="322">
        <f xml:space="preserve"> S384 * ( $N177 = '2.1 Model setup'!$K$41 ) + S152 * ( $N177 = '2.1 Model setup'!$K$42 )</f>
        <v>0</v>
      </c>
      <c r="T468" s="322">
        <f xml:space="preserve"> T405 * ( $N177 = '2.1 Model setup'!$K$41 ) + T152 * ( $N177 = '2.1 Model setup'!$K$42 )</f>
        <v>0</v>
      </c>
      <c r="U468" s="322">
        <f xml:space="preserve"> U426 * ( $N177 = '2.1 Model setup'!$K$41 ) + U152 * ( $N177 = '2.1 Model setup'!$K$42 )</f>
        <v>0</v>
      </c>
      <c r="V468" s="323">
        <f t="shared" si="76"/>
        <v>0</v>
      </c>
      <c r="W468" s="4">
        <f t="shared" si="77"/>
        <v>0</v>
      </c>
    </row>
    <row r="469" spans="4:23" ht="15" customHeight="1">
      <c r="D469" s="85" t="str">
        <f xml:space="preserve"> '2.1 Model setup'!K75</f>
        <v>2.2 Indhentning og validering af målerdata</v>
      </c>
      <c r="K469" s="5" t="str">
        <f t="shared" si="75"/>
        <v>DKKt</v>
      </c>
      <c r="O469" s="202"/>
      <c r="P469" s="202"/>
      <c r="Q469" s="202"/>
      <c r="R469" s="1">
        <f xml:space="preserve"> R364 * ( $N178 = '2.1 Model setup'!$K$41 ) + R153 * ( $N178 = '2.1 Model setup'!$K$42 )</f>
        <v>0</v>
      </c>
      <c r="S469" s="322">
        <f xml:space="preserve"> S385 * ( $N178 = '2.1 Model setup'!$K$41 ) + S153 * ( $N178 = '2.1 Model setup'!$K$42 )</f>
        <v>0</v>
      </c>
      <c r="T469" s="322">
        <f xml:space="preserve"> T406 * ( $N178 = '2.1 Model setup'!$K$41 ) + T153 * ( $N178 = '2.1 Model setup'!$K$42 )</f>
        <v>0</v>
      </c>
      <c r="U469" s="322">
        <f xml:space="preserve"> U427 * ( $N178 = '2.1 Model setup'!$K$41 ) + U153 * ( $N178 = '2.1 Model setup'!$K$42 )</f>
        <v>0</v>
      </c>
      <c r="V469" s="323">
        <f t="shared" si="76"/>
        <v>0</v>
      </c>
      <c r="W469" s="4">
        <f t="shared" si="77"/>
        <v>0</v>
      </c>
    </row>
    <row r="470" spans="4:23" ht="15" customHeight="1">
      <c r="D470" s="85" t="str">
        <f xml:space="preserve"> '2.1 Model setup'!K76</f>
        <v>2.3 Måleradministration og kundehåndtering</v>
      </c>
      <c r="K470" s="5" t="str">
        <f t="shared" si="75"/>
        <v>DKKt</v>
      </c>
      <c r="O470" s="202"/>
      <c r="P470" s="202"/>
      <c r="Q470" s="202"/>
      <c r="R470" s="1">
        <f xml:space="preserve"> R365 * ( $N179 = '2.1 Model setup'!$K$41 ) + R154 * ( $N179 = '2.1 Model setup'!$K$42 )</f>
        <v>0</v>
      </c>
      <c r="S470" s="322">
        <f xml:space="preserve"> S386 * ( $N179 = '2.1 Model setup'!$K$41 ) + S154 * ( $N179 = '2.1 Model setup'!$K$42 )</f>
        <v>0</v>
      </c>
      <c r="T470" s="322">
        <f xml:space="preserve"> T407 * ( $N179 = '2.1 Model setup'!$K$41 ) + T154 * ( $N179 = '2.1 Model setup'!$K$42 )</f>
        <v>0</v>
      </c>
      <c r="U470" s="322">
        <f xml:space="preserve"> U428 * ( $N179 = '2.1 Model setup'!$K$41 ) + U154 * ( $N179 = '2.1 Model setup'!$K$42 )</f>
        <v>0</v>
      </c>
      <c r="V470" s="323">
        <f t="shared" si="76"/>
        <v>0</v>
      </c>
      <c r="W470" s="4">
        <f t="shared" si="77"/>
        <v>0</v>
      </c>
    </row>
    <row r="471" spans="4:23" ht="15" customHeight="1">
      <c r="D471" s="85" t="str">
        <f xml:space="preserve"> '2.1 Model setup'!K77</f>
        <v>3.1 Generel administration</v>
      </c>
      <c r="K471" s="5" t="str">
        <f t="shared" si="75"/>
        <v>DKKt</v>
      </c>
      <c r="O471" s="202"/>
      <c r="P471" s="202"/>
      <c r="Q471" s="202"/>
      <c r="R471" s="1">
        <f xml:space="preserve"> R366 * ( $N180 = '2.1 Model setup'!$K$41 ) + R155 * ( $N180 = '2.1 Model setup'!$K$42 )</f>
        <v>0</v>
      </c>
      <c r="S471" s="322">
        <f xml:space="preserve"> S387 * ( $N180 = '2.1 Model setup'!$K$41 ) + S155 * ( $N180 = '2.1 Model setup'!$K$42 )</f>
        <v>0</v>
      </c>
      <c r="T471" s="322">
        <f xml:space="preserve"> T408 * ( $N180 = '2.1 Model setup'!$K$41 ) + T155 * ( $N180 = '2.1 Model setup'!$K$42 )</f>
        <v>0</v>
      </c>
      <c r="U471" s="322">
        <f xml:space="preserve"> U429 * ( $N180 = '2.1 Model setup'!$K$41 ) + U155 * ( $N180 = '2.1 Model setup'!$K$42 )</f>
        <v>0</v>
      </c>
      <c r="V471" s="323">
        <f t="shared" si="76"/>
        <v>0</v>
      </c>
      <c r="W471" s="4">
        <f t="shared" si="77"/>
        <v>0</v>
      </c>
    </row>
    <row r="472" spans="4:23" ht="15" customHeight="1">
      <c r="D472" s="85" t="str">
        <f xml:space="preserve"> '2.1 Model setup'!K78</f>
        <v>4.1 Omkostninger vedrørende nettab i transformerstationer</v>
      </c>
      <c r="K472" s="5" t="str">
        <f t="shared" si="75"/>
        <v>DKKt</v>
      </c>
      <c r="O472" s="202"/>
      <c r="P472" s="202"/>
      <c r="Q472" s="202"/>
      <c r="R472" s="1">
        <f xml:space="preserve"> R367 * ( $N181 = '2.1 Model setup'!$K$41 ) + R156 * ( $N181 = '2.1 Model setup'!$K$42 )</f>
        <v>0</v>
      </c>
      <c r="S472" s="322">
        <f xml:space="preserve"> S388 * ( $N181 = '2.1 Model setup'!$K$41 ) + S156 * ( $N181 = '2.1 Model setup'!$K$42 )</f>
        <v>0</v>
      </c>
      <c r="T472" s="322">
        <f xml:space="preserve"> T409 * ( $N181 = '2.1 Model setup'!$K$41 ) + T156 * ( $N181 = '2.1 Model setup'!$K$42 )</f>
        <v>0</v>
      </c>
      <c r="U472" s="322">
        <f xml:space="preserve"> U430 * ( $N181 = '2.1 Model setup'!$K$41 ) + U156 * ( $N181 = '2.1 Model setup'!$K$42 )</f>
        <v>0</v>
      </c>
      <c r="V472" s="323">
        <f t="shared" si="76"/>
        <v>0</v>
      </c>
      <c r="W472" s="4">
        <f t="shared" si="77"/>
        <v>0</v>
      </c>
    </row>
    <row r="473" spans="4:23" ht="15" customHeight="1">
      <c r="D473" s="85" t="str">
        <f xml:space="preserve"> '2.1 Model setup'!K79</f>
        <v>4.2 Omkostninger vedrørende nettab i ledningsnettet</v>
      </c>
      <c r="K473" s="5" t="str">
        <f t="shared" si="75"/>
        <v>DKKt</v>
      </c>
      <c r="O473" s="202"/>
      <c r="P473" s="202"/>
      <c r="Q473" s="202"/>
      <c r="R473" s="1">
        <f xml:space="preserve"> R368 * ( $N182 = '2.1 Model setup'!$K$41 ) + R157 * ( $N182 = '2.1 Model setup'!$K$42 )</f>
        <v>0</v>
      </c>
      <c r="S473" s="322">
        <f xml:space="preserve"> S389 * ( $N182 = '2.1 Model setup'!$K$41 ) + S157 * ( $N182 = '2.1 Model setup'!$K$42 )</f>
        <v>0</v>
      </c>
      <c r="T473" s="322">
        <f xml:space="preserve"> T410 * ( $N182 = '2.1 Model setup'!$K$41 ) + T157 * ( $N182 = '2.1 Model setup'!$K$42 )</f>
        <v>0</v>
      </c>
      <c r="U473" s="322">
        <f xml:space="preserve"> U431 * ( $N182 = '2.1 Model setup'!$K$41 ) + U157 * ( $N182 = '2.1 Model setup'!$K$42 )</f>
        <v>0</v>
      </c>
      <c r="V473" s="323">
        <f t="shared" si="76"/>
        <v>0</v>
      </c>
      <c r="W473" s="4">
        <f t="shared" si="77"/>
        <v>0</v>
      </c>
    </row>
    <row r="474" spans="4:23" ht="15" customHeight="1">
      <c r="D474" s="85" t="str">
        <f xml:space="preserve"> '2.1 Model setup'!K80</f>
        <v>5.1 Omkostninger til overliggende net ifm. forbrug</v>
      </c>
      <c r="K474" s="5" t="str">
        <f t="shared" si="75"/>
        <v>DKKt</v>
      </c>
      <c r="O474" s="202"/>
      <c r="P474" s="202"/>
      <c r="Q474" s="202"/>
      <c r="R474" s="1">
        <f xml:space="preserve"> R369 * ( $N183 = '2.1 Model setup'!$K$41 ) + R158 * ( $N183 = '2.1 Model setup'!$K$42 )</f>
        <v>0</v>
      </c>
      <c r="S474" s="322">
        <f xml:space="preserve"> S390 * ( $N183 = '2.1 Model setup'!$K$41 ) + S158 * ( $N183 = '2.1 Model setup'!$K$42 )</f>
        <v>0</v>
      </c>
      <c r="T474" s="322">
        <f xml:space="preserve"> T411 * ( $N183 = '2.1 Model setup'!$K$41 ) + T158 * ( $N183 = '2.1 Model setup'!$K$42 )</f>
        <v>0</v>
      </c>
      <c r="U474" s="322">
        <f xml:space="preserve"> U432 * ( $N183 = '2.1 Model setup'!$K$41 ) + U158 * ( $N183 = '2.1 Model setup'!$K$42 )</f>
        <v>0</v>
      </c>
      <c r="V474" s="323">
        <f t="shared" si="76"/>
        <v>0</v>
      </c>
      <c r="W474" s="4">
        <f xml:space="preserve"> SUM( R474:V474 )</f>
        <v>0</v>
      </c>
    </row>
    <row r="475" spans="4:23" ht="15" customHeight="1">
      <c r="D475" s="85" t="str">
        <f xml:space="preserve"> '2.1 Model setup'!K81</f>
        <v>5.2 Øvrige omkostninger</v>
      </c>
      <c r="K475" s="5" t="str">
        <f t="shared" si="75"/>
        <v>DKKt</v>
      </c>
      <c r="O475" s="202"/>
      <c r="P475" s="202"/>
      <c r="Q475" s="202"/>
      <c r="R475" s="1">
        <f xml:space="preserve"> R370 * ( $N184 = '2.1 Model setup'!$K$41 ) + R159 * ( $N184 = '2.1 Model setup'!$K$42 )</f>
        <v>0</v>
      </c>
      <c r="S475" s="322">
        <f xml:space="preserve"> S391 * ( $N184 = '2.1 Model setup'!$K$41 ) + S159 * ( $N184 = '2.1 Model setup'!$K$42 )</f>
        <v>0</v>
      </c>
      <c r="T475" s="322">
        <f xml:space="preserve"> T412 * ( $N184 = '2.1 Model setup'!$K$41 ) + T159 * ( $N184 = '2.1 Model setup'!$K$42 )</f>
        <v>0</v>
      </c>
      <c r="U475" s="322">
        <f xml:space="preserve"> U433 * ( $N184 = '2.1 Model setup'!$K$41 ) + U159 * ( $N184 = '2.1 Model setup'!$K$42 )</f>
        <v>0</v>
      </c>
      <c r="V475" s="323">
        <f t="shared" si="76"/>
        <v>0</v>
      </c>
      <c r="W475" s="4">
        <f t="shared" si="77"/>
        <v>0</v>
      </c>
    </row>
    <row r="476" spans="4:23" ht="15" customHeight="1">
      <c r="D476" s="85" t="str">
        <f xml:space="preserve"> '2.1 Model setup'!K82</f>
        <v>6.1 Afskrivninger på transformerstationer</v>
      </c>
      <c r="K476" s="5" t="str">
        <f t="shared" si="75"/>
        <v>DKKt</v>
      </c>
      <c r="O476" s="202"/>
      <c r="P476" s="202"/>
      <c r="Q476" s="202"/>
      <c r="R476" s="1">
        <f xml:space="preserve"> R371 * ( $N185 = '2.1 Model setup'!$K$41 ) + R160 * ( $N185 = '2.1 Model setup'!$K$42 )</f>
        <v>0</v>
      </c>
      <c r="S476" s="322">
        <f xml:space="preserve"> S392 * ( $N185 = '2.1 Model setup'!$K$41 ) + S160 * ( $N185 = '2.1 Model setup'!$K$42 )</f>
        <v>0</v>
      </c>
      <c r="T476" s="322">
        <f xml:space="preserve"> T413 * ( $N185 = '2.1 Model setup'!$K$41 ) + T160 * ( $N185 = '2.1 Model setup'!$K$42 )</f>
        <v>0</v>
      </c>
      <c r="U476" s="322">
        <f xml:space="preserve"> U434 * ( $N185 = '2.1 Model setup'!$K$41 ) + U160 * ( $N185 = '2.1 Model setup'!$K$42 )</f>
        <v>0</v>
      </c>
      <c r="V476" s="323">
        <f t="shared" si="76"/>
        <v>0</v>
      </c>
      <c r="W476" s="4">
        <f t="shared" si="77"/>
        <v>0</v>
      </c>
    </row>
    <row r="477" spans="4:23" ht="15" customHeight="1">
      <c r="D477" s="85" t="str">
        <f xml:space="preserve"> '2.1 Model setup'!K83</f>
        <v>6.2 Afskrivninger på netaktiver ekskl. målere og transformerstationer</v>
      </c>
      <c r="K477" s="5" t="str">
        <f t="shared" si="75"/>
        <v>DKKt</v>
      </c>
      <c r="O477" s="202"/>
      <c r="P477" s="202"/>
      <c r="Q477" s="202"/>
      <c r="R477" s="1">
        <f xml:space="preserve"> R372 * ( $N186 = '2.1 Model setup'!$K$41 ) + R161 * ( $N186 = '2.1 Model setup'!$K$42 )</f>
        <v>0</v>
      </c>
      <c r="S477" s="322">
        <f xml:space="preserve"> S393 * ( $N186 = '2.1 Model setup'!$K$41 ) + S161 * ( $N186 = '2.1 Model setup'!$K$42 )</f>
        <v>0</v>
      </c>
      <c r="T477" s="322">
        <f xml:space="preserve"> T414 * ( $N186 = '2.1 Model setup'!$K$41 ) + T161 * ( $N186 = '2.1 Model setup'!$K$42 )</f>
        <v>0</v>
      </c>
      <c r="U477" s="322">
        <f xml:space="preserve"> U435 * ( $N186 = '2.1 Model setup'!$K$41 ) + U161 * ( $N186 = '2.1 Model setup'!$K$42 )</f>
        <v>0</v>
      </c>
      <c r="V477" s="323">
        <f t="shared" si="76"/>
        <v>0</v>
      </c>
      <c r="W477" s="4">
        <f t="shared" si="77"/>
        <v>0</v>
      </c>
    </row>
    <row r="478" spans="4:23" ht="15" customHeight="1">
      <c r="D478" s="85" t="str">
        <f xml:space="preserve"> '2.1 Model setup'!K84</f>
        <v>6.3 Afskrivninger på målere</v>
      </c>
      <c r="K478" s="5" t="str">
        <f t="shared" si="75"/>
        <v>DKKt</v>
      </c>
      <c r="O478" s="202"/>
      <c r="P478" s="202"/>
      <c r="Q478" s="202"/>
      <c r="R478" s="1">
        <f xml:space="preserve"> R373 * ( $N187 = '2.1 Model setup'!$K$41 ) + R162 * ( $N187 = '2.1 Model setup'!$K$42 )</f>
        <v>0</v>
      </c>
      <c r="S478" s="322">
        <f xml:space="preserve"> S394 * ( $N187 = '2.1 Model setup'!$K$41 ) + S162 * ( $N187 = '2.1 Model setup'!$K$42 )</f>
        <v>0</v>
      </c>
      <c r="T478" s="322">
        <f xml:space="preserve"> T415 * ( $N187 = '2.1 Model setup'!$K$41 ) + T162 * ( $N187 = '2.1 Model setup'!$K$42 )</f>
        <v>0</v>
      </c>
      <c r="U478" s="322">
        <f xml:space="preserve"> U436 * ( $N187 = '2.1 Model setup'!$K$41 ) + U162 * ( $N187 = '2.1 Model setup'!$K$42 )</f>
        <v>0</v>
      </c>
      <c r="V478" s="323">
        <f t="shared" si="76"/>
        <v>0</v>
      </c>
      <c r="W478" s="4">
        <f t="shared" si="77"/>
        <v>0</v>
      </c>
    </row>
    <row r="479" spans="4:23" ht="15" customHeight="1">
      <c r="D479" s="85" t="str">
        <f xml:space="preserve"> '2.1 Model setup'!K85</f>
        <v>7.1 Transformerstationer (forrentning)</v>
      </c>
      <c r="K479" s="5" t="str">
        <f t="shared" si="75"/>
        <v>DKKt</v>
      </c>
      <c r="O479" s="202"/>
      <c r="P479" s="202"/>
      <c r="Q479" s="202"/>
      <c r="R479" s="1">
        <f xml:space="preserve"> R374 * ( $N188 = '2.1 Model setup'!$K$41 ) + R163 * ( $N188 = '2.1 Model setup'!$K$42 )</f>
        <v>0</v>
      </c>
      <c r="S479" s="322">
        <f xml:space="preserve"> S395 * ( $N188 = '2.1 Model setup'!$K$41 ) + S163 * ( $N188 = '2.1 Model setup'!$K$42 )</f>
        <v>0</v>
      </c>
      <c r="T479" s="322">
        <f xml:space="preserve"> T416 * ( $N188 = '2.1 Model setup'!$K$41 ) + T163 * ( $N188 = '2.1 Model setup'!$K$42 )</f>
        <v>0</v>
      </c>
      <c r="U479" s="322">
        <f xml:space="preserve"> U437 * ( $N188 = '2.1 Model setup'!$K$41 ) + U163 * ( $N188 = '2.1 Model setup'!$K$42 )</f>
        <v>0</v>
      </c>
      <c r="V479" s="323">
        <f t="shared" si="76"/>
        <v>0</v>
      </c>
      <c r="W479" s="4">
        <f t="shared" si="77"/>
        <v>0</v>
      </c>
    </row>
    <row r="480" spans="4:23" ht="15" customHeight="1">
      <c r="D480" s="85" t="str">
        <f xml:space="preserve"> '2.1 Model setup'!K86</f>
        <v>7.2 Netaktiver ekskl. målere og transformerstationer (forrentning)</v>
      </c>
      <c r="K480" s="5" t="str">
        <f t="shared" si="75"/>
        <v>DKKt</v>
      </c>
      <c r="O480" s="202"/>
      <c r="P480" s="202"/>
      <c r="Q480" s="202"/>
      <c r="R480" s="1">
        <f xml:space="preserve"> R375 * ( $N189 = '2.1 Model setup'!$K$41 ) + R164 * ( $N189 = '2.1 Model setup'!$K$42 )</f>
        <v>0</v>
      </c>
      <c r="S480" s="322">
        <f xml:space="preserve"> S396 * ( $N189 = '2.1 Model setup'!$K$41 ) + S164 * ( $N189 = '2.1 Model setup'!$K$42 )</f>
        <v>0</v>
      </c>
      <c r="T480" s="322">
        <f xml:space="preserve"> T417 * ( $N189 = '2.1 Model setup'!$K$41 ) + T164 * ( $N189 = '2.1 Model setup'!$K$42 )</f>
        <v>0</v>
      </c>
      <c r="U480" s="322">
        <f xml:space="preserve"> U438 * ( $N189 = '2.1 Model setup'!$K$41 ) + U164 * ( $N189 = '2.1 Model setup'!$K$42 )</f>
        <v>0</v>
      </c>
      <c r="V480" s="323">
        <f t="shared" si="76"/>
        <v>0</v>
      </c>
      <c r="W480" s="4">
        <f t="shared" si="77"/>
        <v>0</v>
      </c>
    </row>
    <row r="481" spans="4:23" ht="15" customHeight="1">
      <c r="D481" s="99" t="str">
        <f xml:space="preserve"> '2.1 Model setup'!K87</f>
        <v>7.3 Målere (forrentning)</v>
      </c>
      <c r="K481" s="5" t="str">
        <f t="shared" si="75"/>
        <v>DKKt</v>
      </c>
      <c r="O481" s="202"/>
      <c r="P481" s="202"/>
      <c r="Q481" s="202"/>
      <c r="R481" s="1">
        <f xml:space="preserve"> R376 * ( $N190 = '2.1 Model setup'!$K$41 ) + R165 * ( $N190 = '2.1 Model setup'!$K$42 )</f>
        <v>0</v>
      </c>
      <c r="S481" s="324">
        <f xml:space="preserve"> S397 * ( $N190 = '2.1 Model setup'!$K$41 ) + S165 * ( $N190 = '2.1 Model setup'!$K$42 )</f>
        <v>0</v>
      </c>
      <c r="T481" s="324">
        <f xml:space="preserve"> T418 * ( $N190 = '2.1 Model setup'!$K$41 ) + T165 * ( $N190 = '2.1 Model setup'!$K$42 )</f>
        <v>0</v>
      </c>
      <c r="U481" s="324">
        <f xml:space="preserve"> U439 * ( $N190 = '2.1 Model setup'!$K$41 ) + U165 * ( $N190 = '2.1 Model setup'!$K$42 )</f>
        <v>0</v>
      </c>
      <c r="V481" s="325">
        <f t="shared" si="76"/>
        <v>0</v>
      </c>
      <c r="W481" s="4">
        <f t="shared" si="77"/>
        <v>0</v>
      </c>
    </row>
    <row r="482" spans="4:23" ht="15" customHeight="1">
      <c r="D482" s="186" t="s">
        <v>16</v>
      </c>
      <c r="E482" s="33"/>
      <c r="F482" s="33"/>
      <c r="G482" s="33"/>
      <c r="H482" s="33"/>
      <c r="I482" s="33"/>
      <c r="J482" s="33"/>
      <c r="K482" s="187" t="str">
        <f t="shared" si="75"/>
        <v>DKKt</v>
      </c>
      <c r="L482" s="186"/>
      <c r="M482" s="186"/>
      <c r="N482" s="186"/>
      <c r="O482" s="388"/>
      <c r="P482" s="388"/>
      <c r="Q482" s="388"/>
      <c r="R482" s="186">
        <f t="shared" ref="R482:W482" si="78" xml:space="preserve"> SUM( R464:R481 )</f>
        <v>0</v>
      </c>
      <c r="S482" s="186">
        <f t="shared" si="78"/>
        <v>0</v>
      </c>
      <c r="T482" s="186">
        <f t="shared" si="78"/>
        <v>0</v>
      </c>
      <c r="U482" s="186">
        <f t="shared" si="78"/>
        <v>0</v>
      </c>
      <c r="V482" s="186">
        <f t="shared" si="78"/>
        <v>0</v>
      </c>
      <c r="W482" s="186">
        <f t="shared" si="78"/>
        <v>0</v>
      </c>
    </row>
    <row r="483" spans="4:23" ht="15" customHeight="1">
      <c r="D483" s="4"/>
      <c r="K483" s="78"/>
      <c r="L483" s="4"/>
      <c r="M483" s="4"/>
      <c r="N483" s="4"/>
      <c r="O483" s="4"/>
      <c r="P483" s="4"/>
      <c r="Q483" s="4"/>
      <c r="R483" s="111"/>
      <c r="S483" s="111"/>
      <c r="T483" s="111"/>
      <c r="U483" s="111"/>
      <c r="V483" s="111"/>
      <c r="W483" s="111"/>
    </row>
    <row r="484" spans="4:23" ht="15" customHeight="1">
      <c r="D484" s="35" t="s">
        <v>443</v>
      </c>
      <c r="E484" s="27"/>
      <c r="F484" s="27"/>
      <c r="G484" s="27"/>
      <c r="H484" s="27"/>
      <c r="I484" s="27"/>
      <c r="J484" s="27"/>
      <c r="K484" s="32"/>
      <c r="L484" s="27"/>
      <c r="M484" s="27"/>
      <c r="N484" s="27"/>
      <c r="O484" s="27"/>
      <c r="P484" s="27"/>
      <c r="Q484" s="27"/>
      <c r="R484" s="27"/>
      <c r="S484" s="27"/>
      <c r="T484" s="27"/>
      <c r="U484" s="27"/>
      <c r="V484" s="27"/>
      <c r="W484" s="185" t="s">
        <v>16</v>
      </c>
    </row>
    <row r="485" spans="4:23" ht="15" customHeight="1">
      <c r="D485" s="85" t="str">
        <f xml:space="preserve"> '2.1 Model setup'!K70</f>
        <v>1.1 Drift og vedligeholdelse af transformerstationer</v>
      </c>
      <c r="K485" s="5" t="str">
        <f t="shared" ref="K485:K503" si="79" xml:space="preserve"> Model.Units</f>
        <v>DKKt</v>
      </c>
      <c r="O485" s="202"/>
      <c r="P485" s="202"/>
      <c r="Q485" s="202"/>
      <c r="R485" s="1">
        <v>0</v>
      </c>
      <c r="S485" s="320">
        <f t="shared" ref="S485:S502" si="80" xml:space="preserve">  S359</f>
        <v>0</v>
      </c>
      <c r="T485" s="320">
        <f t="shared" ref="T485:T502" si="81" xml:space="preserve"> T359 + T380</f>
        <v>0</v>
      </c>
      <c r="U485" s="320">
        <f t="shared" ref="U485:U502" si="82" xml:space="preserve"> U359 + U380 + U401</f>
        <v>0</v>
      </c>
      <c r="V485" s="321">
        <f t="shared" ref="V485:V502" si="83" xml:space="preserve"> V359 + V380 + V401 + V422</f>
        <v>0</v>
      </c>
      <c r="W485" s="4">
        <f t="shared" ref="W485:W502" si="84" xml:space="preserve"> SUM( R485:V485 )</f>
        <v>0</v>
      </c>
    </row>
    <row r="486" spans="4:23" ht="15" customHeight="1">
      <c r="D486" s="85" t="str">
        <f xml:space="preserve"> '2.1 Model setup'!K71</f>
        <v>1.2 Drift og vedligeholdelse af ledningsnet</v>
      </c>
      <c r="K486" s="5" t="str">
        <f t="shared" si="79"/>
        <v>DKKt</v>
      </c>
      <c r="O486" s="202"/>
      <c r="P486" s="202"/>
      <c r="Q486" s="202"/>
      <c r="R486" s="1">
        <v>0</v>
      </c>
      <c r="S486" s="322">
        <f t="shared" si="80"/>
        <v>0</v>
      </c>
      <c r="T486" s="322">
        <f t="shared" si="81"/>
        <v>0</v>
      </c>
      <c r="U486" s="322">
        <f t="shared" si="82"/>
        <v>0</v>
      </c>
      <c r="V486" s="323">
        <f t="shared" si="83"/>
        <v>0</v>
      </c>
      <c r="W486" s="4">
        <f t="shared" si="84"/>
        <v>0</v>
      </c>
    </row>
    <row r="487" spans="4:23" ht="15" customHeight="1">
      <c r="D487" s="85" t="str">
        <f xml:space="preserve"> '2.1 Model setup'!K72</f>
        <v>1.3 Øvrige omkostninger til drift, styring og kontrol af elnettet</v>
      </c>
      <c r="K487" s="5" t="str">
        <f t="shared" si="79"/>
        <v>DKKt</v>
      </c>
      <c r="O487" s="202"/>
      <c r="P487" s="202"/>
      <c r="Q487" s="202"/>
      <c r="R487" s="1">
        <v>0</v>
      </c>
      <c r="S487" s="322">
        <f t="shared" si="80"/>
        <v>0</v>
      </c>
      <c r="T487" s="322">
        <f t="shared" si="81"/>
        <v>0</v>
      </c>
      <c r="U487" s="322">
        <f t="shared" si="82"/>
        <v>0</v>
      </c>
      <c r="V487" s="323">
        <f t="shared" si="83"/>
        <v>0</v>
      </c>
      <c r="W487" s="4">
        <f t="shared" si="84"/>
        <v>0</v>
      </c>
    </row>
    <row r="488" spans="4:23" ht="15" customHeight="1">
      <c r="D488" s="85" t="str">
        <f xml:space="preserve"> '2.1 Model setup'!K73</f>
        <v>1.4 Omkostninger vedrørende 132-150/30-60 kV-stationer</v>
      </c>
      <c r="K488" s="5" t="str">
        <f t="shared" si="79"/>
        <v>DKKt</v>
      </c>
      <c r="O488" s="202"/>
      <c r="P488" s="202"/>
      <c r="Q488" s="202"/>
      <c r="R488" s="1">
        <v>0</v>
      </c>
      <c r="S488" s="322">
        <f t="shared" si="80"/>
        <v>0</v>
      </c>
      <c r="T488" s="322">
        <f t="shared" si="81"/>
        <v>0</v>
      </c>
      <c r="U488" s="322">
        <f t="shared" si="82"/>
        <v>0</v>
      </c>
      <c r="V488" s="323">
        <f t="shared" si="83"/>
        <v>0</v>
      </c>
      <c r="W488" s="4">
        <f xml:space="preserve"> SUM( R488:V488 )</f>
        <v>0</v>
      </c>
    </row>
    <row r="489" spans="4:23" ht="15" customHeight="1">
      <c r="D489" s="85" t="str">
        <f xml:space="preserve"> '2.1 Model setup'!K74</f>
        <v>2.1 Drift og vedligeholdelse af målere</v>
      </c>
      <c r="K489" s="5" t="str">
        <f t="shared" si="79"/>
        <v>DKKt</v>
      </c>
      <c r="O489" s="202"/>
      <c r="P489" s="202"/>
      <c r="Q489" s="202"/>
      <c r="R489" s="1">
        <v>0</v>
      </c>
      <c r="S489" s="322">
        <f t="shared" si="80"/>
        <v>0</v>
      </c>
      <c r="T489" s="322">
        <f t="shared" si="81"/>
        <v>0</v>
      </c>
      <c r="U489" s="322">
        <f t="shared" si="82"/>
        <v>0</v>
      </c>
      <c r="V489" s="323">
        <f t="shared" si="83"/>
        <v>0</v>
      </c>
      <c r="W489" s="4">
        <f t="shared" si="84"/>
        <v>0</v>
      </c>
    </row>
    <row r="490" spans="4:23" ht="15" customHeight="1">
      <c r="D490" s="85" t="str">
        <f xml:space="preserve"> '2.1 Model setup'!K75</f>
        <v>2.2 Indhentning og validering af målerdata</v>
      </c>
      <c r="K490" s="5" t="str">
        <f t="shared" si="79"/>
        <v>DKKt</v>
      </c>
      <c r="O490" s="202"/>
      <c r="P490" s="202"/>
      <c r="Q490" s="202"/>
      <c r="R490" s="1">
        <v>0</v>
      </c>
      <c r="S490" s="322">
        <f t="shared" si="80"/>
        <v>0</v>
      </c>
      <c r="T490" s="322">
        <f t="shared" si="81"/>
        <v>0</v>
      </c>
      <c r="U490" s="322">
        <f t="shared" si="82"/>
        <v>0</v>
      </c>
      <c r="V490" s="323">
        <f t="shared" si="83"/>
        <v>0</v>
      </c>
      <c r="W490" s="4">
        <f t="shared" si="84"/>
        <v>0</v>
      </c>
    </row>
    <row r="491" spans="4:23" ht="15" customHeight="1">
      <c r="D491" s="85" t="str">
        <f xml:space="preserve"> '2.1 Model setup'!K76</f>
        <v>2.3 Måleradministration og kundehåndtering</v>
      </c>
      <c r="K491" s="5" t="str">
        <f t="shared" si="79"/>
        <v>DKKt</v>
      </c>
      <c r="O491" s="202"/>
      <c r="P491" s="202"/>
      <c r="Q491" s="202"/>
      <c r="R491" s="1">
        <v>0</v>
      </c>
      <c r="S491" s="322">
        <f t="shared" si="80"/>
        <v>0</v>
      </c>
      <c r="T491" s="322">
        <f t="shared" si="81"/>
        <v>0</v>
      </c>
      <c r="U491" s="322">
        <f t="shared" si="82"/>
        <v>0</v>
      </c>
      <c r="V491" s="323">
        <f t="shared" si="83"/>
        <v>0</v>
      </c>
      <c r="W491" s="4">
        <f t="shared" si="84"/>
        <v>0</v>
      </c>
    </row>
    <row r="492" spans="4:23" ht="15" customHeight="1">
      <c r="D492" s="85" t="str">
        <f xml:space="preserve"> '2.1 Model setup'!K77</f>
        <v>3.1 Generel administration</v>
      </c>
      <c r="K492" s="5" t="str">
        <f t="shared" si="79"/>
        <v>DKKt</v>
      </c>
      <c r="O492" s="202"/>
      <c r="P492" s="202"/>
      <c r="Q492" s="202"/>
      <c r="R492" s="1">
        <v>0</v>
      </c>
      <c r="S492" s="322">
        <f t="shared" si="80"/>
        <v>0</v>
      </c>
      <c r="T492" s="322">
        <f t="shared" si="81"/>
        <v>0</v>
      </c>
      <c r="U492" s="322">
        <f t="shared" si="82"/>
        <v>0</v>
      </c>
      <c r="V492" s="323">
        <f t="shared" si="83"/>
        <v>0</v>
      </c>
      <c r="W492" s="4">
        <f t="shared" si="84"/>
        <v>0</v>
      </c>
    </row>
    <row r="493" spans="4:23" ht="15" customHeight="1">
      <c r="D493" s="85" t="str">
        <f xml:space="preserve"> '2.1 Model setup'!K78</f>
        <v>4.1 Omkostninger vedrørende nettab i transformerstationer</v>
      </c>
      <c r="K493" s="5" t="str">
        <f t="shared" si="79"/>
        <v>DKKt</v>
      </c>
      <c r="O493" s="202"/>
      <c r="P493" s="202"/>
      <c r="Q493" s="202"/>
      <c r="R493" s="1">
        <v>0</v>
      </c>
      <c r="S493" s="322">
        <f t="shared" si="80"/>
        <v>0</v>
      </c>
      <c r="T493" s="322">
        <f t="shared" si="81"/>
        <v>0</v>
      </c>
      <c r="U493" s="322">
        <f t="shared" si="82"/>
        <v>0</v>
      </c>
      <c r="V493" s="323">
        <f t="shared" si="83"/>
        <v>0</v>
      </c>
      <c r="W493" s="4">
        <f t="shared" si="84"/>
        <v>0</v>
      </c>
    </row>
    <row r="494" spans="4:23" ht="15" customHeight="1">
      <c r="D494" s="85" t="str">
        <f xml:space="preserve"> '2.1 Model setup'!K79</f>
        <v>4.2 Omkostninger vedrørende nettab i ledningsnettet</v>
      </c>
      <c r="K494" s="5" t="str">
        <f t="shared" si="79"/>
        <v>DKKt</v>
      </c>
      <c r="O494" s="202"/>
      <c r="P494" s="202"/>
      <c r="Q494" s="202"/>
      <c r="R494" s="1">
        <v>0</v>
      </c>
      <c r="S494" s="322">
        <f t="shared" si="80"/>
        <v>0</v>
      </c>
      <c r="T494" s="322">
        <f t="shared" si="81"/>
        <v>0</v>
      </c>
      <c r="U494" s="322">
        <f t="shared" si="82"/>
        <v>0</v>
      </c>
      <c r="V494" s="323">
        <f t="shared" si="83"/>
        <v>0</v>
      </c>
      <c r="W494" s="4">
        <f t="shared" si="84"/>
        <v>0</v>
      </c>
    </row>
    <row r="495" spans="4:23" ht="15" customHeight="1">
      <c r="D495" s="85" t="str">
        <f xml:space="preserve"> '2.1 Model setup'!K80</f>
        <v>5.1 Omkostninger til overliggende net ifm. forbrug</v>
      </c>
      <c r="K495" s="5" t="str">
        <f t="shared" si="79"/>
        <v>DKKt</v>
      </c>
      <c r="O495" s="202"/>
      <c r="P495" s="202"/>
      <c r="Q495" s="202"/>
      <c r="R495" s="1">
        <v>0</v>
      </c>
      <c r="S495" s="322">
        <f t="shared" si="80"/>
        <v>0</v>
      </c>
      <c r="T495" s="322">
        <f t="shared" si="81"/>
        <v>0</v>
      </c>
      <c r="U495" s="322">
        <f t="shared" si="82"/>
        <v>0</v>
      </c>
      <c r="V495" s="323">
        <f t="shared" si="83"/>
        <v>0</v>
      </c>
      <c r="W495" s="4">
        <f xml:space="preserve"> SUM( R495:V495 )</f>
        <v>0</v>
      </c>
    </row>
    <row r="496" spans="4:23" ht="15" customHeight="1">
      <c r="D496" s="85" t="str">
        <f xml:space="preserve"> '2.1 Model setup'!K81</f>
        <v>5.2 Øvrige omkostninger</v>
      </c>
      <c r="K496" s="5" t="str">
        <f t="shared" si="79"/>
        <v>DKKt</v>
      </c>
      <c r="O496" s="202"/>
      <c r="P496" s="202"/>
      <c r="Q496" s="202"/>
      <c r="R496" s="1">
        <v>0</v>
      </c>
      <c r="S496" s="322">
        <f t="shared" si="80"/>
        <v>0</v>
      </c>
      <c r="T496" s="322">
        <f t="shared" si="81"/>
        <v>0</v>
      </c>
      <c r="U496" s="322">
        <f t="shared" si="82"/>
        <v>0</v>
      </c>
      <c r="V496" s="323">
        <f t="shared" si="83"/>
        <v>0</v>
      </c>
      <c r="W496" s="4">
        <f t="shared" si="84"/>
        <v>0</v>
      </c>
    </row>
    <row r="497" spans="2:24" ht="15" customHeight="1">
      <c r="D497" s="85" t="str">
        <f xml:space="preserve"> '2.1 Model setup'!K82</f>
        <v>6.1 Afskrivninger på transformerstationer</v>
      </c>
      <c r="K497" s="5" t="str">
        <f t="shared" si="79"/>
        <v>DKKt</v>
      </c>
      <c r="O497" s="202"/>
      <c r="P497" s="202"/>
      <c r="Q497" s="202"/>
      <c r="R497" s="1">
        <v>0</v>
      </c>
      <c r="S497" s="322">
        <f t="shared" si="80"/>
        <v>0</v>
      </c>
      <c r="T497" s="322">
        <f t="shared" si="81"/>
        <v>0</v>
      </c>
      <c r="U497" s="322">
        <f t="shared" si="82"/>
        <v>0</v>
      </c>
      <c r="V497" s="323">
        <f t="shared" si="83"/>
        <v>0</v>
      </c>
      <c r="W497" s="4">
        <f t="shared" si="84"/>
        <v>0</v>
      </c>
    </row>
    <row r="498" spans="2:24" ht="15" customHeight="1">
      <c r="D498" s="85" t="str">
        <f xml:space="preserve"> '2.1 Model setup'!K83</f>
        <v>6.2 Afskrivninger på netaktiver ekskl. målere og transformerstationer</v>
      </c>
      <c r="K498" s="5" t="str">
        <f t="shared" si="79"/>
        <v>DKKt</v>
      </c>
      <c r="O498" s="202"/>
      <c r="P498" s="202"/>
      <c r="Q498" s="202"/>
      <c r="R498" s="1">
        <v>0</v>
      </c>
      <c r="S498" s="322">
        <f t="shared" si="80"/>
        <v>0</v>
      </c>
      <c r="T498" s="322">
        <f t="shared" si="81"/>
        <v>0</v>
      </c>
      <c r="U498" s="322">
        <f t="shared" si="82"/>
        <v>0</v>
      </c>
      <c r="V498" s="323">
        <f t="shared" si="83"/>
        <v>0</v>
      </c>
      <c r="W498" s="4">
        <f t="shared" si="84"/>
        <v>0</v>
      </c>
    </row>
    <row r="499" spans="2:24" ht="15" customHeight="1">
      <c r="D499" s="85" t="str">
        <f xml:space="preserve"> '2.1 Model setup'!K84</f>
        <v>6.3 Afskrivninger på målere</v>
      </c>
      <c r="K499" s="5" t="str">
        <f t="shared" si="79"/>
        <v>DKKt</v>
      </c>
      <c r="O499" s="202"/>
      <c r="P499" s="202"/>
      <c r="Q499" s="202"/>
      <c r="R499" s="1">
        <v>0</v>
      </c>
      <c r="S499" s="322">
        <f t="shared" si="80"/>
        <v>0</v>
      </c>
      <c r="T499" s="322">
        <f t="shared" si="81"/>
        <v>0</v>
      </c>
      <c r="U499" s="322">
        <f t="shared" si="82"/>
        <v>0</v>
      </c>
      <c r="V499" s="323">
        <f t="shared" si="83"/>
        <v>0</v>
      </c>
      <c r="W499" s="4">
        <f t="shared" si="84"/>
        <v>0</v>
      </c>
    </row>
    <row r="500" spans="2:24" ht="15" customHeight="1">
      <c r="D500" s="85" t="str">
        <f xml:space="preserve"> '2.1 Model setup'!K85</f>
        <v>7.1 Transformerstationer (forrentning)</v>
      </c>
      <c r="K500" s="5" t="str">
        <f t="shared" si="79"/>
        <v>DKKt</v>
      </c>
      <c r="O500" s="202"/>
      <c r="P500" s="202"/>
      <c r="Q500" s="202"/>
      <c r="R500" s="1">
        <v>0</v>
      </c>
      <c r="S500" s="322">
        <f t="shared" si="80"/>
        <v>0</v>
      </c>
      <c r="T500" s="322">
        <f t="shared" si="81"/>
        <v>0</v>
      </c>
      <c r="U500" s="322">
        <f t="shared" si="82"/>
        <v>0</v>
      </c>
      <c r="V500" s="323">
        <f t="shared" si="83"/>
        <v>0</v>
      </c>
      <c r="W500" s="4">
        <f t="shared" si="84"/>
        <v>0</v>
      </c>
    </row>
    <row r="501" spans="2:24" ht="15" customHeight="1">
      <c r="D501" s="85" t="str">
        <f xml:space="preserve"> '2.1 Model setup'!K86</f>
        <v>7.2 Netaktiver ekskl. målere og transformerstationer (forrentning)</v>
      </c>
      <c r="K501" s="5" t="str">
        <f t="shared" si="79"/>
        <v>DKKt</v>
      </c>
      <c r="O501" s="202"/>
      <c r="P501" s="202"/>
      <c r="Q501" s="202"/>
      <c r="R501" s="1">
        <v>0</v>
      </c>
      <c r="S501" s="322">
        <f t="shared" si="80"/>
        <v>0</v>
      </c>
      <c r="T501" s="322">
        <f t="shared" si="81"/>
        <v>0</v>
      </c>
      <c r="U501" s="322">
        <f t="shared" si="82"/>
        <v>0</v>
      </c>
      <c r="V501" s="323">
        <f t="shared" si="83"/>
        <v>0</v>
      </c>
      <c r="W501" s="4">
        <f t="shared" si="84"/>
        <v>0</v>
      </c>
    </row>
    <row r="502" spans="2:24" ht="15" customHeight="1">
      <c r="D502" s="99" t="str">
        <f xml:space="preserve"> '2.1 Model setup'!K87</f>
        <v>7.3 Målere (forrentning)</v>
      </c>
      <c r="K502" s="5" t="str">
        <f t="shared" si="79"/>
        <v>DKKt</v>
      </c>
      <c r="O502" s="202"/>
      <c r="P502" s="202"/>
      <c r="Q502" s="202"/>
      <c r="R502" s="1">
        <v>0</v>
      </c>
      <c r="S502" s="324">
        <f t="shared" si="80"/>
        <v>0</v>
      </c>
      <c r="T502" s="324">
        <f t="shared" si="81"/>
        <v>0</v>
      </c>
      <c r="U502" s="324">
        <f t="shared" si="82"/>
        <v>0</v>
      </c>
      <c r="V502" s="325">
        <f t="shared" si="83"/>
        <v>0</v>
      </c>
      <c r="W502" s="4">
        <f t="shared" si="84"/>
        <v>0</v>
      </c>
    </row>
    <row r="503" spans="2:24" ht="15" customHeight="1">
      <c r="D503" s="186" t="s">
        <v>16</v>
      </c>
      <c r="E503" s="33"/>
      <c r="F503" s="33"/>
      <c r="G503" s="33"/>
      <c r="H503" s="33"/>
      <c r="I503" s="33"/>
      <c r="J503" s="33"/>
      <c r="K503" s="187" t="str">
        <f t="shared" si="79"/>
        <v>DKKt</v>
      </c>
      <c r="L503" s="186"/>
      <c r="M503" s="186"/>
      <c r="N503" s="186"/>
      <c r="O503" s="388"/>
      <c r="P503" s="388"/>
      <c r="Q503" s="388"/>
      <c r="R503" s="186">
        <f t="shared" ref="R503:W503" si="85" xml:space="preserve"> SUM( R485:R502 )</f>
        <v>0</v>
      </c>
      <c r="S503" s="186">
        <f t="shared" si="85"/>
        <v>0</v>
      </c>
      <c r="T503" s="186">
        <f t="shared" si="85"/>
        <v>0</v>
      </c>
      <c r="U503" s="186">
        <f t="shared" si="85"/>
        <v>0</v>
      </c>
      <c r="V503" s="186">
        <f t="shared" si="85"/>
        <v>0</v>
      </c>
      <c r="W503" s="186">
        <f t="shared" si="85"/>
        <v>0</v>
      </c>
    </row>
    <row r="504" spans="2:24" ht="15" customHeight="1">
      <c r="D504" s="4"/>
      <c r="K504" s="78"/>
      <c r="L504" s="4"/>
      <c r="M504" s="4"/>
      <c r="N504" s="4"/>
      <c r="O504" s="4"/>
      <c r="P504" s="4"/>
      <c r="Q504" s="4"/>
      <c r="R504" s="111"/>
      <c r="S504" s="111"/>
      <c r="T504" s="111"/>
      <c r="U504" s="111"/>
      <c r="V504" s="111"/>
      <c r="W504" s="111"/>
    </row>
    <row r="505" spans="2:24" ht="15" customHeight="1">
      <c r="D505" s="4" t="s">
        <v>229</v>
      </c>
      <c r="W505" s="185" t="s">
        <v>16</v>
      </c>
    </row>
    <row r="506" spans="2:24" ht="15" customHeight="1">
      <c r="D506" s="15" t="s">
        <v>444</v>
      </c>
      <c r="E506" s="15"/>
      <c r="F506" s="15"/>
      <c r="G506" s="15"/>
      <c r="H506" s="15"/>
      <c r="I506" s="15"/>
      <c r="J506" s="15"/>
      <c r="K506" s="19" t="str">
        <f xml:space="preserve"> Model.Units</f>
        <v>DKKt</v>
      </c>
      <c r="L506" s="15"/>
      <c r="M506" s="15"/>
      <c r="N506" s="15"/>
      <c r="O506" s="274"/>
      <c r="P506" s="274"/>
      <c r="Q506" s="274"/>
      <c r="R506" s="15">
        <f xml:space="preserve"> R503</f>
        <v>0</v>
      </c>
      <c r="S506" s="15">
        <f xml:space="preserve"> S503</f>
        <v>0</v>
      </c>
      <c r="T506" s="15">
        <f xml:space="preserve"> T503</f>
        <v>0</v>
      </c>
      <c r="U506" s="15">
        <f xml:space="preserve"> U503</f>
        <v>0</v>
      </c>
      <c r="V506" s="15">
        <f xml:space="preserve"> V503</f>
        <v>0</v>
      </c>
      <c r="W506" s="18">
        <f xml:space="preserve"> SUM( R506:V506 )</f>
        <v>0</v>
      </c>
    </row>
    <row r="507" spans="2:24" ht="15" customHeight="1">
      <c r="D507" s="1" t="s">
        <v>230</v>
      </c>
      <c r="K507" s="5" t="str">
        <f xml:space="preserve"> Model.Units</f>
        <v>DKKt</v>
      </c>
      <c r="O507" s="202"/>
      <c r="P507" s="202"/>
      <c r="Q507" s="202"/>
      <c r="R507" s="1">
        <f xml:space="preserve"> R482</f>
        <v>0</v>
      </c>
      <c r="S507" s="1">
        <f xml:space="preserve"> S482</f>
        <v>0</v>
      </c>
      <c r="T507" s="1">
        <f xml:space="preserve"> T482</f>
        <v>0</v>
      </c>
      <c r="U507" s="1">
        <f xml:space="preserve"> U482</f>
        <v>0</v>
      </c>
      <c r="V507" s="1">
        <f xml:space="preserve"> V482</f>
        <v>0</v>
      </c>
      <c r="W507" s="4">
        <f xml:space="preserve"> SUM( R507:V507 )</f>
        <v>0</v>
      </c>
    </row>
    <row r="508" spans="2:24" ht="15" customHeight="1">
      <c r="D508" s="186" t="s">
        <v>16</v>
      </c>
      <c r="E508" s="33"/>
      <c r="F508" s="33"/>
      <c r="G508" s="33"/>
      <c r="H508" s="33"/>
      <c r="I508" s="33"/>
      <c r="J508" s="33"/>
      <c r="K508" s="187" t="str">
        <f xml:space="preserve"> Model.Units</f>
        <v>DKKt</v>
      </c>
      <c r="L508" s="90">
        <f>-- ( ROUND( W508, 5 ) &lt;&gt; ROUND( W30 + W51, 5 ) )</f>
        <v>0</v>
      </c>
      <c r="M508" s="186"/>
      <c r="N508" s="186"/>
      <c r="O508" s="388"/>
      <c r="P508" s="388"/>
      <c r="Q508" s="388"/>
      <c r="R508" s="186">
        <f t="shared" ref="R508:W508" si="86" xml:space="preserve"> SUM( R506:R507 )</f>
        <v>0</v>
      </c>
      <c r="S508" s="186">
        <f t="shared" si="86"/>
        <v>0</v>
      </c>
      <c r="T508" s="186">
        <f t="shared" si="86"/>
        <v>0</v>
      </c>
      <c r="U508" s="186">
        <f t="shared" si="86"/>
        <v>0</v>
      </c>
      <c r="V508" s="186">
        <f t="shared" si="86"/>
        <v>0</v>
      </c>
      <c r="W508" s="186">
        <f t="shared" si="86"/>
        <v>0</v>
      </c>
      <c r="X508" s="203"/>
    </row>
    <row r="509" spans="2:24" ht="15" customHeight="1">
      <c r="R509" s="121"/>
      <c r="S509" s="121"/>
      <c r="T509" s="121"/>
      <c r="U509" s="121"/>
      <c r="V509" s="121"/>
      <c r="W509" s="121"/>
    </row>
    <row r="510" spans="2:24" ht="15" customHeight="1">
      <c r="R510" s="121"/>
      <c r="S510" s="121"/>
      <c r="T510" s="121"/>
      <c r="U510" s="121"/>
      <c r="V510" s="121"/>
      <c r="W510" s="121"/>
    </row>
    <row r="511" spans="2:24" ht="15" customHeight="1">
      <c r="R511" s="121"/>
      <c r="S511" s="121"/>
      <c r="T511" s="121"/>
      <c r="U511" s="121"/>
      <c r="V511" s="121"/>
      <c r="W511" s="121"/>
    </row>
    <row r="512" spans="2:24" s="475" customFormat="1" ht="15" customHeight="1">
      <c r="B512" s="479" t="str">
        <f xml:space="preserve"> COUNTA(B$10:B504) &amp; ") Opsplitning på tarif og effekt"</f>
        <v>3) Opsplitning på tarif og effekt</v>
      </c>
      <c r="C512" s="477"/>
      <c r="D512" s="478"/>
      <c r="K512" s="472"/>
    </row>
    <row r="514" spans="4:23" ht="15" customHeight="1">
      <c r="D514" s="88" t="s">
        <v>228</v>
      </c>
      <c r="F514" s="86"/>
      <c r="G514" s="86"/>
      <c r="H514" s="86"/>
      <c r="I514" s="86"/>
      <c r="J514" s="86"/>
      <c r="K514" s="87"/>
      <c r="L514" s="85"/>
      <c r="M514" s="85"/>
    </row>
    <row r="515" spans="4:23" ht="15" customHeight="1">
      <c r="D515" s="123" t="str">
        <f xml:space="preserve"> '2.1 Model setup'!K70</f>
        <v>1.1 Drift og vedligeholdelse af transformerstationer</v>
      </c>
      <c r="E515" s="15"/>
      <c r="F515" s="56"/>
      <c r="G515" s="56"/>
      <c r="H515" s="56"/>
      <c r="I515" s="56"/>
      <c r="J515" s="56"/>
      <c r="K515" s="117" t="s">
        <v>41</v>
      </c>
      <c r="L515" s="123"/>
      <c r="M515" s="123"/>
      <c r="N515" s="193" t="str">
        <f xml:space="preserve"> '2.2 Generelle input'!N55</f>
        <v>Tarif/effekt</v>
      </c>
      <c r="O515" s="400"/>
      <c r="P515" s="400"/>
      <c r="Q515" s="400"/>
      <c r="R515" s="274"/>
      <c r="S515" s="274"/>
      <c r="T515" s="274"/>
      <c r="U515" s="274"/>
      <c r="V515" s="274"/>
      <c r="W515" s="274"/>
    </row>
    <row r="516" spans="4:23" ht="15" customHeight="1">
      <c r="D516" s="85" t="str">
        <f xml:space="preserve"> '2.1 Model setup'!K71</f>
        <v>1.2 Drift og vedligeholdelse af ledningsnet</v>
      </c>
      <c r="F516"/>
      <c r="G516"/>
      <c r="H516"/>
      <c r="I516"/>
      <c r="J516"/>
      <c r="K516" s="87" t="s">
        <v>41</v>
      </c>
      <c r="L516" s="85"/>
      <c r="M516" s="85"/>
      <c r="N516" s="194" t="str">
        <f xml:space="preserve"> '2.2 Generelle input'!N56</f>
        <v>Tarif/effekt</v>
      </c>
      <c r="O516" s="401"/>
      <c r="P516" s="401"/>
      <c r="Q516" s="401"/>
      <c r="R516" s="202"/>
      <c r="S516" s="202"/>
      <c r="T516" s="202"/>
      <c r="U516" s="202"/>
      <c r="V516" s="202"/>
      <c r="W516" s="202"/>
    </row>
    <row r="517" spans="4:23" ht="15" customHeight="1">
      <c r="D517" s="85" t="str">
        <f xml:space="preserve"> '2.1 Model setup'!K72</f>
        <v>1.3 Øvrige omkostninger til drift, styring og kontrol af elnettet</v>
      </c>
      <c r="F517"/>
      <c r="G517"/>
      <c r="H517"/>
      <c r="I517"/>
      <c r="J517"/>
      <c r="K517" s="87" t="s">
        <v>41</v>
      </c>
      <c r="L517" s="85"/>
      <c r="M517" s="85"/>
      <c r="N517" s="194" t="str">
        <f xml:space="preserve"> '2.2 Generelle input'!N57</f>
        <v>Tarif/effekt</v>
      </c>
      <c r="O517" s="401"/>
      <c r="P517" s="401"/>
      <c r="Q517" s="401"/>
      <c r="R517" s="202"/>
      <c r="S517" s="202"/>
      <c r="T517" s="202"/>
      <c r="U517" s="202"/>
      <c r="V517" s="202"/>
      <c r="W517" s="202"/>
    </row>
    <row r="518" spans="4:23" ht="15" customHeight="1">
      <c r="D518" s="85" t="str">
        <f xml:space="preserve"> '2.1 Model setup'!K73</f>
        <v>1.4 Omkostninger vedrørende 132-150/30-60 kV-stationer</v>
      </c>
      <c r="F518"/>
      <c r="G518"/>
      <c r="H518"/>
      <c r="I518"/>
      <c r="J518"/>
      <c r="K518" s="87" t="s">
        <v>41</v>
      </c>
      <c r="L518" s="85"/>
      <c r="M518" s="85"/>
      <c r="N518" s="194">
        <f xml:space="preserve"> '2.2 Generelle input'!N58</f>
        <v>0</v>
      </c>
      <c r="O518" s="401"/>
      <c r="P518" s="401"/>
      <c r="Q518" s="401"/>
      <c r="R518" s="202"/>
      <c r="S518" s="202"/>
      <c r="T518" s="202"/>
      <c r="U518" s="202"/>
      <c r="V518" s="202"/>
      <c r="W518" s="202"/>
    </row>
    <row r="519" spans="4:23" ht="15" customHeight="1">
      <c r="D519" s="85" t="str">
        <f xml:space="preserve"> '2.1 Model setup'!K74</f>
        <v>2.1 Drift og vedligeholdelse af målere</v>
      </c>
      <c r="F519"/>
      <c r="G519"/>
      <c r="H519"/>
      <c r="I519"/>
      <c r="J519"/>
      <c r="K519" s="87" t="s">
        <v>41</v>
      </c>
      <c r="L519" s="85"/>
      <c r="M519" s="85"/>
      <c r="N519" s="194" t="str">
        <f xml:space="preserve"> '2.2 Generelle input'!N59</f>
        <v>Abonnement</v>
      </c>
      <c r="O519" s="401"/>
      <c r="P519" s="401"/>
      <c r="Q519" s="401"/>
      <c r="R519" s="202"/>
      <c r="S519" s="202"/>
      <c r="T519" s="202"/>
      <c r="U519" s="202"/>
      <c r="V519" s="202"/>
      <c r="W519" s="202"/>
    </row>
    <row r="520" spans="4:23" ht="15" customHeight="1">
      <c r="D520" s="85" t="str">
        <f xml:space="preserve"> '2.1 Model setup'!K75</f>
        <v>2.2 Indhentning og validering af målerdata</v>
      </c>
      <c r="F520"/>
      <c r="G520"/>
      <c r="H520"/>
      <c r="I520"/>
      <c r="J520"/>
      <c r="K520" s="87" t="s">
        <v>41</v>
      </c>
      <c r="L520" s="85"/>
      <c r="M520" s="85"/>
      <c r="N520" s="194" t="str">
        <f xml:space="preserve"> '2.2 Generelle input'!N60</f>
        <v>Abonnement</v>
      </c>
      <c r="O520" s="401"/>
      <c r="P520" s="401"/>
      <c r="Q520" s="401"/>
      <c r="R520" s="202"/>
      <c r="S520" s="202"/>
      <c r="T520" s="202"/>
      <c r="U520" s="202"/>
      <c r="V520" s="202"/>
      <c r="W520" s="202"/>
    </row>
    <row r="521" spans="4:23" ht="15" customHeight="1">
      <c r="D521" s="85" t="str">
        <f xml:space="preserve"> '2.1 Model setup'!K76</f>
        <v>2.3 Måleradministration og kundehåndtering</v>
      </c>
      <c r="F521"/>
      <c r="G521"/>
      <c r="H521"/>
      <c r="I521"/>
      <c r="J521"/>
      <c r="K521" s="87" t="s">
        <v>41</v>
      </c>
      <c r="L521" s="85"/>
      <c r="M521" s="85"/>
      <c r="N521" s="194" t="str">
        <f xml:space="preserve"> '2.2 Generelle input'!N61</f>
        <v>Abonnement</v>
      </c>
      <c r="O521" s="401"/>
      <c r="P521" s="401"/>
      <c r="Q521" s="401"/>
      <c r="R521" s="202"/>
      <c r="S521" s="202"/>
      <c r="T521" s="202"/>
      <c r="U521" s="202"/>
      <c r="V521" s="202"/>
      <c r="W521" s="202"/>
    </row>
    <row r="522" spans="4:23" ht="15" customHeight="1">
      <c r="D522" s="85" t="str">
        <f xml:space="preserve"> '2.1 Model setup'!K77</f>
        <v>3.1 Generel administration</v>
      </c>
      <c r="F522"/>
      <c r="G522"/>
      <c r="H522"/>
      <c r="I522"/>
      <c r="J522"/>
      <c r="K522" s="87" t="s">
        <v>41</v>
      </c>
      <c r="L522" s="85"/>
      <c r="M522" s="85"/>
      <c r="N522" s="194" t="str">
        <f xml:space="preserve"> '2.2 Generelle input'!N62</f>
        <v>Abonnement</v>
      </c>
      <c r="O522" s="401"/>
      <c r="P522" s="401"/>
      <c r="Q522" s="401"/>
      <c r="R522" s="202"/>
      <c r="S522" s="202"/>
      <c r="T522" s="202"/>
      <c r="U522" s="202"/>
      <c r="V522" s="202"/>
      <c r="W522" s="202"/>
    </row>
    <row r="523" spans="4:23" ht="15" customHeight="1">
      <c r="D523" s="85" t="str">
        <f xml:space="preserve"> '2.1 Model setup'!K78</f>
        <v>4.1 Omkostninger vedrørende nettab i transformerstationer</v>
      </c>
      <c r="F523"/>
      <c r="G523"/>
      <c r="H523"/>
      <c r="I523"/>
      <c r="J523"/>
      <c r="K523" s="87" t="s">
        <v>41</v>
      </c>
      <c r="L523" s="85"/>
      <c r="M523" s="85"/>
      <c r="N523" s="194" t="str">
        <f xml:space="preserve"> '2.2 Generelle input'!N63</f>
        <v>Tarif</v>
      </c>
      <c r="O523" s="401"/>
      <c r="P523" s="401"/>
      <c r="Q523" s="401"/>
      <c r="R523" s="202"/>
      <c r="S523" s="202"/>
      <c r="T523" s="202"/>
      <c r="U523" s="202"/>
      <c r="V523" s="202"/>
      <c r="W523" s="202"/>
    </row>
    <row r="524" spans="4:23" ht="15" customHeight="1">
      <c r="D524" s="85" t="str">
        <f xml:space="preserve"> '2.1 Model setup'!K79</f>
        <v>4.2 Omkostninger vedrørende nettab i ledningsnettet</v>
      </c>
      <c r="F524"/>
      <c r="G524"/>
      <c r="H524"/>
      <c r="I524"/>
      <c r="J524"/>
      <c r="K524" s="87" t="s">
        <v>41</v>
      </c>
      <c r="L524" s="85"/>
      <c r="M524" s="85"/>
      <c r="N524" s="194" t="str">
        <f xml:space="preserve"> '2.2 Generelle input'!N64</f>
        <v>Tarif</v>
      </c>
      <c r="O524" s="401"/>
      <c r="P524" s="401"/>
      <c r="Q524" s="401"/>
      <c r="R524" s="202"/>
      <c r="S524" s="202"/>
      <c r="T524" s="202"/>
      <c r="U524" s="202"/>
      <c r="V524" s="202"/>
      <c r="W524" s="202"/>
    </row>
    <row r="525" spans="4:23" ht="15" customHeight="1">
      <c r="D525" s="85" t="str">
        <f xml:space="preserve"> '2.1 Model setup'!K80</f>
        <v>5.1 Omkostninger til overliggende net ifm. forbrug</v>
      </c>
      <c r="F525"/>
      <c r="G525"/>
      <c r="H525"/>
      <c r="I525"/>
      <c r="J525"/>
      <c r="K525" s="87" t="s">
        <v>41</v>
      </c>
      <c r="L525" s="85"/>
      <c r="M525" s="85"/>
      <c r="N525" s="194" t="str">
        <f xml:space="preserve"> '2.2 Generelle input'!N65</f>
        <v>Tarif/effekt</v>
      </c>
      <c r="O525" s="401"/>
      <c r="P525" s="401"/>
      <c r="Q525" s="401"/>
      <c r="R525" s="202"/>
      <c r="S525" s="202"/>
      <c r="T525" s="202"/>
      <c r="U525" s="202"/>
      <c r="V525" s="202"/>
      <c r="W525" s="202"/>
    </row>
    <row r="526" spans="4:23" ht="15" customHeight="1">
      <c r="D526" s="85" t="str">
        <f xml:space="preserve"> '2.1 Model setup'!K81</f>
        <v>5.2 Øvrige omkostninger</v>
      </c>
      <c r="F526"/>
      <c r="G526"/>
      <c r="H526"/>
      <c r="I526"/>
      <c r="J526"/>
      <c r="K526" s="87" t="s">
        <v>41</v>
      </c>
      <c r="L526" s="85"/>
      <c r="M526" s="85"/>
      <c r="N526" s="194" t="str">
        <f xml:space="preserve"> '2.3 Selskabsspecifikke input'!N175</f>
        <v>Tarif/effekt</v>
      </c>
      <c r="O526" s="401"/>
      <c r="P526" s="401"/>
      <c r="Q526" s="401"/>
      <c r="R526" s="202"/>
      <c r="S526" s="202"/>
      <c r="T526" s="202"/>
      <c r="U526" s="202"/>
      <c r="V526" s="202"/>
      <c r="W526" s="202"/>
    </row>
    <row r="527" spans="4:23" ht="15" customHeight="1">
      <c r="D527" s="85" t="str">
        <f xml:space="preserve"> '2.1 Model setup'!K82</f>
        <v>6.1 Afskrivninger på transformerstationer</v>
      </c>
      <c r="F527"/>
      <c r="G527"/>
      <c r="H527"/>
      <c r="I527"/>
      <c r="J527"/>
      <c r="K527" s="87" t="s">
        <v>41</v>
      </c>
      <c r="L527" s="85"/>
      <c r="M527" s="85"/>
      <c r="N527" s="194" t="str">
        <f xml:space="preserve"> '2.2 Generelle input'!N67</f>
        <v>Tarif/effekt</v>
      </c>
      <c r="O527" s="401"/>
      <c r="P527" s="401"/>
      <c r="Q527" s="401"/>
      <c r="R527" s="202"/>
      <c r="S527" s="202"/>
      <c r="T527" s="202"/>
      <c r="U527" s="202"/>
      <c r="V527" s="202"/>
      <c r="W527" s="202"/>
    </row>
    <row r="528" spans="4:23" ht="15" customHeight="1">
      <c r="D528" s="85" t="str">
        <f xml:space="preserve"> '2.1 Model setup'!K83</f>
        <v>6.2 Afskrivninger på netaktiver ekskl. målere og transformerstationer</v>
      </c>
      <c r="F528"/>
      <c r="G528"/>
      <c r="H528"/>
      <c r="I528"/>
      <c r="J528"/>
      <c r="K528" s="87" t="s">
        <v>41</v>
      </c>
      <c r="L528" s="85"/>
      <c r="M528" s="85"/>
      <c r="N528" s="194" t="str">
        <f xml:space="preserve"> '2.2 Generelle input'!N68</f>
        <v>Tarif/effekt</v>
      </c>
      <c r="O528" s="401"/>
      <c r="P528" s="401"/>
      <c r="Q528" s="401"/>
      <c r="R528" s="202"/>
      <c r="S528" s="202"/>
      <c r="T528" s="202"/>
      <c r="U528" s="202"/>
      <c r="V528" s="202"/>
      <c r="W528" s="202"/>
    </row>
    <row r="529" spans="4:23" ht="15" customHeight="1">
      <c r="D529" s="85" t="str">
        <f xml:space="preserve"> '2.1 Model setup'!K84</f>
        <v>6.3 Afskrivninger på målere</v>
      </c>
      <c r="F529"/>
      <c r="G529"/>
      <c r="H529"/>
      <c r="I529"/>
      <c r="J529"/>
      <c r="K529" s="87" t="s">
        <v>41</v>
      </c>
      <c r="L529" s="85"/>
      <c r="M529" s="85"/>
      <c r="N529" s="194" t="str">
        <f xml:space="preserve"> '2.2 Generelle input'!N69</f>
        <v>Abonnement</v>
      </c>
      <c r="O529" s="401"/>
      <c r="P529" s="401"/>
      <c r="Q529" s="401"/>
      <c r="R529" s="202"/>
      <c r="S529" s="202"/>
      <c r="T529" s="202"/>
      <c r="U529" s="202"/>
      <c r="V529" s="202"/>
      <c r="W529" s="202"/>
    </row>
    <row r="530" spans="4:23" ht="15" customHeight="1">
      <c r="D530" s="85" t="str">
        <f xml:space="preserve"> '2.1 Model setup'!K85</f>
        <v>7.1 Transformerstationer (forrentning)</v>
      </c>
      <c r="F530"/>
      <c r="G530"/>
      <c r="H530"/>
      <c r="I530"/>
      <c r="J530"/>
      <c r="K530" s="87" t="s">
        <v>41</v>
      </c>
      <c r="N530" s="194" t="str">
        <f xml:space="preserve"> '2.2 Generelle input'!N70</f>
        <v>Tarif/effekt</v>
      </c>
      <c r="O530" s="401"/>
      <c r="P530" s="401"/>
      <c r="Q530" s="401"/>
      <c r="R530" s="202"/>
      <c r="S530" s="202"/>
      <c r="T530" s="202"/>
      <c r="U530" s="202"/>
      <c r="V530" s="202"/>
      <c r="W530" s="202"/>
    </row>
    <row r="531" spans="4:23" ht="15" customHeight="1">
      <c r="D531" s="85" t="str">
        <f xml:space="preserve"> '2.1 Model setup'!K86</f>
        <v>7.2 Netaktiver ekskl. målere og transformerstationer (forrentning)</v>
      </c>
      <c r="F531"/>
      <c r="G531"/>
      <c r="H531"/>
      <c r="I531"/>
      <c r="J531"/>
      <c r="K531" s="87" t="s">
        <v>41</v>
      </c>
      <c r="N531" s="194" t="str">
        <f xml:space="preserve"> '2.2 Generelle input'!N71</f>
        <v>Tarif/effekt</v>
      </c>
      <c r="O531" s="401"/>
      <c r="P531" s="401"/>
      <c r="Q531" s="401"/>
      <c r="R531" s="202"/>
      <c r="S531" s="202"/>
      <c r="T531" s="202"/>
      <c r="U531" s="202"/>
      <c r="V531" s="202"/>
      <c r="W531" s="202"/>
    </row>
    <row r="532" spans="4:23" ht="15" customHeight="1">
      <c r="D532" s="99" t="str">
        <f xml:space="preserve"> '2.1 Model setup'!K87</f>
        <v>7.3 Målere (forrentning)</v>
      </c>
      <c r="E532" s="27"/>
      <c r="F532" s="60"/>
      <c r="G532" s="60"/>
      <c r="H532" s="60"/>
      <c r="I532" s="60"/>
      <c r="J532" s="60"/>
      <c r="K532" s="98" t="s">
        <v>41</v>
      </c>
      <c r="L532" s="27"/>
      <c r="M532" s="27"/>
      <c r="N532" s="195" t="str">
        <f xml:space="preserve"> '2.2 Generelle input'!N72</f>
        <v>Abonnement</v>
      </c>
      <c r="O532" s="402"/>
      <c r="P532" s="402"/>
      <c r="Q532" s="402"/>
      <c r="R532" s="269"/>
      <c r="S532" s="269"/>
      <c r="T532" s="269"/>
      <c r="U532" s="269"/>
      <c r="V532" s="269"/>
      <c r="W532" s="269"/>
    </row>
    <row r="534" spans="4:23" ht="15" customHeight="1">
      <c r="D534" s="97" t="s">
        <v>35</v>
      </c>
      <c r="F534" s="85"/>
      <c r="G534" s="85"/>
      <c r="H534" s="85"/>
      <c r="I534" s="85"/>
      <c r="J534" s="85"/>
      <c r="K534" s="87"/>
    </row>
    <row r="535" spans="4:23" ht="15" customHeight="1">
      <c r="D535" s="85" t="str">
        <f xml:space="preserve"> '2.1 Model setup'!K70</f>
        <v>1.1 Drift og vedligeholdelse af transformerstationer</v>
      </c>
      <c r="E535" s="15"/>
      <c r="F535" s="155"/>
      <c r="G535" s="155"/>
      <c r="H535" s="155"/>
      <c r="I535" s="155"/>
      <c r="J535" s="155"/>
      <c r="K535" s="117" t="s">
        <v>4</v>
      </c>
      <c r="L535" s="15"/>
      <c r="M535" s="15"/>
      <c r="N535" s="15"/>
      <c r="O535" s="274"/>
      <c r="P535" s="274"/>
      <c r="Q535" s="274"/>
      <c r="R535" s="180">
        <f xml:space="preserve"> '2.2 Generelle input'!R75 * ( '2.3 Selskabsspecifikke input'!R$167 &gt; 0 )</f>
        <v>0</v>
      </c>
      <c r="S535" s="180">
        <f xml:space="preserve"> '2.2 Generelle input'!S75 * ( '2.3 Selskabsspecifikke input'!S$167 &gt; 0 )</f>
        <v>0</v>
      </c>
      <c r="T535" s="180">
        <f xml:space="preserve"> '2.2 Generelle input'!T75 * ( '2.3 Selskabsspecifikke input'!T$167 &gt; 0 )</f>
        <v>0</v>
      </c>
      <c r="U535" s="180">
        <f xml:space="preserve"> '2.2 Generelle input'!U75 * ( '2.3 Selskabsspecifikke input'!U$167 &gt; 0 )</f>
        <v>0</v>
      </c>
      <c r="V535" s="180">
        <f xml:space="preserve"> '2.2 Generelle input'!V75 * ( '2.3 Selskabsspecifikke input'!V$167 &gt; 0 )</f>
        <v>0</v>
      </c>
      <c r="W535" s="15"/>
    </row>
    <row r="536" spans="4:23" ht="15" customHeight="1">
      <c r="D536" s="85" t="str">
        <f xml:space="preserve"> '2.1 Model setup'!K71</f>
        <v>1.2 Drift og vedligeholdelse af ledningsnet</v>
      </c>
      <c r="F536" s="86"/>
      <c r="G536" s="86"/>
      <c r="H536" s="86"/>
      <c r="I536" s="86"/>
      <c r="J536" s="86"/>
      <c r="K536" s="87" t="s">
        <v>4</v>
      </c>
      <c r="O536" s="202"/>
      <c r="P536" s="202"/>
      <c r="Q536" s="202"/>
      <c r="R536" s="181">
        <f xml:space="preserve"> '2.2 Generelle input'!R76 * ( '2.3 Selskabsspecifikke input'!R$167 &gt; 0 )</f>
        <v>0</v>
      </c>
      <c r="S536" s="181">
        <f xml:space="preserve"> '2.2 Generelle input'!S76 * ( '2.3 Selskabsspecifikke input'!S$167 &gt; 0 )</f>
        <v>0</v>
      </c>
      <c r="T536" s="181">
        <f xml:space="preserve"> '2.2 Generelle input'!T76 * ( '2.3 Selskabsspecifikke input'!T$167 &gt; 0 )</f>
        <v>0</v>
      </c>
      <c r="U536" s="181">
        <f xml:space="preserve"> '2.2 Generelle input'!U76 * ( '2.3 Selskabsspecifikke input'!U$167 &gt; 0 )</f>
        <v>0</v>
      </c>
      <c r="V536" s="181">
        <f xml:space="preserve"> '2.2 Generelle input'!V76 * ( '2.3 Selskabsspecifikke input'!V$167 &gt; 0 )</f>
        <v>0</v>
      </c>
    </row>
    <row r="537" spans="4:23" ht="15" customHeight="1">
      <c r="D537" s="85" t="str">
        <f xml:space="preserve"> '2.1 Model setup'!K72</f>
        <v>1.3 Øvrige omkostninger til drift, styring og kontrol af elnettet</v>
      </c>
      <c r="F537" s="86"/>
      <c r="G537" s="86"/>
      <c r="H537" s="86"/>
      <c r="I537" s="86"/>
      <c r="J537" s="86"/>
      <c r="K537" s="87" t="s">
        <v>4</v>
      </c>
      <c r="O537" s="202"/>
      <c r="P537" s="202"/>
      <c r="Q537" s="202"/>
      <c r="R537" s="181">
        <f xml:space="preserve"> '2.2 Generelle input'!R77 * ( '2.3 Selskabsspecifikke input'!R$167 &gt; 0 )</f>
        <v>0</v>
      </c>
      <c r="S537" s="181">
        <f xml:space="preserve"> '2.2 Generelle input'!S77 * ( '2.3 Selskabsspecifikke input'!S$167 &gt; 0 )</f>
        <v>0</v>
      </c>
      <c r="T537" s="181">
        <f xml:space="preserve"> '2.2 Generelle input'!T77 * ( '2.3 Selskabsspecifikke input'!T$167 &gt; 0 )</f>
        <v>0</v>
      </c>
      <c r="U537" s="181">
        <f xml:space="preserve"> '2.2 Generelle input'!U77 * ( '2.3 Selskabsspecifikke input'!U$167 &gt; 0 )</f>
        <v>0</v>
      </c>
      <c r="V537" s="181">
        <f xml:space="preserve"> '2.2 Generelle input'!V77 * ( '2.3 Selskabsspecifikke input'!V$167 &gt; 0 )</f>
        <v>0</v>
      </c>
    </row>
    <row r="538" spans="4:23" ht="15" customHeight="1">
      <c r="D538" s="85" t="str">
        <f xml:space="preserve"> '2.1 Model setup'!K73</f>
        <v>1.4 Omkostninger vedrørende 132-150/30-60 kV-stationer</v>
      </c>
      <c r="F538" s="86"/>
      <c r="G538" s="86"/>
      <c r="H538" s="86"/>
      <c r="I538" s="86"/>
      <c r="J538" s="86"/>
      <c r="K538" s="87" t="s">
        <v>4</v>
      </c>
      <c r="O538" s="202"/>
      <c r="P538" s="202"/>
      <c r="Q538" s="202"/>
      <c r="R538" s="181">
        <f xml:space="preserve"> '2.2 Generelle input'!R78 * ( '2.3 Selskabsspecifikke input'!R$167 &gt; 0 )</f>
        <v>0</v>
      </c>
      <c r="S538" s="181">
        <f xml:space="preserve"> '2.2 Generelle input'!S78 * ( '2.3 Selskabsspecifikke input'!S$167 &gt; 0 )</f>
        <v>0</v>
      </c>
      <c r="T538" s="181">
        <f xml:space="preserve"> '2.2 Generelle input'!T78 * ( '2.3 Selskabsspecifikke input'!T$167 &gt; 0 )</f>
        <v>0</v>
      </c>
      <c r="U538" s="181">
        <f xml:space="preserve"> '2.2 Generelle input'!U78 * ( '2.3 Selskabsspecifikke input'!U$167 &gt; 0 )</f>
        <v>0</v>
      </c>
      <c r="V538" s="181">
        <f xml:space="preserve"> '2.2 Generelle input'!V78 * ( '2.3 Selskabsspecifikke input'!V$167 &gt; 0 )</f>
        <v>0</v>
      </c>
    </row>
    <row r="539" spans="4:23" ht="15" customHeight="1">
      <c r="D539" s="85" t="str">
        <f xml:space="preserve"> '2.1 Model setup'!K74</f>
        <v>2.1 Drift og vedligeholdelse af målere</v>
      </c>
      <c r="F539" s="86"/>
      <c r="G539" s="86"/>
      <c r="H539" s="86"/>
      <c r="I539" s="86"/>
      <c r="J539" s="86"/>
      <c r="K539" s="87" t="s">
        <v>4</v>
      </c>
      <c r="O539" s="202"/>
      <c r="P539" s="202"/>
      <c r="Q539" s="202"/>
      <c r="R539" s="181">
        <f xml:space="preserve"> '2.2 Generelle input'!R79 * ( '2.3 Selskabsspecifikke input'!R$167 &gt; 0 )</f>
        <v>0</v>
      </c>
      <c r="S539" s="181">
        <f xml:space="preserve"> '2.2 Generelle input'!S79 * ( '2.3 Selskabsspecifikke input'!S$167 &gt; 0 )</f>
        <v>0</v>
      </c>
      <c r="T539" s="181">
        <f xml:space="preserve"> '2.2 Generelle input'!T79 * ( '2.3 Selskabsspecifikke input'!T$167 &gt; 0 )</f>
        <v>0</v>
      </c>
      <c r="U539" s="181">
        <f xml:space="preserve"> '2.2 Generelle input'!U79 * ( '2.3 Selskabsspecifikke input'!U$167 &gt; 0 )</f>
        <v>0</v>
      </c>
      <c r="V539" s="181">
        <f xml:space="preserve"> '2.2 Generelle input'!V79 * ( '2.3 Selskabsspecifikke input'!V$167 &gt; 0 )</f>
        <v>0</v>
      </c>
    </row>
    <row r="540" spans="4:23" ht="15" customHeight="1">
      <c r="D540" s="85" t="str">
        <f xml:space="preserve"> '2.1 Model setup'!K75</f>
        <v>2.2 Indhentning og validering af målerdata</v>
      </c>
      <c r="F540" s="86"/>
      <c r="G540" s="86"/>
      <c r="H540" s="86"/>
      <c r="I540" s="86"/>
      <c r="J540" s="86"/>
      <c r="K540" s="87" t="s">
        <v>4</v>
      </c>
      <c r="O540" s="202"/>
      <c r="P540" s="202"/>
      <c r="Q540" s="202"/>
      <c r="R540" s="181">
        <f xml:space="preserve"> '2.2 Generelle input'!R80 * ( '2.3 Selskabsspecifikke input'!R$167 &gt; 0 )</f>
        <v>0</v>
      </c>
      <c r="S540" s="181">
        <f xml:space="preserve"> '2.2 Generelle input'!S80 * ( '2.3 Selskabsspecifikke input'!S$167 &gt; 0 )</f>
        <v>0</v>
      </c>
      <c r="T540" s="181">
        <f xml:space="preserve"> '2.2 Generelle input'!T80 * ( '2.3 Selskabsspecifikke input'!T$167 &gt; 0 )</f>
        <v>0</v>
      </c>
      <c r="U540" s="181">
        <f xml:space="preserve"> '2.2 Generelle input'!U80 * ( '2.3 Selskabsspecifikke input'!U$167 &gt; 0 )</f>
        <v>0</v>
      </c>
      <c r="V540" s="181">
        <f xml:space="preserve"> '2.2 Generelle input'!V80 * ( '2.3 Selskabsspecifikke input'!V$167 &gt; 0 )</f>
        <v>0</v>
      </c>
    </row>
    <row r="541" spans="4:23" ht="15" customHeight="1">
      <c r="D541" s="85" t="str">
        <f xml:space="preserve"> '2.1 Model setup'!K76</f>
        <v>2.3 Måleradministration og kundehåndtering</v>
      </c>
      <c r="F541" s="86"/>
      <c r="G541" s="86"/>
      <c r="H541" s="86"/>
      <c r="I541" s="86"/>
      <c r="J541" s="86"/>
      <c r="K541" s="87" t="s">
        <v>4</v>
      </c>
      <c r="O541" s="202"/>
      <c r="P541" s="202"/>
      <c r="Q541" s="202"/>
      <c r="R541" s="181">
        <f xml:space="preserve"> '2.2 Generelle input'!R81 * ( '2.3 Selskabsspecifikke input'!R$167 &gt; 0 )</f>
        <v>0</v>
      </c>
      <c r="S541" s="181">
        <f xml:space="preserve"> '2.2 Generelle input'!S81 * ( '2.3 Selskabsspecifikke input'!S$167 &gt; 0 )</f>
        <v>0</v>
      </c>
      <c r="T541" s="181">
        <f xml:space="preserve"> '2.2 Generelle input'!T81 * ( '2.3 Selskabsspecifikke input'!T$167 &gt; 0 )</f>
        <v>0</v>
      </c>
      <c r="U541" s="181">
        <f xml:space="preserve"> '2.2 Generelle input'!U81 * ( '2.3 Selskabsspecifikke input'!U$167 &gt; 0 )</f>
        <v>0</v>
      </c>
      <c r="V541" s="181">
        <f xml:space="preserve"> '2.2 Generelle input'!V81 * ( '2.3 Selskabsspecifikke input'!V$167 &gt; 0 )</f>
        <v>0</v>
      </c>
    </row>
    <row r="542" spans="4:23" ht="15" customHeight="1">
      <c r="D542" s="85" t="str">
        <f xml:space="preserve"> '2.1 Model setup'!K77</f>
        <v>3.1 Generel administration</v>
      </c>
      <c r="F542" s="86"/>
      <c r="G542" s="86"/>
      <c r="H542" s="86"/>
      <c r="I542" s="86"/>
      <c r="J542" s="86"/>
      <c r="K542" s="87" t="s">
        <v>4</v>
      </c>
      <c r="O542" s="202"/>
      <c r="P542" s="202"/>
      <c r="Q542" s="202"/>
      <c r="R542" s="181">
        <f xml:space="preserve"> '2.2 Generelle input'!R82 * ( '2.3 Selskabsspecifikke input'!R$167 &gt; 0 )</f>
        <v>0</v>
      </c>
      <c r="S542" s="181">
        <f xml:space="preserve"> '2.2 Generelle input'!S82 * ( '2.3 Selskabsspecifikke input'!S$167 &gt; 0 )</f>
        <v>0</v>
      </c>
      <c r="T542" s="181">
        <f xml:space="preserve"> '2.2 Generelle input'!T82 * ( '2.3 Selskabsspecifikke input'!T$167 &gt; 0 )</f>
        <v>0</v>
      </c>
      <c r="U542" s="181">
        <f xml:space="preserve"> '2.2 Generelle input'!U82 * ( '2.3 Selskabsspecifikke input'!U$167 &gt; 0 )</f>
        <v>0</v>
      </c>
      <c r="V542" s="181">
        <f xml:space="preserve"> '2.2 Generelle input'!V82 * ( '2.3 Selskabsspecifikke input'!V$167 &gt; 0 )</f>
        <v>0</v>
      </c>
    </row>
    <row r="543" spans="4:23" ht="15" customHeight="1">
      <c r="D543" s="85" t="str">
        <f xml:space="preserve"> '2.1 Model setup'!K78</f>
        <v>4.1 Omkostninger vedrørende nettab i transformerstationer</v>
      </c>
      <c r="F543" s="86"/>
      <c r="G543" s="86"/>
      <c r="H543" s="86"/>
      <c r="I543" s="86"/>
      <c r="J543" s="86"/>
      <c r="K543" s="87" t="s">
        <v>4</v>
      </c>
      <c r="O543" s="202"/>
      <c r="P543" s="202"/>
      <c r="Q543" s="202"/>
      <c r="R543" s="181">
        <f xml:space="preserve"> '2.2 Generelle input'!R83 * ( '2.3 Selskabsspecifikke input'!R$167 &gt; 0 )</f>
        <v>0</v>
      </c>
      <c r="S543" s="181">
        <f xml:space="preserve"> '2.2 Generelle input'!S83 * ( '2.3 Selskabsspecifikke input'!S$167 &gt; 0 )</f>
        <v>0</v>
      </c>
      <c r="T543" s="181">
        <f xml:space="preserve"> '2.2 Generelle input'!T83 * ( '2.3 Selskabsspecifikke input'!T$167 &gt; 0 )</f>
        <v>0</v>
      </c>
      <c r="U543" s="181">
        <f xml:space="preserve"> '2.2 Generelle input'!U83 * ( '2.3 Selskabsspecifikke input'!U$167 &gt; 0 )</f>
        <v>0</v>
      </c>
      <c r="V543" s="181">
        <f xml:space="preserve"> '2.2 Generelle input'!V83 * ( '2.3 Selskabsspecifikke input'!V$167 &gt; 0 )</f>
        <v>0</v>
      </c>
    </row>
    <row r="544" spans="4:23" ht="15" customHeight="1">
      <c r="D544" s="85" t="str">
        <f xml:space="preserve"> '2.1 Model setup'!K79</f>
        <v>4.2 Omkostninger vedrørende nettab i ledningsnettet</v>
      </c>
      <c r="F544" s="86"/>
      <c r="G544" s="86"/>
      <c r="H544" s="86"/>
      <c r="I544" s="86"/>
      <c r="J544" s="86"/>
      <c r="K544" s="87" t="s">
        <v>4</v>
      </c>
      <c r="O544" s="202"/>
      <c r="P544" s="202"/>
      <c r="Q544" s="202"/>
      <c r="R544" s="181">
        <f xml:space="preserve"> '2.2 Generelle input'!R84 * ( '2.3 Selskabsspecifikke input'!R$167 &gt; 0 )</f>
        <v>0</v>
      </c>
      <c r="S544" s="181">
        <f xml:space="preserve"> '2.2 Generelle input'!S84 * ( '2.3 Selskabsspecifikke input'!S$167 &gt; 0 )</f>
        <v>0</v>
      </c>
      <c r="T544" s="181">
        <f xml:space="preserve"> '2.2 Generelle input'!T84 * ( '2.3 Selskabsspecifikke input'!T$167 &gt; 0 )</f>
        <v>0</v>
      </c>
      <c r="U544" s="181">
        <f xml:space="preserve"> '2.2 Generelle input'!U84 * ( '2.3 Selskabsspecifikke input'!U$167 &gt; 0 )</f>
        <v>0</v>
      </c>
      <c r="V544" s="181">
        <f xml:space="preserve"> '2.2 Generelle input'!V84 * ( '2.3 Selskabsspecifikke input'!V$167 &gt; 0 )</f>
        <v>0</v>
      </c>
    </row>
    <row r="545" spans="4:23" ht="15" customHeight="1">
      <c r="D545" s="85" t="str">
        <f xml:space="preserve"> '2.1 Model setup'!K80</f>
        <v>5.1 Omkostninger til overliggende net ifm. forbrug</v>
      </c>
      <c r="F545" s="86"/>
      <c r="G545" s="86"/>
      <c r="H545" s="86"/>
      <c r="I545" s="86"/>
      <c r="J545" s="86"/>
      <c r="K545" s="87" t="s">
        <v>4</v>
      </c>
      <c r="O545" s="202"/>
      <c r="P545" s="202"/>
      <c r="Q545" s="202"/>
      <c r="R545" s="181">
        <f xml:space="preserve"> '2.2 Generelle input'!R85 * ( '2.3 Selskabsspecifikke input'!R$167 &gt; 0 )</f>
        <v>0</v>
      </c>
      <c r="S545" s="181">
        <f xml:space="preserve"> '2.2 Generelle input'!S85 * ( '2.3 Selskabsspecifikke input'!S$167 &gt; 0 )</f>
        <v>0</v>
      </c>
      <c r="T545" s="181">
        <f xml:space="preserve"> '2.2 Generelle input'!T85 * ( '2.3 Selskabsspecifikke input'!T$167 &gt; 0 )</f>
        <v>0</v>
      </c>
      <c r="U545" s="181">
        <f xml:space="preserve"> '2.2 Generelle input'!U85 * ( '2.3 Selskabsspecifikke input'!U$167 &gt; 0 )</f>
        <v>0</v>
      </c>
      <c r="V545" s="181">
        <f xml:space="preserve"> '2.2 Generelle input'!V85 * ( '2.3 Selskabsspecifikke input'!V$167 &gt; 0 )</f>
        <v>0</v>
      </c>
    </row>
    <row r="546" spans="4:23" ht="15" customHeight="1">
      <c r="D546" s="85" t="str">
        <f xml:space="preserve"> '2.1 Model setup'!K81</f>
        <v>5.2 Øvrige omkostninger</v>
      </c>
      <c r="F546" s="86"/>
      <c r="G546" s="86"/>
      <c r="H546" s="86"/>
      <c r="I546" s="86"/>
      <c r="J546" s="86"/>
      <c r="K546" s="87" t="s">
        <v>4</v>
      </c>
      <c r="O546" s="202"/>
      <c r="P546" s="202"/>
      <c r="Q546" s="202"/>
      <c r="R546" s="181">
        <f xml:space="preserve"> '2.2 Generelle input'!R86 * ( '2.3 Selskabsspecifikke input'!R$167 &gt; 0 )</f>
        <v>0</v>
      </c>
      <c r="S546" s="181">
        <f xml:space="preserve"> '2.2 Generelle input'!S86 * ( '2.3 Selskabsspecifikke input'!S$167 &gt; 0 )</f>
        <v>0</v>
      </c>
      <c r="T546" s="181">
        <f xml:space="preserve"> '2.2 Generelle input'!T86 * ( '2.3 Selskabsspecifikke input'!T$167 &gt; 0 )</f>
        <v>0</v>
      </c>
      <c r="U546" s="181">
        <f xml:space="preserve"> '2.2 Generelle input'!U86 * ( '2.3 Selskabsspecifikke input'!U$167 &gt; 0 )</f>
        <v>0</v>
      </c>
      <c r="V546" s="181">
        <f xml:space="preserve"> '2.2 Generelle input'!V86 * ( '2.3 Selskabsspecifikke input'!V$167 &gt; 0 )</f>
        <v>0</v>
      </c>
    </row>
    <row r="547" spans="4:23" ht="15" customHeight="1">
      <c r="D547" s="85" t="str">
        <f xml:space="preserve"> '2.1 Model setup'!K82</f>
        <v>6.1 Afskrivninger på transformerstationer</v>
      </c>
      <c r="F547" s="86"/>
      <c r="G547" s="86"/>
      <c r="H547" s="86"/>
      <c r="I547" s="86"/>
      <c r="J547" s="86"/>
      <c r="K547" s="87" t="s">
        <v>4</v>
      </c>
      <c r="O547" s="202"/>
      <c r="P547" s="202"/>
      <c r="Q547" s="202"/>
      <c r="R547" s="181">
        <f xml:space="preserve"> '2.2 Generelle input'!R87 * ( '2.3 Selskabsspecifikke input'!R$167 &gt; 0 )</f>
        <v>0</v>
      </c>
      <c r="S547" s="181">
        <f xml:space="preserve"> '2.2 Generelle input'!S87 * ( '2.3 Selskabsspecifikke input'!S$167 &gt; 0 )</f>
        <v>0</v>
      </c>
      <c r="T547" s="181">
        <f xml:space="preserve"> '2.2 Generelle input'!T87 * ( '2.3 Selskabsspecifikke input'!T$167 &gt; 0 )</f>
        <v>0</v>
      </c>
      <c r="U547" s="181">
        <f xml:space="preserve"> '2.2 Generelle input'!U87 * ( '2.3 Selskabsspecifikke input'!U$167 &gt; 0 )</f>
        <v>0</v>
      </c>
      <c r="V547" s="181">
        <f xml:space="preserve"> '2.2 Generelle input'!V87 * ( '2.3 Selskabsspecifikke input'!V$167 &gt; 0 )</f>
        <v>0</v>
      </c>
    </row>
    <row r="548" spans="4:23" ht="15" customHeight="1">
      <c r="D548" s="85" t="str">
        <f xml:space="preserve"> '2.1 Model setup'!K83</f>
        <v>6.2 Afskrivninger på netaktiver ekskl. målere og transformerstationer</v>
      </c>
      <c r="F548" s="86"/>
      <c r="G548" s="86"/>
      <c r="H548" s="86"/>
      <c r="I548" s="86"/>
      <c r="J548" s="86"/>
      <c r="K548" s="87" t="s">
        <v>4</v>
      </c>
      <c r="O548" s="202"/>
      <c r="P548" s="202"/>
      <c r="Q548" s="202"/>
      <c r="R548" s="181">
        <f xml:space="preserve"> '2.2 Generelle input'!R88 * ( '2.3 Selskabsspecifikke input'!R$167 &gt; 0 )</f>
        <v>0</v>
      </c>
      <c r="S548" s="181">
        <f xml:space="preserve"> '2.2 Generelle input'!S88 * ( '2.3 Selskabsspecifikke input'!S$167 &gt; 0 )</f>
        <v>0</v>
      </c>
      <c r="T548" s="181">
        <f xml:space="preserve"> '2.2 Generelle input'!T88 * ( '2.3 Selskabsspecifikke input'!T$167 &gt; 0 )</f>
        <v>0</v>
      </c>
      <c r="U548" s="181">
        <f xml:space="preserve"> '2.2 Generelle input'!U88 * ( '2.3 Selskabsspecifikke input'!U$167 &gt; 0 )</f>
        <v>0</v>
      </c>
      <c r="V548" s="181">
        <f xml:space="preserve"> '2.2 Generelle input'!V88 * ( '2.3 Selskabsspecifikke input'!V$167 &gt; 0 )</f>
        <v>0</v>
      </c>
    </row>
    <row r="549" spans="4:23" ht="15" customHeight="1">
      <c r="D549" s="85" t="str">
        <f xml:space="preserve"> '2.1 Model setup'!K84</f>
        <v>6.3 Afskrivninger på målere</v>
      </c>
      <c r="F549" s="86"/>
      <c r="G549" s="86"/>
      <c r="H549" s="86"/>
      <c r="I549" s="86"/>
      <c r="J549" s="86"/>
      <c r="K549" s="87" t="s">
        <v>4</v>
      </c>
      <c r="O549" s="202"/>
      <c r="P549" s="202"/>
      <c r="Q549" s="202"/>
      <c r="R549" s="181">
        <f xml:space="preserve"> '2.2 Generelle input'!R89 * ( '2.3 Selskabsspecifikke input'!R$167 &gt; 0 )</f>
        <v>0</v>
      </c>
      <c r="S549" s="181">
        <f xml:space="preserve"> '2.2 Generelle input'!S89 * ( '2.3 Selskabsspecifikke input'!S$167 &gt; 0 )</f>
        <v>0</v>
      </c>
      <c r="T549" s="181">
        <f xml:space="preserve"> '2.2 Generelle input'!T89 * ( '2.3 Selskabsspecifikke input'!T$167 &gt; 0 )</f>
        <v>0</v>
      </c>
      <c r="U549" s="181">
        <f xml:space="preserve"> '2.2 Generelle input'!U89 * ( '2.3 Selskabsspecifikke input'!U$167 &gt; 0 )</f>
        <v>0</v>
      </c>
      <c r="V549" s="181">
        <f xml:space="preserve"> '2.2 Generelle input'!V89 * ( '2.3 Selskabsspecifikke input'!V$167 &gt; 0 )</f>
        <v>0</v>
      </c>
    </row>
    <row r="550" spans="4:23" ht="15" customHeight="1">
      <c r="D550" s="85" t="str">
        <f xml:space="preserve"> '2.1 Model setup'!K85</f>
        <v>7.1 Transformerstationer (forrentning)</v>
      </c>
      <c r="F550" s="86"/>
      <c r="G550" s="86"/>
      <c r="H550" s="86"/>
      <c r="I550" s="86"/>
      <c r="J550" s="86"/>
      <c r="K550" s="87" t="s">
        <v>4</v>
      </c>
      <c r="O550" s="202"/>
      <c r="P550" s="202"/>
      <c r="Q550" s="202"/>
      <c r="R550" s="181">
        <f xml:space="preserve"> '2.2 Generelle input'!R90 * ( '2.3 Selskabsspecifikke input'!R$167 &gt; 0 )</f>
        <v>0</v>
      </c>
      <c r="S550" s="181">
        <f xml:space="preserve"> '2.2 Generelle input'!S90 * ( '2.3 Selskabsspecifikke input'!S$167 &gt; 0 )</f>
        <v>0</v>
      </c>
      <c r="T550" s="181">
        <f xml:space="preserve"> '2.2 Generelle input'!T90 * ( '2.3 Selskabsspecifikke input'!T$167 &gt; 0 )</f>
        <v>0</v>
      </c>
      <c r="U550" s="181">
        <f xml:space="preserve"> '2.2 Generelle input'!U90 * ( '2.3 Selskabsspecifikke input'!U$167 &gt; 0 )</f>
        <v>0</v>
      </c>
      <c r="V550" s="181">
        <f xml:space="preserve"> '2.2 Generelle input'!V90 * ( '2.3 Selskabsspecifikke input'!V$167 &gt; 0 )</f>
        <v>0</v>
      </c>
    </row>
    <row r="551" spans="4:23" ht="15" customHeight="1">
      <c r="D551" s="85" t="str">
        <f xml:space="preserve"> '2.1 Model setup'!K86</f>
        <v>7.2 Netaktiver ekskl. målere og transformerstationer (forrentning)</v>
      </c>
      <c r="F551" s="86"/>
      <c r="G551" s="86"/>
      <c r="H551" s="86"/>
      <c r="I551" s="86"/>
      <c r="J551" s="86"/>
      <c r="K551" s="87" t="s">
        <v>4</v>
      </c>
      <c r="O551" s="202"/>
      <c r="P551" s="202"/>
      <c r="Q551" s="202"/>
      <c r="R551" s="181">
        <f xml:space="preserve"> '2.2 Generelle input'!R91 * ( '2.3 Selskabsspecifikke input'!R$167 &gt; 0 )</f>
        <v>0</v>
      </c>
      <c r="S551" s="181">
        <f xml:space="preserve"> '2.2 Generelle input'!S91 * ( '2.3 Selskabsspecifikke input'!S$167 &gt; 0 )</f>
        <v>0</v>
      </c>
      <c r="T551" s="181">
        <f xml:space="preserve"> '2.2 Generelle input'!T91 * ( '2.3 Selskabsspecifikke input'!T$167 &gt; 0 )</f>
        <v>0</v>
      </c>
      <c r="U551" s="181">
        <f xml:space="preserve"> '2.2 Generelle input'!U91 * ( '2.3 Selskabsspecifikke input'!U$167 &gt; 0 )</f>
        <v>0</v>
      </c>
      <c r="V551" s="181">
        <f xml:space="preserve"> '2.2 Generelle input'!V91 * ( '2.3 Selskabsspecifikke input'!V$167 &gt; 0 )</f>
        <v>0</v>
      </c>
    </row>
    <row r="552" spans="4:23" ht="15" customHeight="1">
      <c r="D552" s="99" t="str">
        <f xml:space="preserve"> '2.1 Model setup'!K87</f>
        <v>7.3 Målere (forrentning)</v>
      </c>
      <c r="E552" s="27"/>
      <c r="F552" s="156"/>
      <c r="G552" s="156"/>
      <c r="H552" s="156"/>
      <c r="I552" s="156"/>
      <c r="J552" s="156"/>
      <c r="K552" s="98" t="s">
        <v>4</v>
      </c>
      <c r="L552" s="27"/>
      <c r="M552" s="27"/>
      <c r="N552" s="27"/>
      <c r="O552" s="269"/>
      <c r="P552" s="269"/>
      <c r="Q552" s="269"/>
      <c r="R552" s="182">
        <f xml:space="preserve"> '2.2 Generelle input'!R92 * ( '2.3 Selskabsspecifikke input'!R$167 &gt; 0 )</f>
        <v>0</v>
      </c>
      <c r="S552" s="182">
        <f xml:space="preserve"> '2.2 Generelle input'!S92 * ( '2.3 Selskabsspecifikke input'!S$167 &gt; 0 )</f>
        <v>0</v>
      </c>
      <c r="T552" s="182">
        <f xml:space="preserve"> '2.2 Generelle input'!T92 * ( '2.3 Selskabsspecifikke input'!T$167 &gt; 0 )</f>
        <v>0</v>
      </c>
      <c r="U552" s="182">
        <f xml:space="preserve"> '2.2 Generelle input'!U92 * ( '2.3 Selskabsspecifikke input'!U$167 &gt; 0 )</f>
        <v>0</v>
      </c>
      <c r="V552" s="182">
        <f xml:space="preserve"> '2.2 Generelle input'!V92 * ( '2.3 Selskabsspecifikke input'!V$167 &gt; 0 )</f>
        <v>0</v>
      </c>
      <c r="W552" s="27"/>
    </row>
    <row r="554" spans="4:23" ht="15" customHeight="1">
      <c r="D554" s="35" t="s">
        <v>448</v>
      </c>
      <c r="E554" s="27"/>
      <c r="F554" s="27"/>
      <c r="G554" s="27"/>
      <c r="H554" s="27"/>
      <c r="I554" s="27"/>
      <c r="J554" s="27"/>
      <c r="K554" s="32"/>
      <c r="L554" s="27"/>
      <c r="M554" s="27"/>
      <c r="N554" s="27"/>
      <c r="O554" s="27"/>
      <c r="P554" s="27"/>
      <c r="Q554" s="27"/>
      <c r="R554" s="27"/>
      <c r="S554" s="27"/>
      <c r="T554" s="27"/>
      <c r="U554" s="27"/>
      <c r="V554" s="27"/>
      <c r="W554" s="185" t="s">
        <v>16</v>
      </c>
    </row>
    <row r="555" spans="4:23" ht="15" customHeight="1">
      <c r="D555" s="85" t="str">
        <f xml:space="preserve"> '2.1 Model setup'!K70</f>
        <v>1.1 Drift og vedligeholdelse af transformerstationer</v>
      </c>
      <c r="K555" s="5" t="str">
        <f t="shared" ref="K555:K573" si="87" xml:space="preserve"> Model.Units</f>
        <v>DKKt</v>
      </c>
      <c r="O555" s="202"/>
      <c r="P555" s="202"/>
      <c r="Q555" s="202"/>
      <c r="R555" s="1">
        <v>0</v>
      </c>
      <c r="S555" s="320">
        <f xml:space="preserve"> S359 * ( 1 - S535 ) * ( $N515 = '2.1 Model setup'!$K$45 ) +  S359 * ( $N515 = '2.1 Model setup'!$K$47 )</f>
        <v>0</v>
      </c>
      <c r="T555" s="1">
        <f xml:space="preserve"> T359 * ( 1 - T535 ) * ( $N515 = '2.1 Model setup'!$K$45 ) +  T359 * ( $N515 = '2.1 Model setup'!$K$47 )</f>
        <v>0</v>
      </c>
      <c r="U555" s="1">
        <f xml:space="preserve"> U359 * ( 1 - U535 ) * ( $N515 = '2.1 Model setup'!$K$45 ) +  U359 * ( $N515 = '2.1 Model setup'!$K$47 )</f>
        <v>0</v>
      </c>
      <c r="V555" s="1">
        <f xml:space="preserve"> V359 * ( 1 - V535 ) * ( $N515 = '2.1 Model setup'!$K$45 ) +  V359 * ( $N515 = '2.1 Model setup'!$K$47 )</f>
        <v>0</v>
      </c>
      <c r="W555" s="4">
        <f t="shared" ref="W555:W572" si="88" xml:space="preserve"> SUM( R555:V555 )</f>
        <v>0</v>
      </c>
    </row>
    <row r="556" spans="4:23" ht="15" customHeight="1">
      <c r="D556" s="85" t="str">
        <f xml:space="preserve"> '2.1 Model setup'!K71</f>
        <v>1.2 Drift og vedligeholdelse af ledningsnet</v>
      </c>
      <c r="K556" s="5" t="str">
        <f t="shared" si="87"/>
        <v>DKKt</v>
      </c>
      <c r="O556" s="202"/>
      <c r="P556" s="202"/>
      <c r="Q556" s="202"/>
      <c r="R556" s="1">
        <v>0</v>
      </c>
      <c r="S556" s="322">
        <f xml:space="preserve"> S360 * ( 1 - S536 ) * ( $N516 = '2.1 Model setup'!$K$45 ) +  S360 * ( $N516 = '2.1 Model setup'!$K$47 )</f>
        <v>0</v>
      </c>
      <c r="T556" s="1">
        <f xml:space="preserve"> T360 * ( 1 - T536 ) * ( $N516 = '2.1 Model setup'!$K$45 ) +  T360 * ( $N516 = '2.1 Model setup'!$K$47 )</f>
        <v>0</v>
      </c>
      <c r="U556" s="1">
        <f xml:space="preserve"> U360 * ( 1 - U536 ) * ( $N516 = '2.1 Model setup'!$K$45 ) +  U360 * ( $N516 = '2.1 Model setup'!$K$47 )</f>
        <v>0</v>
      </c>
      <c r="V556" s="1">
        <f xml:space="preserve"> V360 * ( 1 - V536 ) * ( $N516 = '2.1 Model setup'!$K$45 ) +  V360 * ( $N516 = '2.1 Model setup'!$K$47 )</f>
        <v>0</v>
      </c>
      <c r="W556" s="4">
        <f t="shared" si="88"/>
        <v>0</v>
      </c>
    </row>
    <row r="557" spans="4:23" ht="15" customHeight="1">
      <c r="D557" s="85" t="str">
        <f xml:space="preserve"> '2.1 Model setup'!K72</f>
        <v>1.3 Øvrige omkostninger til drift, styring og kontrol af elnettet</v>
      </c>
      <c r="K557" s="5" t="str">
        <f t="shared" si="87"/>
        <v>DKKt</v>
      </c>
      <c r="O557" s="202"/>
      <c r="P557" s="202"/>
      <c r="Q557" s="202"/>
      <c r="R557" s="1">
        <v>0</v>
      </c>
      <c r="S557" s="322">
        <f xml:space="preserve"> S361 * ( 1 - S537 ) * ( $N517 = '2.1 Model setup'!$K$45 ) +  S361 * ( $N517 = '2.1 Model setup'!$K$47 )</f>
        <v>0</v>
      </c>
      <c r="T557" s="1">
        <f xml:space="preserve"> T361 * ( 1 - T537 ) * ( $N517 = '2.1 Model setup'!$K$45 ) +  T361 * ( $N517 = '2.1 Model setup'!$K$47 )</f>
        <v>0</v>
      </c>
      <c r="U557" s="1">
        <f xml:space="preserve"> U361 * ( 1 - U537 ) * ( $N517 = '2.1 Model setup'!$K$45 ) +  U361 * ( $N517 = '2.1 Model setup'!$K$47 )</f>
        <v>0</v>
      </c>
      <c r="V557" s="1">
        <f xml:space="preserve"> V361 * ( 1 - V537 ) * ( $N517 = '2.1 Model setup'!$K$45 ) +  V361 * ( $N517 = '2.1 Model setup'!$K$47 )</f>
        <v>0</v>
      </c>
      <c r="W557" s="4">
        <f t="shared" si="88"/>
        <v>0</v>
      </c>
    </row>
    <row r="558" spans="4:23" ht="15" customHeight="1">
      <c r="D558" s="85" t="str">
        <f xml:space="preserve"> '2.1 Model setup'!K73</f>
        <v>1.4 Omkostninger vedrørende 132-150/30-60 kV-stationer</v>
      </c>
      <c r="K558" s="5" t="str">
        <f t="shared" si="87"/>
        <v>DKKt</v>
      </c>
      <c r="O558" s="202"/>
      <c r="P558" s="202"/>
      <c r="Q558" s="202"/>
      <c r="R558" s="1">
        <v>0</v>
      </c>
      <c r="S558" s="322">
        <f xml:space="preserve"> S362 * ( 1 - S538 ) * ( $N518 = '2.1 Model setup'!$K$45 ) +  S362 * ( $N518 = '2.1 Model setup'!$K$47 )</f>
        <v>0</v>
      </c>
      <c r="T558" s="1">
        <f xml:space="preserve"> T362 * ( 1 - T538 ) * ( $N518 = '2.1 Model setup'!$K$45 ) +  T362 * ( $N518 = '2.1 Model setup'!$K$47 )</f>
        <v>0</v>
      </c>
      <c r="U558" s="1">
        <f xml:space="preserve"> U362 * ( 1 - U538 ) * ( $N518 = '2.1 Model setup'!$K$45 ) +  U362 * ( $N518 = '2.1 Model setup'!$K$47 )</f>
        <v>0</v>
      </c>
      <c r="V558" s="1">
        <f xml:space="preserve"> V362 * ( 1 - V538 ) * ( $N518 = '2.1 Model setup'!$K$45 ) +  V362 * ( $N518 = '2.1 Model setup'!$K$47 )</f>
        <v>0</v>
      </c>
      <c r="W558" s="4">
        <f xml:space="preserve"> SUM( R558:V558 )</f>
        <v>0</v>
      </c>
    </row>
    <row r="559" spans="4:23" ht="15" customHeight="1">
      <c r="D559" s="85" t="str">
        <f xml:space="preserve"> '2.1 Model setup'!K74</f>
        <v>2.1 Drift og vedligeholdelse af målere</v>
      </c>
      <c r="K559" s="5" t="str">
        <f t="shared" si="87"/>
        <v>DKKt</v>
      </c>
      <c r="O559" s="202"/>
      <c r="P559" s="202"/>
      <c r="Q559" s="202"/>
      <c r="R559" s="1">
        <v>0</v>
      </c>
      <c r="S559" s="322">
        <f xml:space="preserve"> S363 * ( 1 - S539 ) * ( $N519 = '2.1 Model setup'!$K$45 ) +  S363 * ( $N519 = '2.1 Model setup'!$K$47 )</f>
        <v>0</v>
      </c>
      <c r="T559" s="1">
        <f xml:space="preserve"> T363 * ( 1 - T539 ) * ( $N519 = '2.1 Model setup'!$K$45 ) +  T363 * ( $N519 = '2.1 Model setup'!$K$47 )</f>
        <v>0</v>
      </c>
      <c r="U559" s="1">
        <f xml:space="preserve"> U363 * ( 1 - U539 ) * ( $N519 = '2.1 Model setup'!$K$45 ) +  U363 * ( $N519 = '2.1 Model setup'!$K$47 )</f>
        <v>0</v>
      </c>
      <c r="V559" s="1">
        <f xml:space="preserve"> V363 * ( 1 - V539 ) * ( $N519 = '2.1 Model setup'!$K$45 ) +  V363 * ( $N519 = '2.1 Model setup'!$K$47 )</f>
        <v>0</v>
      </c>
      <c r="W559" s="4">
        <f t="shared" si="88"/>
        <v>0</v>
      </c>
    </row>
    <row r="560" spans="4:23" ht="15" customHeight="1">
      <c r="D560" s="85" t="str">
        <f xml:space="preserve"> '2.1 Model setup'!K75</f>
        <v>2.2 Indhentning og validering af målerdata</v>
      </c>
      <c r="K560" s="5" t="str">
        <f t="shared" si="87"/>
        <v>DKKt</v>
      </c>
      <c r="O560" s="202"/>
      <c r="P560" s="202"/>
      <c r="Q560" s="202"/>
      <c r="R560" s="1">
        <v>0</v>
      </c>
      <c r="S560" s="322">
        <f xml:space="preserve"> S364 * ( 1 - S540 ) * ( $N520 = '2.1 Model setup'!$K$45 ) +  S364 * ( $N520 = '2.1 Model setup'!$K$47 )</f>
        <v>0</v>
      </c>
      <c r="T560" s="1">
        <f xml:space="preserve"> T364 * ( 1 - T540 ) * ( $N520 = '2.1 Model setup'!$K$45 ) +  T364 * ( $N520 = '2.1 Model setup'!$K$47 )</f>
        <v>0</v>
      </c>
      <c r="U560" s="1">
        <f xml:space="preserve"> U364 * ( 1 - U540 ) * ( $N520 = '2.1 Model setup'!$K$45 ) +  U364 * ( $N520 = '2.1 Model setup'!$K$47 )</f>
        <v>0</v>
      </c>
      <c r="V560" s="1">
        <f xml:space="preserve"> V364 * ( 1 - V540 ) * ( $N520 = '2.1 Model setup'!$K$45 ) +  V364 * ( $N520 = '2.1 Model setup'!$K$47 )</f>
        <v>0</v>
      </c>
      <c r="W560" s="4">
        <f t="shared" si="88"/>
        <v>0</v>
      </c>
    </row>
    <row r="561" spans="4:23" ht="15" customHeight="1">
      <c r="D561" s="85" t="str">
        <f xml:space="preserve"> '2.1 Model setup'!K76</f>
        <v>2.3 Måleradministration og kundehåndtering</v>
      </c>
      <c r="K561" s="5" t="str">
        <f t="shared" si="87"/>
        <v>DKKt</v>
      </c>
      <c r="O561" s="202"/>
      <c r="P561" s="202"/>
      <c r="Q561" s="202"/>
      <c r="R561" s="1">
        <v>0</v>
      </c>
      <c r="S561" s="322">
        <f xml:space="preserve"> S365 * ( 1 - S541 ) * ( $N521 = '2.1 Model setup'!$K$45 ) +  S365 * ( $N521 = '2.1 Model setup'!$K$47 )</f>
        <v>0</v>
      </c>
      <c r="T561" s="1">
        <f xml:space="preserve"> T365 * ( 1 - T541 ) * ( $N521 = '2.1 Model setup'!$K$45 ) +  T365 * ( $N521 = '2.1 Model setup'!$K$47 )</f>
        <v>0</v>
      </c>
      <c r="U561" s="1">
        <f xml:space="preserve"> U365 * ( 1 - U541 ) * ( $N521 = '2.1 Model setup'!$K$45 ) +  U365 * ( $N521 = '2.1 Model setup'!$K$47 )</f>
        <v>0</v>
      </c>
      <c r="V561" s="1">
        <f xml:space="preserve"> V365 * ( 1 - V541 ) * ( $N521 = '2.1 Model setup'!$K$45 ) +  V365 * ( $N521 = '2.1 Model setup'!$K$47 )</f>
        <v>0</v>
      </c>
      <c r="W561" s="4">
        <f t="shared" si="88"/>
        <v>0</v>
      </c>
    </row>
    <row r="562" spans="4:23" ht="15" customHeight="1">
      <c r="D562" s="85" t="str">
        <f xml:space="preserve"> '2.1 Model setup'!K77</f>
        <v>3.1 Generel administration</v>
      </c>
      <c r="K562" s="5" t="str">
        <f t="shared" si="87"/>
        <v>DKKt</v>
      </c>
      <c r="O562" s="202"/>
      <c r="P562" s="202"/>
      <c r="Q562" s="202"/>
      <c r="R562" s="1">
        <v>0</v>
      </c>
      <c r="S562" s="322">
        <f xml:space="preserve"> S366 * ( 1 - S542 ) * ( $N522 = '2.1 Model setup'!$K$45 ) +  S366 * ( $N522 = '2.1 Model setup'!$K$47 )</f>
        <v>0</v>
      </c>
      <c r="T562" s="1">
        <f xml:space="preserve"> T366 * ( 1 - T542 ) * ( $N522 = '2.1 Model setup'!$K$45 ) +  T366 * ( $N522 = '2.1 Model setup'!$K$47 )</f>
        <v>0</v>
      </c>
      <c r="U562" s="1">
        <f xml:space="preserve"> U366 * ( 1 - U542 ) * ( $N522 = '2.1 Model setup'!$K$45 ) +  U366 * ( $N522 = '2.1 Model setup'!$K$47 )</f>
        <v>0</v>
      </c>
      <c r="V562" s="1">
        <f xml:space="preserve"> V366 * ( 1 - V542 ) * ( $N522 = '2.1 Model setup'!$K$45 ) +  V366 * ( $N522 = '2.1 Model setup'!$K$47 )</f>
        <v>0</v>
      </c>
      <c r="W562" s="4">
        <f t="shared" si="88"/>
        <v>0</v>
      </c>
    </row>
    <row r="563" spans="4:23" ht="15" customHeight="1">
      <c r="D563" s="85" t="str">
        <f xml:space="preserve"> '2.1 Model setup'!K78</f>
        <v>4.1 Omkostninger vedrørende nettab i transformerstationer</v>
      </c>
      <c r="K563" s="5" t="str">
        <f t="shared" si="87"/>
        <v>DKKt</v>
      </c>
      <c r="O563" s="202"/>
      <c r="P563" s="202"/>
      <c r="Q563" s="202"/>
      <c r="R563" s="1">
        <v>0</v>
      </c>
      <c r="S563" s="322">
        <f xml:space="preserve"> S367 * ( 1 - S543 ) * ( $N523 = '2.1 Model setup'!$K$45 ) +  S367 * ( $N523 = '2.1 Model setup'!$K$47 )</f>
        <v>0</v>
      </c>
      <c r="T563" s="1">
        <f xml:space="preserve"> T367 * ( 1 - T543 ) * ( $N523 = '2.1 Model setup'!$K$45 ) +  T367 * ( $N523 = '2.1 Model setup'!$K$47 )</f>
        <v>0</v>
      </c>
      <c r="U563" s="1">
        <f xml:space="preserve"> U367 * ( 1 - U543 ) * ( $N523 = '2.1 Model setup'!$K$45 ) +  U367 * ( $N523 = '2.1 Model setup'!$K$47 )</f>
        <v>0</v>
      </c>
      <c r="V563" s="1">
        <f xml:space="preserve"> V367 * ( 1 - V543 ) * ( $N523 = '2.1 Model setup'!$K$45 ) +  V367 * ( $N523 = '2.1 Model setup'!$K$47 )</f>
        <v>0</v>
      </c>
      <c r="W563" s="4">
        <f t="shared" si="88"/>
        <v>0</v>
      </c>
    </row>
    <row r="564" spans="4:23" ht="15" customHeight="1">
      <c r="D564" s="85" t="str">
        <f xml:space="preserve"> '2.1 Model setup'!K79</f>
        <v>4.2 Omkostninger vedrørende nettab i ledningsnettet</v>
      </c>
      <c r="K564" s="5" t="str">
        <f t="shared" si="87"/>
        <v>DKKt</v>
      </c>
      <c r="O564" s="202"/>
      <c r="P564" s="202"/>
      <c r="Q564" s="202"/>
      <c r="R564" s="1">
        <v>0</v>
      </c>
      <c r="S564" s="322">
        <f xml:space="preserve"> S368 * ( 1 - S544 ) * ( $N524 = '2.1 Model setup'!$K$45 ) +  S368 * ( $N524 = '2.1 Model setup'!$K$47 )</f>
        <v>0</v>
      </c>
      <c r="T564" s="1">
        <f xml:space="preserve"> T368 * ( 1 - T544 ) * ( $N524 = '2.1 Model setup'!$K$45 ) +  T368 * ( $N524 = '2.1 Model setup'!$K$47 )</f>
        <v>0</v>
      </c>
      <c r="U564" s="1">
        <f xml:space="preserve"> U368 * ( 1 - U544 ) * ( $N524 = '2.1 Model setup'!$K$45 ) +  U368 * ( $N524 = '2.1 Model setup'!$K$47 )</f>
        <v>0</v>
      </c>
      <c r="V564" s="1">
        <f xml:space="preserve"> V368 * ( 1 - V544 ) * ( $N524 = '2.1 Model setup'!$K$45 ) +  V368 * ( $N524 = '2.1 Model setup'!$K$47 )</f>
        <v>0</v>
      </c>
      <c r="W564" s="4">
        <f t="shared" si="88"/>
        <v>0</v>
      </c>
    </row>
    <row r="565" spans="4:23" ht="15" customHeight="1">
      <c r="D565" s="85" t="str">
        <f xml:space="preserve"> '2.1 Model setup'!K80</f>
        <v>5.1 Omkostninger til overliggende net ifm. forbrug</v>
      </c>
      <c r="K565" s="5" t="str">
        <f t="shared" si="87"/>
        <v>DKKt</v>
      </c>
      <c r="O565" s="202"/>
      <c r="P565" s="202"/>
      <c r="Q565" s="202"/>
      <c r="R565" s="1">
        <v>0</v>
      </c>
      <c r="S565" s="322">
        <f xml:space="preserve"> S369 * ( 1 - S545 ) * ( $N525 = '2.1 Model setup'!$K$45 ) +  S369 * ( $N525 = '2.1 Model setup'!$K$47 )</f>
        <v>0</v>
      </c>
      <c r="T565" s="1">
        <f xml:space="preserve"> T369 * ( 1 - T545 ) * ( $N525 = '2.1 Model setup'!$K$45 ) +  T369 * ( $N525 = '2.1 Model setup'!$K$47 )</f>
        <v>0</v>
      </c>
      <c r="U565" s="1">
        <f xml:space="preserve"> U369 * ( 1 - U545 ) * ( $N525 = '2.1 Model setup'!$K$45 ) +  U369 * ( $N525 = '2.1 Model setup'!$K$47 )</f>
        <v>0</v>
      </c>
      <c r="V565" s="1">
        <f xml:space="preserve"> V369 * ( 1 - V545 ) * ( $N525 = '2.1 Model setup'!$K$45 ) +  V369 * ( $N525 = '2.1 Model setup'!$K$47 )</f>
        <v>0</v>
      </c>
      <c r="W565" s="4">
        <f xml:space="preserve"> SUM( R565:V565 )</f>
        <v>0</v>
      </c>
    </row>
    <row r="566" spans="4:23" ht="15" customHeight="1">
      <c r="D566" s="85" t="str">
        <f xml:space="preserve"> '2.1 Model setup'!K81</f>
        <v>5.2 Øvrige omkostninger</v>
      </c>
      <c r="K566" s="5" t="str">
        <f t="shared" si="87"/>
        <v>DKKt</v>
      </c>
      <c r="O566" s="202"/>
      <c r="P566" s="202"/>
      <c r="Q566" s="202"/>
      <c r="R566" s="1">
        <v>0</v>
      </c>
      <c r="S566" s="322">
        <f xml:space="preserve"> S370 * ( 1 - S546 ) * ( $N526 = '2.1 Model setup'!$K$45 ) +  S370 * ( $N526 = '2.1 Model setup'!$K$47 )</f>
        <v>0</v>
      </c>
      <c r="T566" s="1">
        <f xml:space="preserve"> T370 * ( 1 - T546 ) * ( $N526 = '2.1 Model setup'!$K$45 ) +  T370 * ( $N526 = '2.1 Model setup'!$K$47 )</f>
        <v>0</v>
      </c>
      <c r="U566" s="1">
        <f xml:space="preserve"> U370 * ( 1 - U546 ) * ( $N526 = '2.1 Model setup'!$K$45 ) +  U370 * ( $N526 = '2.1 Model setup'!$K$47 )</f>
        <v>0</v>
      </c>
      <c r="V566" s="1">
        <f xml:space="preserve"> V370 * ( 1 - V546 ) * ( $N526 = '2.1 Model setup'!$K$45 ) +  V370 * ( $N526 = '2.1 Model setup'!$K$47 )</f>
        <v>0</v>
      </c>
      <c r="W566" s="4">
        <f t="shared" si="88"/>
        <v>0</v>
      </c>
    </row>
    <row r="567" spans="4:23" ht="15" customHeight="1">
      <c r="D567" s="85" t="str">
        <f xml:space="preserve"> '2.1 Model setup'!K82</f>
        <v>6.1 Afskrivninger på transformerstationer</v>
      </c>
      <c r="K567" s="5" t="str">
        <f t="shared" si="87"/>
        <v>DKKt</v>
      </c>
      <c r="O567" s="202"/>
      <c r="P567" s="202"/>
      <c r="Q567" s="202"/>
      <c r="R567" s="1">
        <v>0</v>
      </c>
      <c r="S567" s="322">
        <f xml:space="preserve"> S371 * ( 1 - S547 ) * ( $N527 = '2.1 Model setup'!$K$45 ) +  S371 * ( $N527 = '2.1 Model setup'!$K$47 )</f>
        <v>0</v>
      </c>
      <c r="T567" s="1">
        <f xml:space="preserve"> T371 * ( 1 - T547 ) * ( $N527 = '2.1 Model setup'!$K$45 ) +  T371 * ( $N527 = '2.1 Model setup'!$K$47 )</f>
        <v>0</v>
      </c>
      <c r="U567" s="1">
        <f xml:space="preserve"> U371 * ( 1 - U547 ) * ( $N527 = '2.1 Model setup'!$K$45 ) +  U371 * ( $N527 = '2.1 Model setup'!$K$47 )</f>
        <v>0</v>
      </c>
      <c r="V567" s="1">
        <f xml:space="preserve"> V371 * ( 1 - V547 ) * ( $N527 = '2.1 Model setup'!$K$45 ) +  V371 * ( $N527 = '2.1 Model setup'!$K$47 )</f>
        <v>0</v>
      </c>
      <c r="W567" s="4">
        <f t="shared" si="88"/>
        <v>0</v>
      </c>
    </row>
    <row r="568" spans="4:23" ht="15" customHeight="1">
      <c r="D568" s="85" t="str">
        <f xml:space="preserve"> '2.1 Model setup'!K83</f>
        <v>6.2 Afskrivninger på netaktiver ekskl. målere og transformerstationer</v>
      </c>
      <c r="K568" s="5" t="str">
        <f t="shared" si="87"/>
        <v>DKKt</v>
      </c>
      <c r="O568" s="202"/>
      <c r="P568" s="202"/>
      <c r="Q568" s="202"/>
      <c r="R568" s="1">
        <v>0</v>
      </c>
      <c r="S568" s="322">
        <f xml:space="preserve"> S372 * ( 1 - S548 ) * ( $N528 = '2.1 Model setup'!$K$45 ) +  S372 * ( $N528 = '2.1 Model setup'!$K$47 )</f>
        <v>0</v>
      </c>
      <c r="T568" s="1">
        <f xml:space="preserve"> T372 * ( 1 - T548 ) * ( $N528 = '2.1 Model setup'!$K$45 ) +  T372 * ( $N528 = '2.1 Model setup'!$K$47 )</f>
        <v>0</v>
      </c>
      <c r="U568" s="1">
        <f xml:space="preserve"> U372 * ( 1 - U548 ) * ( $N528 = '2.1 Model setup'!$K$45 ) +  U372 * ( $N528 = '2.1 Model setup'!$K$47 )</f>
        <v>0</v>
      </c>
      <c r="V568" s="1">
        <f xml:space="preserve"> V372 * ( 1 - V548 ) * ( $N528 = '2.1 Model setup'!$K$45 ) +  V372 * ( $N528 = '2.1 Model setup'!$K$47 )</f>
        <v>0</v>
      </c>
      <c r="W568" s="4">
        <f t="shared" si="88"/>
        <v>0</v>
      </c>
    </row>
    <row r="569" spans="4:23" ht="15" customHeight="1">
      <c r="D569" s="85" t="str">
        <f xml:space="preserve"> '2.1 Model setup'!K84</f>
        <v>6.3 Afskrivninger på målere</v>
      </c>
      <c r="K569" s="5" t="str">
        <f t="shared" si="87"/>
        <v>DKKt</v>
      </c>
      <c r="O569" s="202"/>
      <c r="P569" s="202"/>
      <c r="Q569" s="202"/>
      <c r="R569" s="1">
        <v>0</v>
      </c>
      <c r="S569" s="322">
        <f xml:space="preserve"> S373 * ( 1 - S549 ) * ( $N529 = '2.1 Model setup'!$K$45 ) +  S373 * ( $N529 = '2.1 Model setup'!$K$47 )</f>
        <v>0</v>
      </c>
      <c r="T569" s="1">
        <f xml:space="preserve"> T373 * ( 1 - T549 ) * ( $N529 = '2.1 Model setup'!$K$45 ) +  T373 * ( $N529 = '2.1 Model setup'!$K$47 )</f>
        <v>0</v>
      </c>
      <c r="U569" s="1">
        <f xml:space="preserve"> U373 * ( 1 - U549 ) * ( $N529 = '2.1 Model setup'!$K$45 ) +  U373 * ( $N529 = '2.1 Model setup'!$K$47 )</f>
        <v>0</v>
      </c>
      <c r="V569" s="1">
        <f xml:space="preserve"> V373 * ( 1 - V549 ) * ( $N529 = '2.1 Model setup'!$K$45 ) +  V373 * ( $N529 = '2.1 Model setup'!$K$47 )</f>
        <v>0</v>
      </c>
      <c r="W569" s="4">
        <f t="shared" si="88"/>
        <v>0</v>
      </c>
    </row>
    <row r="570" spans="4:23" ht="15" customHeight="1">
      <c r="D570" s="85" t="str">
        <f xml:space="preserve"> '2.1 Model setup'!K85</f>
        <v>7.1 Transformerstationer (forrentning)</v>
      </c>
      <c r="K570" s="5" t="str">
        <f t="shared" si="87"/>
        <v>DKKt</v>
      </c>
      <c r="O570" s="202"/>
      <c r="P570" s="202"/>
      <c r="Q570" s="202"/>
      <c r="R570" s="1">
        <v>0</v>
      </c>
      <c r="S570" s="322">
        <f xml:space="preserve"> S374 * ( 1 - S550 ) * ( $N530 = '2.1 Model setup'!$K$45 ) +  S374 * ( $N530 = '2.1 Model setup'!$K$47 )</f>
        <v>0</v>
      </c>
      <c r="T570" s="1">
        <f xml:space="preserve"> T374 * ( 1 - T550 ) * ( $N530 = '2.1 Model setup'!$K$45 ) +  T374 * ( $N530 = '2.1 Model setup'!$K$47 )</f>
        <v>0</v>
      </c>
      <c r="U570" s="1">
        <f xml:space="preserve"> U374 * ( 1 - U550 ) * ( $N530 = '2.1 Model setup'!$K$45 ) +  U374 * ( $N530 = '2.1 Model setup'!$K$47 )</f>
        <v>0</v>
      </c>
      <c r="V570" s="1">
        <f xml:space="preserve"> V374 * ( 1 - V550 ) * ( $N530 = '2.1 Model setup'!$K$45 ) +  V374 * ( $N530 = '2.1 Model setup'!$K$47 )</f>
        <v>0</v>
      </c>
      <c r="W570" s="4">
        <f t="shared" si="88"/>
        <v>0</v>
      </c>
    </row>
    <row r="571" spans="4:23" ht="15" customHeight="1">
      <c r="D571" s="85" t="str">
        <f xml:space="preserve"> '2.1 Model setup'!K86</f>
        <v>7.2 Netaktiver ekskl. målere og transformerstationer (forrentning)</v>
      </c>
      <c r="K571" s="5" t="str">
        <f t="shared" si="87"/>
        <v>DKKt</v>
      </c>
      <c r="O571" s="202"/>
      <c r="P571" s="202"/>
      <c r="Q571" s="202"/>
      <c r="R571" s="1">
        <v>0</v>
      </c>
      <c r="S571" s="322">
        <f xml:space="preserve"> S375 * ( 1 - S551 ) * ( $N531 = '2.1 Model setup'!$K$45 ) +  S375 * ( $N531 = '2.1 Model setup'!$K$47 )</f>
        <v>0</v>
      </c>
      <c r="T571" s="1">
        <f xml:space="preserve"> T375 * ( 1 - T551 ) * ( $N531 = '2.1 Model setup'!$K$45 ) +  T375 * ( $N531 = '2.1 Model setup'!$K$47 )</f>
        <v>0</v>
      </c>
      <c r="U571" s="1">
        <f xml:space="preserve"> U375 * ( 1 - U551 ) * ( $N531 = '2.1 Model setup'!$K$45 ) +  U375 * ( $N531 = '2.1 Model setup'!$K$47 )</f>
        <v>0</v>
      </c>
      <c r="V571" s="1">
        <f xml:space="preserve"> V375 * ( 1 - V551 ) * ( $N531 = '2.1 Model setup'!$K$45 ) +  V375 * ( $N531 = '2.1 Model setup'!$K$47 )</f>
        <v>0</v>
      </c>
      <c r="W571" s="4">
        <f t="shared" si="88"/>
        <v>0</v>
      </c>
    </row>
    <row r="572" spans="4:23" ht="15" customHeight="1">
      <c r="D572" s="99" t="str">
        <f xml:space="preserve"> '2.1 Model setup'!K87</f>
        <v>7.3 Målere (forrentning)</v>
      </c>
      <c r="K572" s="5" t="str">
        <f t="shared" si="87"/>
        <v>DKKt</v>
      </c>
      <c r="O572" s="202"/>
      <c r="P572" s="202"/>
      <c r="Q572" s="202"/>
      <c r="R572" s="1">
        <v>0</v>
      </c>
      <c r="S572" s="324">
        <f xml:space="preserve"> S376 * ( 1 - S552 ) * ( $N532 = '2.1 Model setup'!$K$45 ) +  S376 * ( $N532 = '2.1 Model setup'!$K$47 )</f>
        <v>0</v>
      </c>
      <c r="T572" s="1">
        <f xml:space="preserve"> T376 * ( 1 - T552 ) * ( $N532 = '2.1 Model setup'!$K$45 ) +  T376 * ( $N532 = '2.1 Model setup'!$K$47 )</f>
        <v>0</v>
      </c>
      <c r="U572" s="1">
        <f xml:space="preserve"> U376 * ( 1 - U552 ) * ( $N532 = '2.1 Model setup'!$K$45 ) +  U376 * ( $N532 = '2.1 Model setup'!$K$47 )</f>
        <v>0</v>
      </c>
      <c r="V572" s="1">
        <f xml:space="preserve"> V376 * ( 1 - V552 ) * ( $N532 = '2.1 Model setup'!$K$45 ) +  V376 * ( $N532 = '2.1 Model setup'!$K$47 )</f>
        <v>0</v>
      </c>
      <c r="W572" s="4">
        <f t="shared" si="88"/>
        <v>0</v>
      </c>
    </row>
    <row r="573" spans="4:23" ht="15" customHeight="1">
      <c r="D573" s="186" t="s">
        <v>16</v>
      </c>
      <c r="E573" s="33"/>
      <c r="F573" s="33"/>
      <c r="G573" s="33"/>
      <c r="H573" s="33"/>
      <c r="I573" s="33"/>
      <c r="J573" s="33"/>
      <c r="K573" s="187" t="str">
        <f t="shared" si="87"/>
        <v>DKKt</v>
      </c>
      <c r="L573" s="186"/>
      <c r="M573" s="186"/>
      <c r="N573" s="186"/>
      <c r="O573" s="186"/>
      <c r="P573" s="186"/>
      <c r="Q573" s="186"/>
      <c r="R573" s="186">
        <f t="shared" ref="R573:W573" si="89" xml:space="preserve"> SUM( R555:R572 )</f>
        <v>0</v>
      </c>
      <c r="S573" s="186">
        <f t="shared" si="89"/>
        <v>0</v>
      </c>
      <c r="T573" s="186">
        <f t="shared" si="89"/>
        <v>0</v>
      </c>
      <c r="U573" s="186">
        <f t="shared" si="89"/>
        <v>0</v>
      </c>
      <c r="V573" s="186">
        <f t="shared" si="89"/>
        <v>0</v>
      </c>
      <c r="W573" s="186">
        <f t="shared" si="89"/>
        <v>0</v>
      </c>
    </row>
    <row r="575" spans="4:23" ht="15" customHeight="1">
      <c r="D575" s="35" t="s">
        <v>447</v>
      </c>
      <c r="E575" s="27"/>
      <c r="F575" s="27"/>
      <c r="G575" s="27"/>
      <c r="H575" s="27"/>
      <c r="I575" s="27"/>
      <c r="J575" s="27"/>
      <c r="K575" s="32"/>
      <c r="L575" s="27"/>
      <c r="M575" s="27"/>
      <c r="N575" s="27"/>
      <c r="O575" s="27"/>
      <c r="P575" s="27"/>
      <c r="Q575" s="27"/>
      <c r="R575" s="27"/>
      <c r="S575" s="27"/>
      <c r="T575" s="27"/>
      <c r="U575" s="27"/>
      <c r="V575" s="27"/>
      <c r="W575" s="185" t="s">
        <v>16</v>
      </c>
    </row>
    <row r="576" spans="4:23" ht="15" customHeight="1">
      <c r="D576" s="85" t="str">
        <f xml:space="preserve"> '2.1 Model setup'!K70</f>
        <v>1.1 Drift og vedligeholdelse af transformerstationer</v>
      </c>
      <c r="K576" s="5" t="str">
        <f t="shared" ref="K576:K594" si="90" xml:space="preserve"> Model.Units</f>
        <v>DKKt</v>
      </c>
      <c r="O576" s="202"/>
      <c r="P576" s="202"/>
      <c r="Q576" s="202"/>
      <c r="R576" s="1">
        <v>0</v>
      </c>
      <c r="S576" s="1">
        <v>0</v>
      </c>
      <c r="T576" s="320">
        <f xml:space="preserve"> T380 * ( 1 - T535 ) * ( $N515 = '2.1 Model setup'!$K$45 ) +  T380 * ( $N515 = '2.1 Model setup'!$K$47 )</f>
        <v>0</v>
      </c>
      <c r="U576" s="1">
        <f xml:space="preserve"> U380 * ( 1 - U535 ) * ( $N515 = '2.1 Model setup'!$K$45 ) +  U380 * ( $N515 = '2.1 Model setup'!$K$47 )</f>
        <v>0</v>
      </c>
      <c r="V576" s="1">
        <f xml:space="preserve"> V380 * ( 1 - V535 ) * ( $N515 = '2.1 Model setup'!$K$45 ) +  V380 * ( $N515 = '2.1 Model setup'!$K$47 )</f>
        <v>0</v>
      </c>
      <c r="W576" s="4">
        <f t="shared" ref="W576:W593" si="91" xml:space="preserve"> SUM( R576:V576 )</f>
        <v>0</v>
      </c>
    </row>
    <row r="577" spans="4:23" ht="15" customHeight="1">
      <c r="D577" s="85" t="str">
        <f xml:space="preserve"> '2.1 Model setup'!K71</f>
        <v>1.2 Drift og vedligeholdelse af ledningsnet</v>
      </c>
      <c r="K577" s="5" t="str">
        <f t="shared" si="90"/>
        <v>DKKt</v>
      </c>
      <c r="O577" s="202"/>
      <c r="P577" s="202"/>
      <c r="Q577" s="202"/>
      <c r="R577" s="1">
        <v>0</v>
      </c>
      <c r="S577" s="1">
        <v>0</v>
      </c>
      <c r="T577" s="322">
        <f xml:space="preserve"> T381 * ( 1 - T536 ) * ( $N516 = '2.1 Model setup'!$K$45 ) +  T381 * ( $N516 = '2.1 Model setup'!$K$47 )</f>
        <v>0</v>
      </c>
      <c r="U577" s="1">
        <f xml:space="preserve"> U381 * ( 1 - U536 ) * ( $N516 = '2.1 Model setup'!$K$45 ) +  U381 * ( $N516 = '2.1 Model setup'!$K$47 )</f>
        <v>0</v>
      </c>
      <c r="V577" s="1">
        <f xml:space="preserve"> V381 * ( 1 - V536 ) * ( $N516 = '2.1 Model setup'!$K$45 ) +  V381 * ( $N516 = '2.1 Model setup'!$K$47 )</f>
        <v>0</v>
      </c>
      <c r="W577" s="4">
        <f t="shared" si="91"/>
        <v>0</v>
      </c>
    </row>
    <row r="578" spans="4:23" ht="15" customHeight="1">
      <c r="D578" s="85" t="str">
        <f xml:space="preserve"> '2.1 Model setup'!K72</f>
        <v>1.3 Øvrige omkostninger til drift, styring og kontrol af elnettet</v>
      </c>
      <c r="K578" s="5" t="str">
        <f t="shared" si="90"/>
        <v>DKKt</v>
      </c>
      <c r="O578" s="202"/>
      <c r="P578" s="202"/>
      <c r="Q578" s="202"/>
      <c r="R578" s="1">
        <v>0</v>
      </c>
      <c r="S578" s="1">
        <v>0</v>
      </c>
      <c r="T578" s="322">
        <f xml:space="preserve"> T382 * ( 1 - T537 ) * ( $N517 = '2.1 Model setup'!$K$45 ) +  T382 * ( $N517 = '2.1 Model setup'!$K$47 )</f>
        <v>0</v>
      </c>
      <c r="U578" s="1">
        <f xml:space="preserve"> U382 * ( 1 - U537 ) * ( $N517 = '2.1 Model setup'!$K$45 ) +  U382 * ( $N517 = '2.1 Model setup'!$K$47 )</f>
        <v>0</v>
      </c>
      <c r="V578" s="1">
        <f xml:space="preserve"> V382 * ( 1 - V537 ) * ( $N517 = '2.1 Model setup'!$K$45 ) +  V382 * ( $N517 = '2.1 Model setup'!$K$47 )</f>
        <v>0</v>
      </c>
      <c r="W578" s="4">
        <f t="shared" si="91"/>
        <v>0</v>
      </c>
    </row>
    <row r="579" spans="4:23" ht="15" customHeight="1">
      <c r="D579" s="85" t="str">
        <f xml:space="preserve"> '2.1 Model setup'!K73</f>
        <v>1.4 Omkostninger vedrørende 132-150/30-60 kV-stationer</v>
      </c>
      <c r="K579" s="5" t="str">
        <f t="shared" si="90"/>
        <v>DKKt</v>
      </c>
      <c r="O579" s="202"/>
      <c r="P579" s="202"/>
      <c r="Q579" s="202"/>
      <c r="R579" s="1">
        <v>0</v>
      </c>
      <c r="S579" s="1">
        <v>0</v>
      </c>
      <c r="T579" s="322">
        <f xml:space="preserve"> T383 * ( 1 - T538 ) * ( $N518 = '2.1 Model setup'!$K$45 ) +  T383 * ( $N518 = '2.1 Model setup'!$K$47 )</f>
        <v>0</v>
      </c>
      <c r="U579" s="1">
        <f xml:space="preserve"> U383 * ( 1 - U538 ) * ( $N518 = '2.1 Model setup'!$K$45 ) +  U383 * ( $N518 = '2.1 Model setup'!$K$47 )</f>
        <v>0</v>
      </c>
      <c r="V579" s="1">
        <f xml:space="preserve"> V383 * ( 1 - V538 ) * ( $N518 = '2.1 Model setup'!$K$45 ) +  V383 * ( $N518 = '2.1 Model setup'!$K$47 )</f>
        <v>0</v>
      </c>
      <c r="W579" s="4">
        <f xml:space="preserve"> SUM( R579:V579 )</f>
        <v>0</v>
      </c>
    </row>
    <row r="580" spans="4:23" ht="15" customHeight="1">
      <c r="D580" s="85" t="str">
        <f xml:space="preserve"> '2.1 Model setup'!K74</f>
        <v>2.1 Drift og vedligeholdelse af målere</v>
      </c>
      <c r="K580" s="5" t="str">
        <f t="shared" si="90"/>
        <v>DKKt</v>
      </c>
      <c r="O580" s="202"/>
      <c r="P580" s="202"/>
      <c r="Q580" s="202"/>
      <c r="R580" s="1">
        <v>0</v>
      </c>
      <c r="S580" s="1">
        <v>0</v>
      </c>
      <c r="T580" s="322">
        <f xml:space="preserve"> T384 * ( 1 - T539 ) * ( $N519 = '2.1 Model setup'!$K$45 ) +  T384 * ( $N519 = '2.1 Model setup'!$K$47 )</f>
        <v>0</v>
      </c>
      <c r="U580" s="1">
        <f xml:space="preserve"> U384 * ( 1 - U539 ) * ( $N519 = '2.1 Model setup'!$K$45 ) +  U384 * ( $N519 = '2.1 Model setup'!$K$47 )</f>
        <v>0</v>
      </c>
      <c r="V580" s="1">
        <f xml:space="preserve"> V384 * ( 1 - V539 ) * ( $N519 = '2.1 Model setup'!$K$45 ) +  V384 * ( $N519 = '2.1 Model setup'!$K$47 )</f>
        <v>0</v>
      </c>
      <c r="W580" s="4">
        <f t="shared" si="91"/>
        <v>0</v>
      </c>
    </row>
    <row r="581" spans="4:23" ht="15" customHeight="1">
      <c r="D581" s="85" t="str">
        <f xml:space="preserve"> '2.1 Model setup'!K75</f>
        <v>2.2 Indhentning og validering af målerdata</v>
      </c>
      <c r="K581" s="5" t="str">
        <f t="shared" si="90"/>
        <v>DKKt</v>
      </c>
      <c r="O581" s="202"/>
      <c r="P581" s="202"/>
      <c r="Q581" s="202"/>
      <c r="R581" s="1">
        <v>0</v>
      </c>
      <c r="S581" s="1">
        <v>0</v>
      </c>
      <c r="T581" s="322">
        <f xml:space="preserve"> T385 * ( 1 - T540 ) * ( $N520 = '2.1 Model setup'!$K$45 ) +  T385 * ( $N520 = '2.1 Model setup'!$K$47 )</f>
        <v>0</v>
      </c>
      <c r="U581" s="1">
        <f xml:space="preserve"> U385 * ( 1 - U540 ) * ( $N520 = '2.1 Model setup'!$K$45 ) +  U385 * ( $N520 = '2.1 Model setup'!$K$47 )</f>
        <v>0</v>
      </c>
      <c r="V581" s="1">
        <f xml:space="preserve"> V385 * ( 1 - V540 ) * ( $N520 = '2.1 Model setup'!$K$45 ) +  V385 * ( $N520 = '2.1 Model setup'!$K$47 )</f>
        <v>0</v>
      </c>
      <c r="W581" s="4">
        <f t="shared" si="91"/>
        <v>0</v>
      </c>
    </row>
    <row r="582" spans="4:23" ht="15" customHeight="1">
      <c r="D582" s="85" t="str">
        <f xml:space="preserve"> '2.1 Model setup'!K76</f>
        <v>2.3 Måleradministration og kundehåndtering</v>
      </c>
      <c r="K582" s="5" t="str">
        <f t="shared" si="90"/>
        <v>DKKt</v>
      </c>
      <c r="O582" s="202"/>
      <c r="P582" s="202"/>
      <c r="Q582" s="202"/>
      <c r="R582" s="1">
        <v>0</v>
      </c>
      <c r="S582" s="1">
        <v>0</v>
      </c>
      <c r="T582" s="322">
        <f xml:space="preserve"> T386 * ( 1 - T541 ) * ( $N521 = '2.1 Model setup'!$K$45 ) +  T386 * ( $N521 = '2.1 Model setup'!$K$47 )</f>
        <v>0</v>
      </c>
      <c r="U582" s="1">
        <f xml:space="preserve"> U386 * ( 1 - U541 ) * ( $N521 = '2.1 Model setup'!$K$45 ) +  U386 * ( $N521 = '2.1 Model setup'!$K$47 )</f>
        <v>0</v>
      </c>
      <c r="V582" s="1">
        <f xml:space="preserve"> V386 * ( 1 - V541 ) * ( $N521 = '2.1 Model setup'!$K$45 ) +  V386 * ( $N521 = '2.1 Model setup'!$K$47 )</f>
        <v>0</v>
      </c>
      <c r="W582" s="4">
        <f t="shared" si="91"/>
        <v>0</v>
      </c>
    </row>
    <row r="583" spans="4:23" ht="15" customHeight="1">
      <c r="D583" s="85" t="str">
        <f xml:space="preserve"> '2.1 Model setup'!K77</f>
        <v>3.1 Generel administration</v>
      </c>
      <c r="K583" s="5" t="str">
        <f t="shared" si="90"/>
        <v>DKKt</v>
      </c>
      <c r="O583" s="202"/>
      <c r="P583" s="202"/>
      <c r="Q583" s="202"/>
      <c r="R583" s="1">
        <v>0</v>
      </c>
      <c r="S583" s="1">
        <v>0</v>
      </c>
      <c r="T583" s="322">
        <f xml:space="preserve"> T387 * ( 1 - T542 ) * ( $N522 = '2.1 Model setup'!$K$45 ) +  T387 * ( $N522 = '2.1 Model setup'!$K$47 )</f>
        <v>0</v>
      </c>
      <c r="U583" s="1">
        <f xml:space="preserve"> U387 * ( 1 - U542 ) * ( $N522 = '2.1 Model setup'!$K$45 ) +  U387 * ( $N522 = '2.1 Model setup'!$K$47 )</f>
        <v>0</v>
      </c>
      <c r="V583" s="1">
        <f xml:space="preserve"> V387 * ( 1 - V542 ) * ( $N522 = '2.1 Model setup'!$K$45 ) +  V387 * ( $N522 = '2.1 Model setup'!$K$47 )</f>
        <v>0</v>
      </c>
      <c r="W583" s="4">
        <f t="shared" si="91"/>
        <v>0</v>
      </c>
    </row>
    <row r="584" spans="4:23" ht="15" customHeight="1">
      <c r="D584" s="85" t="str">
        <f xml:space="preserve"> '2.1 Model setup'!K78</f>
        <v>4.1 Omkostninger vedrørende nettab i transformerstationer</v>
      </c>
      <c r="K584" s="5" t="str">
        <f t="shared" si="90"/>
        <v>DKKt</v>
      </c>
      <c r="O584" s="202"/>
      <c r="P584" s="202"/>
      <c r="Q584" s="202"/>
      <c r="R584" s="1">
        <v>0</v>
      </c>
      <c r="S584" s="1">
        <v>0</v>
      </c>
      <c r="T584" s="322">
        <f xml:space="preserve"> T388 * ( 1 - T543 ) * ( $N523 = '2.1 Model setup'!$K$45 ) +  T388 * ( $N523 = '2.1 Model setup'!$K$47 )</f>
        <v>0</v>
      </c>
      <c r="U584" s="1">
        <f xml:space="preserve"> U388 * ( 1 - U543 ) * ( $N523 = '2.1 Model setup'!$K$45 ) +  U388 * ( $N523 = '2.1 Model setup'!$K$47 )</f>
        <v>0</v>
      </c>
      <c r="V584" s="1">
        <f xml:space="preserve"> V388 * ( 1 - V543 ) * ( $N523 = '2.1 Model setup'!$K$45 ) +  V388 * ( $N523 = '2.1 Model setup'!$K$47 )</f>
        <v>0</v>
      </c>
      <c r="W584" s="4">
        <f t="shared" si="91"/>
        <v>0</v>
      </c>
    </row>
    <row r="585" spans="4:23" ht="15" customHeight="1">
      <c r="D585" s="85" t="str">
        <f xml:space="preserve"> '2.1 Model setup'!K79</f>
        <v>4.2 Omkostninger vedrørende nettab i ledningsnettet</v>
      </c>
      <c r="K585" s="5" t="str">
        <f t="shared" si="90"/>
        <v>DKKt</v>
      </c>
      <c r="O585" s="202"/>
      <c r="P585" s="202"/>
      <c r="Q585" s="202"/>
      <c r="R585" s="1">
        <v>0</v>
      </c>
      <c r="S585" s="1">
        <v>0</v>
      </c>
      <c r="T585" s="322">
        <f xml:space="preserve"> T389 * ( 1 - T544 ) * ( $N524 = '2.1 Model setup'!$K$45 ) +  T389 * ( $N524 = '2.1 Model setup'!$K$47 )</f>
        <v>0</v>
      </c>
      <c r="U585" s="1">
        <f xml:space="preserve"> U389 * ( 1 - U544 ) * ( $N524 = '2.1 Model setup'!$K$45 ) +  U389 * ( $N524 = '2.1 Model setup'!$K$47 )</f>
        <v>0</v>
      </c>
      <c r="V585" s="1">
        <f xml:space="preserve"> V389 * ( 1 - V544 ) * ( $N524 = '2.1 Model setup'!$K$45 ) +  V389 * ( $N524 = '2.1 Model setup'!$K$47 )</f>
        <v>0</v>
      </c>
      <c r="W585" s="4">
        <f t="shared" si="91"/>
        <v>0</v>
      </c>
    </row>
    <row r="586" spans="4:23" ht="15" customHeight="1">
      <c r="D586" s="85" t="str">
        <f xml:space="preserve"> '2.1 Model setup'!K80</f>
        <v>5.1 Omkostninger til overliggende net ifm. forbrug</v>
      </c>
      <c r="K586" s="5" t="str">
        <f t="shared" si="90"/>
        <v>DKKt</v>
      </c>
      <c r="O586" s="202"/>
      <c r="P586" s="202"/>
      <c r="Q586" s="202"/>
      <c r="R586" s="1">
        <v>0</v>
      </c>
      <c r="S586" s="1">
        <v>0</v>
      </c>
      <c r="T586" s="322">
        <f xml:space="preserve"> T390 * ( 1 - T545 ) * ( $N525 = '2.1 Model setup'!$K$45 ) +  T390 * ( $N525 = '2.1 Model setup'!$K$47 )</f>
        <v>0</v>
      </c>
      <c r="U586" s="1">
        <f xml:space="preserve"> U390 * ( 1 - U545 ) * ( $N525 = '2.1 Model setup'!$K$45 ) +  U390 * ( $N525 = '2.1 Model setup'!$K$47 )</f>
        <v>0</v>
      </c>
      <c r="V586" s="1">
        <f xml:space="preserve"> V390 * ( 1 - V545 ) * ( $N525 = '2.1 Model setup'!$K$45 ) +  V390 * ( $N525 = '2.1 Model setup'!$K$47 )</f>
        <v>0</v>
      </c>
      <c r="W586" s="4">
        <f xml:space="preserve"> SUM( R586:V586 )</f>
        <v>0</v>
      </c>
    </row>
    <row r="587" spans="4:23" ht="15" customHeight="1">
      <c r="D587" s="85" t="str">
        <f xml:space="preserve"> '2.1 Model setup'!K81</f>
        <v>5.2 Øvrige omkostninger</v>
      </c>
      <c r="K587" s="5" t="str">
        <f t="shared" si="90"/>
        <v>DKKt</v>
      </c>
      <c r="O587" s="202"/>
      <c r="P587" s="202"/>
      <c r="Q587" s="202"/>
      <c r="R587" s="1">
        <v>0</v>
      </c>
      <c r="S587" s="1">
        <v>0</v>
      </c>
      <c r="T587" s="322">
        <f xml:space="preserve"> T391 * ( 1 - T546 ) * ( $N526 = '2.1 Model setup'!$K$45 ) +  T391 * ( $N526 = '2.1 Model setup'!$K$47 )</f>
        <v>0</v>
      </c>
      <c r="U587" s="1">
        <f xml:space="preserve"> U391 * ( 1 - U546 ) * ( $N526 = '2.1 Model setup'!$K$45 ) +  U391 * ( $N526 = '2.1 Model setup'!$K$47 )</f>
        <v>0</v>
      </c>
      <c r="V587" s="1">
        <f xml:space="preserve"> V391 * ( 1 - V546 ) * ( $N526 = '2.1 Model setup'!$K$45 ) +  V391 * ( $N526 = '2.1 Model setup'!$K$47 )</f>
        <v>0</v>
      </c>
      <c r="W587" s="4">
        <f t="shared" si="91"/>
        <v>0</v>
      </c>
    </row>
    <row r="588" spans="4:23" ht="15" customHeight="1">
      <c r="D588" s="85" t="str">
        <f xml:space="preserve"> '2.1 Model setup'!K82</f>
        <v>6.1 Afskrivninger på transformerstationer</v>
      </c>
      <c r="K588" s="5" t="str">
        <f t="shared" si="90"/>
        <v>DKKt</v>
      </c>
      <c r="O588" s="202"/>
      <c r="P588" s="202"/>
      <c r="Q588" s="202"/>
      <c r="R588" s="1">
        <v>0</v>
      </c>
      <c r="S588" s="1">
        <v>0</v>
      </c>
      <c r="T588" s="322">
        <f xml:space="preserve"> T392 * ( 1 - T547 ) * ( $N527 = '2.1 Model setup'!$K$45 ) +  T392 * ( $N527 = '2.1 Model setup'!$K$47 )</f>
        <v>0</v>
      </c>
      <c r="U588" s="1">
        <f xml:space="preserve"> U392 * ( 1 - U547 ) * ( $N527 = '2.1 Model setup'!$K$45 ) +  U392 * ( $N527 = '2.1 Model setup'!$K$47 )</f>
        <v>0</v>
      </c>
      <c r="V588" s="1">
        <f xml:space="preserve"> V392 * ( 1 - V547 ) * ( $N527 = '2.1 Model setup'!$K$45 ) +  V392 * ( $N527 = '2.1 Model setup'!$K$47 )</f>
        <v>0</v>
      </c>
      <c r="W588" s="4">
        <f t="shared" si="91"/>
        <v>0</v>
      </c>
    </row>
    <row r="589" spans="4:23" ht="15" customHeight="1">
      <c r="D589" s="85" t="str">
        <f xml:space="preserve"> '2.1 Model setup'!K83</f>
        <v>6.2 Afskrivninger på netaktiver ekskl. målere og transformerstationer</v>
      </c>
      <c r="K589" s="5" t="str">
        <f t="shared" si="90"/>
        <v>DKKt</v>
      </c>
      <c r="O589" s="202"/>
      <c r="P589" s="202"/>
      <c r="Q589" s="202"/>
      <c r="R589" s="1">
        <v>0</v>
      </c>
      <c r="S589" s="1">
        <v>0</v>
      </c>
      <c r="T589" s="322">
        <f xml:space="preserve"> T393 * ( 1 - T548 ) * ( $N528 = '2.1 Model setup'!$K$45 ) +  T393 * ( $N528 = '2.1 Model setup'!$K$47 )</f>
        <v>0</v>
      </c>
      <c r="U589" s="1">
        <f xml:space="preserve"> U393 * ( 1 - U548 ) * ( $N528 = '2.1 Model setup'!$K$45 ) +  U393 * ( $N528 = '2.1 Model setup'!$K$47 )</f>
        <v>0</v>
      </c>
      <c r="V589" s="1">
        <f xml:space="preserve"> V393 * ( 1 - V548 ) * ( $N528 = '2.1 Model setup'!$K$45 ) +  V393 * ( $N528 = '2.1 Model setup'!$K$47 )</f>
        <v>0</v>
      </c>
      <c r="W589" s="4">
        <f t="shared" si="91"/>
        <v>0</v>
      </c>
    </row>
    <row r="590" spans="4:23" ht="15" customHeight="1">
      <c r="D590" s="85" t="str">
        <f xml:space="preserve"> '2.1 Model setup'!K84</f>
        <v>6.3 Afskrivninger på målere</v>
      </c>
      <c r="K590" s="5" t="str">
        <f t="shared" si="90"/>
        <v>DKKt</v>
      </c>
      <c r="O590" s="202"/>
      <c r="P590" s="202"/>
      <c r="Q590" s="202"/>
      <c r="R590" s="1">
        <v>0</v>
      </c>
      <c r="S590" s="1">
        <v>0</v>
      </c>
      <c r="T590" s="322">
        <f xml:space="preserve"> T394 * ( 1 - T549 ) * ( $N529 = '2.1 Model setup'!$K$45 ) +  T394 * ( $N529 = '2.1 Model setup'!$K$47 )</f>
        <v>0</v>
      </c>
      <c r="U590" s="1">
        <f xml:space="preserve"> U394 * ( 1 - U549 ) * ( $N529 = '2.1 Model setup'!$K$45 ) +  U394 * ( $N529 = '2.1 Model setup'!$K$47 )</f>
        <v>0</v>
      </c>
      <c r="V590" s="1">
        <f xml:space="preserve"> V394 * ( 1 - V549 ) * ( $N529 = '2.1 Model setup'!$K$45 ) +  V394 * ( $N529 = '2.1 Model setup'!$K$47 )</f>
        <v>0</v>
      </c>
      <c r="W590" s="4">
        <f t="shared" si="91"/>
        <v>0</v>
      </c>
    </row>
    <row r="591" spans="4:23" ht="15" customHeight="1">
      <c r="D591" s="85" t="str">
        <f xml:space="preserve"> '2.1 Model setup'!K85</f>
        <v>7.1 Transformerstationer (forrentning)</v>
      </c>
      <c r="K591" s="5" t="str">
        <f t="shared" si="90"/>
        <v>DKKt</v>
      </c>
      <c r="O591" s="202"/>
      <c r="P591" s="202"/>
      <c r="Q591" s="202"/>
      <c r="R591" s="1">
        <v>0</v>
      </c>
      <c r="S591" s="1">
        <v>0</v>
      </c>
      <c r="T591" s="322">
        <f xml:space="preserve"> T395 * ( 1 - T550 ) * ( $N530 = '2.1 Model setup'!$K$45 ) +  T395 * ( $N530 = '2.1 Model setup'!$K$47 )</f>
        <v>0</v>
      </c>
      <c r="U591" s="1">
        <f xml:space="preserve"> U395 * ( 1 - U550 ) * ( $N530 = '2.1 Model setup'!$K$45 ) +  U395 * ( $N530 = '2.1 Model setup'!$K$47 )</f>
        <v>0</v>
      </c>
      <c r="V591" s="1">
        <f xml:space="preserve"> V395 * ( 1 - V550 ) * ( $N530 = '2.1 Model setup'!$K$45 ) +  V395 * ( $N530 = '2.1 Model setup'!$K$47 )</f>
        <v>0</v>
      </c>
      <c r="W591" s="4">
        <f t="shared" si="91"/>
        <v>0</v>
      </c>
    </row>
    <row r="592" spans="4:23" ht="15" customHeight="1">
      <c r="D592" s="85" t="str">
        <f xml:space="preserve"> '2.1 Model setup'!K86</f>
        <v>7.2 Netaktiver ekskl. målere og transformerstationer (forrentning)</v>
      </c>
      <c r="K592" s="5" t="str">
        <f t="shared" si="90"/>
        <v>DKKt</v>
      </c>
      <c r="O592" s="202"/>
      <c r="P592" s="202"/>
      <c r="Q592" s="202"/>
      <c r="R592" s="1">
        <v>0</v>
      </c>
      <c r="S592" s="1">
        <v>0</v>
      </c>
      <c r="T592" s="322">
        <f xml:space="preserve"> T396 * ( 1 - T551 ) * ( $N531 = '2.1 Model setup'!$K$45 ) +  T396 * ( $N531 = '2.1 Model setup'!$K$47 )</f>
        <v>0</v>
      </c>
      <c r="U592" s="1">
        <f xml:space="preserve"> U396 * ( 1 - U551 ) * ( $N531 = '2.1 Model setup'!$K$45 ) +  U396 * ( $N531 = '2.1 Model setup'!$K$47 )</f>
        <v>0</v>
      </c>
      <c r="V592" s="1">
        <f xml:space="preserve"> V396 * ( 1 - V551 ) * ( $N531 = '2.1 Model setup'!$K$45 ) +  V396 * ( $N531 = '2.1 Model setup'!$K$47 )</f>
        <v>0</v>
      </c>
      <c r="W592" s="4">
        <f t="shared" si="91"/>
        <v>0</v>
      </c>
    </row>
    <row r="593" spans="4:23" ht="15" customHeight="1">
      <c r="D593" s="99" t="str">
        <f xml:space="preserve"> '2.1 Model setup'!K87</f>
        <v>7.3 Målere (forrentning)</v>
      </c>
      <c r="K593" s="5" t="str">
        <f t="shared" si="90"/>
        <v>DKKt</v>
      </c>
      <c r="O593" s="202"/>
      <c r="P593" s="202"/>
      <c r="Q593" s="202"/>
      <c r="R593" s="1">
        <v>0</v>
      </c>
      <c r="S593" s="1">
        <v>0</v>
      </c>
      <c r="T593" s="324">
        <f xml:space="preserve"> T397 * ( 1 - T552 ) * ( $N532 = '2.1 Model setup'!$K$45 ) +  T397 * ( $N532 = '2.1 Model setup'!$K$47 )</f>
        <v>0</v>
      </c>
      <c r="U593" s="1">
        <f xml:space="preserve"> U397 * ( 1 - U552 ) * ( $N532 = '2.1 Model setup'!$K$45 ) +  U397 * ( $N532 = '2.1 Model setup'!$K$47 )</f>
        <v>0</v>
      </c>
      <c r="V593" s="1">
        <f xml:space="preserve"> V397 * ( 1 - V552 ) * ( $N532 = '2.1 Model setup'!$K$45 ) +  V397 * ( $N532 = '2.1 Model setup'!$K$47 )</f>
        <v>0</v>
      </c>
      <c r="W593" s="4">
        <f t="shared" si="91"/>
        <v>0</v>
      </c>
    </row>
    <row r="594" spans="4:23" ht="15" customHeight="1">
      <c r="D594" s="186" t="s">
        <v>16</v>
      </c>
      <c r="E594" s="33"/>
      <c r="F594" s="33"/>
      <c r="G594" s="33"/>
      <c r="H594" s="33"/>
      <c r="I594" s="33"/>
      <c r="J594" s="33"/>
      <c r="K594" s="187" t="str">
        <f t="shared" si="90"/>
        <v>DKKt</v>
      </c>
      <c r="L594" s="186"/>
      <c r="M594" s="186"/>
      <c r="N594" s="186"/>
      <c r="O594" s="388"/>
      <c r="P594" s="388"/>
      <c r="Q594" s="388"/>
      <c r="R594" s="186">
        <f t="shared" ref="R594:W594" si="92" xml:space="preserve"> SUM( R576:R593 )</f>
        <v>0</v>
      </c>
      <c r="S594" s="186">
        <f t="shared" si="92"/>
        <v>0</v>
      </c>
      <c r="T594" s="186">
        <f t="shared" si="92"/>
        <v>0</v>
      </c>
      <c r="U594" s="186">
        <f t="shared" si="92"/>
        <v>0</v>
      </c>
      <c r="V594" s="186">
        <f t="shared" si="92"/>
        <v>0</v>
      </c>
      <c r="W594" s="186">
        <f t="shared" si="92"/>
        <v>0</v>
      </c>
    </row>
    <row r="596" spans="4:23" ht="15" customHeight="1">
      <c r="D596" s="35" t="s">
        <v>449</v>
      </c>
      <c r="E596" s="27"/>
      <c r="F596" s="27"/>
      <c r="G596" s="27"/>
      <c r="H596" s="27"/>
      <c r="I596" s="27"/>
      <c r="J596" s="27"/>
      <c r="K596" s="32"/>
      <c r="L596" s="27"/>
      <c r="M596" s="27"/>
      <c r="N596" s="27"/>
      <c r="O596" s="27"/>
      <c r="P596" s="27"/>
      <c r="Q596" s="27"/>
      <c r="R596" s="27"/>
      <c r="S596" s="27"/>
      <c r="T596" s="27"/>
      <c r="U596" s="27"/>
      <c r="V596" s="27"/>
      <c r="W596" s="185" t="s">
        <v>16</v>
      </c>
    </row>
    <row r="597" spans="4:23" ht="15" customHeight="1">
      <c r="D597" s="85" t="str">
        <f xml:space="preserve"> '2.1 Model setup'!K70</f>
        <v>1.1 Drift og vedligeholdelse af transformerstationer</v>
      </c>
      <c r="K597" s="5" t="str">
        <f t="shared" ref="K597:K615" si="93" xml:space="preserve"> Model.Units</f>
        <v>DKKt</v>
      </c>
      <c r="O597" s="202"/>
      <c r="P597" s="202"/>
      <c r="Q597" s="202"/>
      <c r="R597" s="1">
        <v>0</v>
      </c>
      <c r="S597" s="1">
        <v>0</v>
      </c>
      <c r="T597" s="1">
        <v>0</v>
      </c>
      <c r="U597" s="320">
        <f xml:space="preserve"> U401 * ( 1 - U535 ) * ( $N515 = '2.1 Model setup'!$K$45 ) +  U401 * ( $N515 = '2.1 Model setup'!$K$47 )</f>
        <v>0</v>
      </c>
      <c r="V597" s="1">
        <f xml:space="preserve"> V401 * ( 1 - V535 ) * ( $N515 = '2.1 Model setup'!$K$45 ) +  V401 * ( $N515 = '2.1 Model setup'!$K$47 )</f>
        <v>0</v>
      </c>
      <c r="W597" s="4">
        <f t="shared" ref="W597:W614" si="94" xml:space="preserve"> SUM( R597:V597 )</f>
        <v>0</v>
      </c>
    </row>
    <row r="598" spans="4:23" ht="15" customHeight="1">
      <c r="D598" s="85" t="str">
        <f xml:space="preserve"> '2.1 Model setup'!K71</f>
        <v>1.2 Drift og vedligeholdelse af ledningsnet</v>
      </c>
      <c r="K598" s="5" t="str">
        <f t="shared" si="93"/>
        <v>DKKt</v>
      </c>
      <c r="O598" s="202"/>
      <c r="P598" s="202"/>
      <c r="Q598" s="202"/>
      <c r="R598" s="1">
        <v>0</v>
      </c>
      <c r="S598" s="1">
        <v>0</v>
      </c>
      <c r="T598" s="1">
        <v>0</v>
      </c>
      <c r="U598" s="322">
        <f xml:space="preserve"> U402 * ( 1 - U536 ) * ( $N516 = '2.1 Model setup'!$K$45 ) +  U402 * ( $N516 = '2.1 Model setup'!$K$47 )</f>
        <v>0</v>
      </c>
      <c r="V598" s="1">
        <f xml:space="preserve"> V402 * ( 1 - V536 ) * ( $N516 = '2.1 Model setup'!$K$45 ) +  V402 * ( $N516 = '2.1 Model setup'!$K$47 )</f>
        <v>0</v>
      </c>
      <c r="W598" s="4">
        <f t="shared" si="94"/>
        <v>0</v>
      </c>
    </row>
    <row r="599" spans="4:23" ht="15" customHeight="1">
      <c r="D599" s="85" t="str">
        <f xml:space="preserve"> '2.1 Model setup'!K72</f>
        <v>1.3 Øvrige omkostninger til drift, styring og kontrol af elnettet</v>
      </c>
      <c r="K599" s="5" t="str">
        <f t="shared" si="93"/>
        <v>DKKt</v>
      </c>
      <c r="O599" s="202"/>
      <c r="P599" s="202"/>
      <c r="Q599" s="202"/>
      <c r="R599" s="1">
        <v>0</v>
      </c>
      <c r="S599" s="1">
        <v>0</v>
      </c>
      <c r="T599" s="1">
        <v>0</v>
      </c>
      <c r="U599" s="322">
        <f xml:space="preserve"> U403 * ( 1 - U537 ) * ( $N517 = '2.1 Model setup'!$K$45 ) +  U403 * ( $N517 = '2.1 Model setup'!$K$47 )</f>
        <v>0</v>
      </c>
      <c r="V599" s="1">
        <f xml:space="preserve"> V403 * ( 1 - V537 ) * ( $N517 = '2.1 Model setup'!$K$45 ) +  V403 * ( $N517 = '2.1 Model setup'!$K$47 )</f>
        <v>0</v>
      </c>
      <c r="W599" s="4">
        <f t="shared" si="94"/>
        <v>0</v>
      </c>
    </row>
    <row r="600" spans="4:23" ht="15" customHeight="1">
      <c r="D600" s="85" t="str">
        <f xml:space="preserve"> '2.1 Model setup'!K73</f>
        <v>1.4 Omkostninger vedrørende 132-150/30-60 kV-stationer</v>
      </c>
      <c r="K600" s="5" t="str">
        <f t="shared" si="93"/>
        <v>DKKt</v>
      </c>
      <c r="O600" s="202"/>
      <c r="P600" s="202"/>
      <c r="Q600" s="202"/>
      <c r="R600" s="1">
        <v>0</v>
      </c>
      <c r="S600" s="1">
        <v>0</v>
      </c>
      <c r="T600" s="1">
        <v>0</v>
      </c>
      <c r="U600" s="322">
        <f xml:space="preserve"> U404 * ( 1 - U538 ) * ( $N518 = '2.1 Model setup'!$K$45 ) +  U404 * ( $N518 = '2.1 Model setup'!$K$47 )</f>
        <v>0</v>
      </c>
      <c r="V600" s="1">
        <f xml:space="preserve"> V404 * ( 1 - V538 ) * ( $N518 = '2.1 Model setup'!$K$45 ) +  V404 * ( $N518 = '2.1 Model setup'!$K$47 )</f>
        <v>0</v>
      </c>
      <c r="W600" s="4">
        <f xml:space="preserve"> SUM( R600:V600 )</f>
        <v>0</v>
      </c>
    </row>
    <row r="601" spans="4:23" ht="15" customHeight="1">
      <c r="D601" s="85" t="str">
        <f xml:space="preserve"> '2.1 Model setup'!K74</f>
        <v>2.1 Drift og vedligeholdelse af målere</v>
      </c>
      <c r="K601" s="5" t="str">
        <f t="shared" si="93"/>
        <v>DKKt</v>
      </c>
      <c r="O601" s="202"/>
      <c r="P601" s="202"/>
      <c r="Q601" s="202"/>
      <c r="R601" s="1">
        <v>0</v>
      </c>
      <c r="S601" s="1">
        <v>0</v>
      </c>
      <c r="T601" s="1">
        <v>0</v>
      </c>
      <c r="U601" s="322">
        <f xml:space="preserve"> U405 * ( 1 - U539 ) * ( $N519 = '2.1 Model setup'!$K$45 ) +  U405 * ( $N519 = '2.1 Model setup'!$K$47 )</f>
        <v>0</v>
      </c>
      <c r="V601" s="1">
        <f xml:space="preserve"> V405 * ( 1 - V539 ) * ( $N519 = '2.1 Model setup'!$K$45 ) +  V405 * ( $N519 = '2.1 Model setup'!$K$47 )</f>
        <v>0</v>
      </c>
      <c r="W601" s="4">
        <f t="shared" si="94"/>
        <v>0</v>
      </c>
    </row>
    <row r="602" spans="4:23" ht="15" customHeight="1">
      <c r="D602" s="85" t="str">
        <f xml:space="preserve"> '2.1 Model setup'!K75</f>
        <v>2.2 Indhentning og validering af målerdata</v>
      </c>
      <c r="K602" s="5" t="str">
        <f t="shared" si="93"/>
        <v>DKKt</v>
      </c>
      <c r="O602" s="202"/>
      <c r="P602" s="202"/>
      <c r="Q602" s="202"/>
      <c r="R602" s="1">
        <v>0</v>
      </c>
      <c r="S602" s="1">
        <v>0</v>
      </c>
      <c r="T602" s="1">
        <v>0</v>
      </c>
      <c r="U602" s="322">
        <f xml:space="preserve"> U406 * ( 1 - U540 ) * ( $N520 = '2.1 Model setup'!$K$45 ) +  U406 * ( $N520 = '2.1 Model setup'!$K$47 )</f>
        <v>0</v>
      </c>
      <c r="V602" s="1">
        <f xml:space="preserve"> V406 * ( 1 - V540 ) * ( $N520 = '2.1 Model setup'!$K$45 ) +  V406 * ( $N520 = '2.1 Model setup'!$K$47 )</f>
        <v>0</v>
      </c>
      <c r="W602" s="4">
        <f t="shared" si="94"/>
        <v>0</v>
      </c>
    </row>
    <row r="603" spans="4:23" ht="15" customHeight="1">
      <c r="D603" s="85" t="str">
        <f xml:space="preserve"> '2.1 Model setup'!K76</f>
        <v>2.3 Måleradministration og kundehåndtering</v>
      </c>
      <c r="K603" s="5" t="str">
        <f t="shared" si="93"/>
        <v>DKKt</v>
      </c>
      <c r="O603" s="202"/>
      <c r="P603" s="202"/>
      <c r="Q603" s="202"/>
      <c r="R603" s="1">
        <v>0</v>
      </c>
      <c r="S603" s="1">
        <v>0</v>
      </c>
      <c r="T603" s="1">
        <v>0</v>
      </c>
      <c r="U603" s="322">
        <f xml:space="preserve"> U407 * ( 1 - U541 ) * ( $N521 = '2.1 Model setup'!$K$45 ) +  U407 * ( $N521 = '2.1 Model setup'!$K$47 )</f>
        <v>0</v>
      </c>
      <c r="V603" s="1">
        <f xml:space="preserve"> V407 * ( 1 - V541 ) * ( $N521 = '2.1 Model setup'!$K$45 ) +  V407 * ( $N521 = '2.1 Model setup'!$K$47 )</f>
        <v>0</v>
      </c>
      <c r="W603" s="4">
        <f t="shared" si="94"/>
        <v>0</v>
      </c>
    </row>
    <row r="604" spans="4:23" ht="15" customHeight="1">
      <c r="D604" s="85" t="str">
        <f xml:space="preserve"> '2.1 Model setup'!K77</f>
        <v>3.1 Generel administration</v>
      </c>
      <c r="K604" s="5" t="str">
        <f t="shared" si="93"/>
        <v>DKKt</v>
      </c>
      <c r="O604" s="202"/>
      <c r="P604" s="202"/>
      <c r="Q604" s="202"/>
      <c r="R604" s="1">
        <v>0</v>
      </c>
      <c r="S604" s="1">
        <v>0</v>
      </c>
      <c r="T604" s="1">
        <v>0</v>
      </c>
      <c r="U604" s="322">
        <f xml:space="preserve"> U408 * ( 1 - U542 ) * ( $N522 = '2.1 Model setup'!$K$45 ) +  U408 * ( $N522 = '2.1 Model setup'!$K$47 )</f>
        <v>0</v>
      </c>
      <c r="V604" s="1">
        <f xml:space="preserve"> V408 * ( 1 - V542 ) * ( $N522 = '2.1 Model setup'!$K$45 ) +  V408 * ( $N522 = '2.1 Model setup'!$K$47 )</f>
        <v>0</v>
      </c>
      <c r="W604" s="4">
        <f t="shared" si="94"/>
        <v>0</v>
      </c>
    </row>
    <row r="605" spans="4:23" ht="15" customHeight="1">
      <c r="D605" s="85" t="str">
        <f xml:space="preserve"> '2.1 Model setup'!K78</f>
        <v>4.1 Omkostninger vedrørende nettab i transformerstationer</v>
      </c>
      <c r="K605" s="5" t="str">
        <f t="shared" si="93"/>
        <v>DKKt</v>
      </c>
      <c r="O605" s="202"/>
      <c r="P605" s="202"/>
      <c r="Q605" s="202"/>
      <c r="R605" s="1">
        <v>0</v>
      </c>
      <c r="S605" s="1">
        <v>0</v>
      </c>
      <c r="T605" s="1">
        <v>0</v>
      </c>
      <c r="U605" s="322">
        <f xml:space="preserve"> U409 * ( 1 - U543 ) * ( $N523 = '2.1 Model setup'!$K$45 ) +  U409 * ( $N523 = '2.1 Model setup'!$K$47 )</f>
        <v>0</v>
      </c>
      <c r="V605" s="1">
        <f xml:space="preserve"> V409 * ( 1 - V543 ) * ( $N523 = '2.1 Model setup'!$K$45 ) +  V409 * ( $N523 = '2.1 Model setup'!$K$47 )</f>
        <v>0</v>
      </c>
      <c r="W605" s="4">
        <f t="shared" si="94"/>
        <v>0</v>
      </c>
    </row>
    <row r="606" spans="4:23" ht="15" customHeight="1">
      <c r="D606" s="85" t="str">
        <f xml:space="preserve"> '2.1 Model setup'!K79</f>
        <v>4.2 Omkostninger vedrørende nettab i ledningsnettet</v>
      </c>
      <c r="K606" s="5" t="str">
        <f t="shared" si="93"/>
        <v>DKKt</v>
      </c>
      <c r="O606" s="202"/>
      <c r="P606" s="202"/>
      <c r="Q606" s="202"/>
      <c r="R606" s="1">
        <v>0</v>
      </c>
      <c r="S606" s="1">
        <v>0</v>
      </c>
      <c r="T606" s="1">
        <v>0</v>
      </c>
      <c r="U606" s="322">
        <f xml:space="preserve"> U410 * ( 1 - U544 ) * ( $N524 = '2.1 Model setup'!$K$45 ) +  U410 * ( $N524 = '2.1 Model setup'!$K$47 )</f>
        <v>0</v>
      </c>
      <c r="V606" s="1">
        <f xml:space="preserve"> V410 * ( 1 - V544 ) * ( $N524 = '2.1 Model setup'!$K$45 ) +  V410 * ( $N524 = '2.1 Model setup'!$K$47 )</f>
        <v>0</v>
      </c>
      <c r="W606" s="4">
        <f t="shared" si="94"/>
        <v>0</v>
      </c>
    </row>
    <row r="607" spans="4:23" ht="15" customHeight="1">
      <c r="D607" s="85" t="str">
        <f xml:space="preserve"> '2.1 Model setup'!K80</f>
        <v>5.1 Omkostninger til overliggende net ifm. forbrug</v>
      </c>
      <c r="K607" s="5" t="str">
        <f t="shared" si="93"/>
        <v>DKKt</v>
      </c>
      <c r="O607" s="202"/>
      <c r="P607" s="202"/>
      <c r="Q607" s="202"/>
      <c r="R607" s="1">
        <v>0</v>
      </c>
      <c r="S607" s="1">
        <v>0</v>
      </c>
      <c r="T607" s="1">
        <v>0</v>
      </c>
      <c r="U607" s="322">
        <f xml:space="preserve"> U411 * ( 1 - U545 ) * ( $N525 = '2.1 Model setup'!$K$45 ) +  U411 * ( $N525 = '2.1 Model setup'!$K$47 )</f>
        <v>0</v>
      </c>
      <c r="V607" s="1">
        <f xml:space="preserve"> V411 * ( 1 - V545 ) * ( $N525 = '2.1 Model setup'!$K$45 ) +  V411 * ( $N525 = '2.1 Model setup'!$K$47 )</f>
        <v>0</v>
      </c>
      <c r="W607" s="4">
        <f xml:space="preserve"> SUM( R607:V607 )</f>
        <v>0</v>
      </c>
    </row>
    <row r="608" spans="4:23" ht="15" customHeight="1">
      <c r="D608" s="85" t="str">
        <f xml:space="preserve"> '2.1 Model setup'!K81</f>
        <v>5.2 Øvrige omkostninger</v>
      </c>
      <c r="K608" s="5" t="str">
        <f t="shared" si="93"/>
        <v>DKKt</v>
      </c>
      <c r="O608" s="202"/>
      <c r="P608" s="202"/>
      <c r="Q608" s="202"/>
      <c r="R608" s="1">
        <v>0</v>
      </c>
      <c r="S608" s="1">
        <v>0</v>
      </c>
      <c r="T608" s="1">
        <v>0</v>
      </c>
      <c r="U608" s="322">
        <f xml:space="preserve"> U412 * ( 1 - U546 ) * ( $N526 = '2.1 Model setup'!$K$45 ) +  U412 * ( $N526 = '2.1 Model setup'!$K$47 )</f>
        <v>0</v>
      </c>
      <c r="V608" s="1">
        <f xml:space="preserve"> V412 * ( 1 - V546 ) * ( $N526 = '2.1 Model setup'!$K$45 ) +  V412 * ( $N526 = '2.1 Model setup'!$K$47 )</f>
        <v>0</v>
      </c>
      <c r="W608" s="4">
        <f t="shared" si="94"/>
        <v>0</v>
      </c>
    </row>
    <row r="609" spans="4:23" ht="15" customHeight="1">
      <c r="D609" s="85" t="str">
        <f xml:space="preserve"> '2.1 Model setup'!K82</f>
        <v>6.1 Afskrivninger på transformerstationer</v>
      </c>
      <c r="K609" s="5" t="str">
        <f t="shared" si="93"/>
        <v>DKKt</v>
      </c>
      <c r="O609" s="202"/>
      <c r="P609" s="202"/>
      <c r="Q609" s="202"/>
      <c r="R609" s="1">
        <v>0</v>
      </c>
      <c r="S609" s="1">
        <v>0</v>
      </c>
      <c r="T609" s="1">
        <v>0</v>
      </c>
      <c r="U609" s="322">
        <f xml:space="preserve"> U413 * ( 1 - U547 ) * ( $N527 = '2.1 Model setup'!$K$45 ) +  U413 * ( $N527 = '2.1 Model setup'!$K$47 )</f>
        <v>0</v>
      </c>
      <c r="V609" s="1">
        <f xml:space="preserve"> V413 * ( 1 - V547 ) * ( $N527 = '2.1 Model setup'!$K$45 ) +  V413 * ( $N527 = '2.1 Model setup'!$K$47 )</f>
        <v>0</v>
      </c>
      <c r="W609" s="4">
        <f t="shared" si="94"/>
        <v>0</v>
      </c>
    </row>
    <row r="610" spans="4:23" ht="15" customHeight="1">
      <c r="D610" s="85" t="str">
        <f xml:space="preserve"> '2.1 Model setup'!K83</f>
        <v>6.2 Afskrivninger på netaktiver ekskl. målere og transformerstationer</v>
      </c>
      <c r="K610" s="5" t="str">
        <f t="shared" si="93"/>
        <v>DKKt</v>
      </c>
      <c r="O610" s="202"/>
      <c r="P610" s="202"/>
      <c r="Q610" s="202"/>
      <c r="R610" s="1">
        <v>0</v>
      </c>
      <c r="S610" s="1">
        <v>0</v>
      </c>
      <c r="T610" s="1">
        <v>0</v>
      </c>
      <c r="U610" s="322">
        <f xml:space="preserve"> U414 * ( 1 - U548 ) * ( $N528 = '2.1 Model setup'!$K$45 ) +  U414 * ( $N528 = '2.1 Model setup'!$K$47 )</f>
        <v>0</v>
      </c>
      <c r="V610" s="1">
        <f xml:space="preserve"> V414 * ( 1 - V548 ) * ( $N528 = '2.1 Model setup'!$K$45 ) +  V414 * ( $N528 = '2.1 Model setup'!$K$47 )</f>
        <v>0</v>
      </c>
      <c r="W610" s="4">
        <f t="shared" si="94"/>
        <v>0</v>
      </c>
    </row>
    <row r="611" spans="4:23" ht="15" customHeight="1">
      <c r="D611" s="85" t="str">
        <f xml:space="preserve"> '2.1 Model setup'!K84</f>
        <v>6.3 Afskrivninger på målere</v>
      </c>
      <c r="K611" s="5" t="str">
        <f t="shared" si="93"/>
        <v>DKKt</v>
      </c>
      <c r="O611" s="202"/>
      <c r="P611" s="202"/>
      <c r="Q611" s="202"/>
      <c r="R611" s="1">
        <v>0</v>
      </c>
      <c r="S611" s="1">
        <v>0</v>
      </c>
      <c r="T611" s="1">
        <v>0</v>
      </c>
      <c r="U611" s="322">
        <f xml:space="preserve"> U415 * ( 1 - U549 ) * ( $N529 = '2.1 Model setup'!$K$45 ) +  U415 * ( $N529 = '2.1 Model setup'!$K$47 )</f>
        <v>0</v>
      </c>
      <c r="V611" s="1">
        <f xml:space="preserve"> V415 * ( 1 - V549 ) * ( $N529 = '2.1 Model setup'!$K$45 ) +  V415 * ( $N529 = '2.1 Model setup'!$K$47 )</f>
        <v>0</v>
      </c>
      <c r="W611" s="4">
        <f t="shared" si="94"/>
        <v>0</v>
      </c>
    </row>
    <row r="612" spans="4:23" ht="15" customHeight="1">
      <c r="D612" s="85" t="str">
        <f xml:space="preserve"> '2.1 Model setup'!K85</f>
        <v>7.1 Transformerstationer (forrentning)</v>
      </c>
      <c r="K612" s="5" t="str">
        <f t="shared" si="93"/>
        <v>DKKt</v>
      </c>
      <c r="O612" s="202"/>
      <c r="P612" s="202"/>
      <c r="Q612" s="202"/>
      <c r="R612" s="1">
        <v>0</v>
      </c>
      <c r="S612" s="1">
        <v>0</v>
      </c>
      <c r="T612" s="1">
        <v>0</v>
      </c>
      <c r="U612" s="322">
        <f xml:space="preserve"> U416 * ( 1 - U550 ) * ( $N530 = '2.1 Model setup'!$K$45 ) +  U416 * ( $N530 = '2.1 Model setup'!$K$47 )</f>
        <v>0</v>
      </c>
      <c r="V612" s="1">
        <f xml:space="preserve"> V416 * ( 1 - V550 ) * ( $N530 = '2.1 Model setup'!$K$45 ) +  V416 * ( $N530 = '2.1 Model setup'!$K$47 )</f>
        <v>0</v>
      </c>
      <c r="W612" s="4">
        <f t="shared" si="94"/>
        <v>0</v>
      </c>
    </row>
    <row r="613" spans="4:23" ht="15" customHeight="1">
      <c r="D613" s="85" t="str">
        <f xml:space="preserve"> '2.1 Model setup'!K86</f>
        <v>7.2 Netaktiver ekskl. målere og transformerstationer (forrentning)</v>
      </c>
      <c r="K613" s="5" t="str">
        <f t="shared" si="93"/>
        <v>DKKt</v>
      </c>
      <c r="O613" s="202"/>
      <c r="P613" s="202"/>
      <c r="Q613" s="202"/>
      <c r="R613" s="1">
        <v>0</v>
      </c>
      <c r="S613" s="1">
        <v>0</v>
      </c>
      <c r="T613" s="1">
        <v>0</v>
      </c>
      <c r="U613" s="322">
        <f xml:space="preserve"> U417 * ( 1 - U551 ) * ( $N531 = '2.1 Model setup'!$K$45 ) +  U417 * ( $N531 = '2.1 Model setup'!$K$47 )</f>
        <v>0</v>
      </c>
      <c r="V613" s="1">
        <f xml:space="preserve"> V417 * ( 1 - V551 ) * ( $N531 = '2.1 Model setup'!$K$45 ) +  V417 * ( $N531 = '2.1 Model setup'!$K$47 )</f>
        <v>0</v>
      </c>
      <c r="W613" s="4">
        <f t="shared" si="94"/>
        <v>0</v>
      </c>
    </row>
    <row r="614" spans="4:23" ht="15" customHeight="1">
      <c r="D614" s="99" t="str">
        <f xml:space="preserve"> '2.1 Model setup'!K87</f>
        <v>7.3 Målere (forrentning)</v>
      </c>
      <c r="K614" s="5" t="str">
        <f t="shared" si="93"/>
        <v>DKKt</v>
      </c>
      <c r="O614" s="202"/>
      <c r="P614" s="202"/>
      <c r="Q614" s="202"/>
      <c r="R614" s="1">
        <v>0</v>
      </c>
      <c r="S614" s="1">
        <v>0</v>
      </c>
      <c r="T614" s="1">
        <v>0</v>
      </c>
      <c r="U614" s="324">
        <f xml:space="preserve"> U418 * ( 1 - U552 ) * ( $N532 = '2.1 Model setup'!$K$45 ) +  U418 * ( $N532 = '2.1 Model setup'!$K$47 )</f>
        <v>0</v>
      </c>
      <c r="V614" s="1">
        <f xml:space="preserve"> V418 * ( 1 - V552 ) * ( $N532 = '2.1 Model setup'!$K$45 ) +  V418 * ( $N532 = '2.1 Model setup'!$K$47 )</f>
        <v>0</v>
      </c>
      <c r="W614" s="4">
        <f t="shared" si="94"/>
        <v>0</v>
      </c>
    </row>
    <row r="615" spans="4:23" ht="15" customHeight="1">
      <c r="D615" s="186" t="s">
        <v>16</v>
      </c>
      <c r="E615" s="33"/>
      <c r="F615" s="33"/>
      <c r="G615" s="33"/>
      <c r="H615" s="33"/>
      <c r="I615" s="33"/>
      <c r="J615" s="33"/>
      <c r="K615" s="187" t="str">
        <f t="shared" si="93"/>
        <v>DKKt</v>
      </c>
      <c r="L615" s="186"/>
      <c r="M615" s="186"/>
      <c r="N615" s="186"/>
      <c r="O615" s="388"/>
      <c r="P615" s="388"/>
      <c r="Q615" s="388"/>
      <c r="R615" s="186">
        <f t="shared" ref="R615:W615" si="95" xml:space="preserve"> SUM( R597:R614 )</f>
        <v>0</v>
      </c>
      <c r="S615" s="186">
        <f t="shared" si="95"/>
        <v>0</v>
      </c>
      <c r="T615" s="186">
        <f t="shared" si="95"/>
        <v>0</v>
      </c>
      <c r="U615" s="186">
        <f t="shared" si="95"/>
        <v>0</v>
      </c>
      <c r="V615" s="186">
        <f t="shared" si="95"/>
        <v>0</v>
      </c>
      <c r="W615" s="186">
        <f t="shared" si="95"/>
        <v>0</v>
      </c>
    </row>
    <row r="617" spans="4:23" ht="15" customHeight="1">
      <c r="D617" s="35" t="s">
        <v>450</v>
      </c>
      <c r="E617" s="27"/>
      <c r="F617" s="27"/>
      <c r="G617" s="27"/>
      <c r="H617" s="27"/>
      <c r="I617" s="27"/>
      <c r="J617" s="27"/>
      <c r="K617" s="32"/>
      <c r="L617" s="27"/>
      <c r="M617" s="27"/>
      <c r="N617" s="27"/>
      <c r="O617" s="27"/>
      <c r="P617" s="27"/>
      <c r="Q617" s="27"/>
      <c r="R617" s="27"/>
      <c r="S617" s="27"/>
      <c r="T617" s="27"/>
      <c r="U617" s="27"/>
      <c r="V617" s="27"/>
      <c r="W617" s="185" t="s">
        <v>16</v>
      </c>
    </row>
    <row r="618" spans="4:23" ht="15" customHeight="1">
      <c r="D618" s="85" t="str">
        <f xml:space="preserve"> '2.1 Model setup'!K70</f>
        <v>1.1 Drift og vedligeholdelse af transformerstationer</v>
      </c>
      <c r="K618" s="5" t="str">
        <f t="shared" ref="K618:K636" si="96" xml:space="preserve"> Model.Units</f>
        <v>DKKt</v>
      </c>
      <c r="O618" s="202"/>
      <c r="P618" s="202"/>
      <c r="Q618" s="202"/>
      <c r="R618" s="1">
        <f xml:space="preserve"> R422 * ( 1 - R535 ) * ( $N515 = '2.1 Model setup'!$K$45 ) +  R422 * ( $N515 = '2.1 Model setup'!$K$47 )</f>
        <v>0</v>
      </c>
      <c r="S618" s="1">
        <f xml:space="preserve"> S422 * ( 1 - S535 ) * ( $N515 = '2.1 Model setup'!$K$45 ) +  S422 * ( $N515 = '2.1 Model setup'!$K$47 )</f>
        <v>0</v>
      </c>
      <c r="T618" s="1">
        <f xml:space="preserve"> T422 * ( 1 - T535 ) * ( $N515 = '2.1 Model setup'!$K$45 ) +  T422 * ( $N515 = '2.1 Model setup'!$K$47 )</f>
        <v>0</v>
      </c>
      <c r="U618" s="1">
        <v>0</v>
      </c>
      <c r="V618" s="320">
        <f xml:space="preserve"> V422 * ( 1 - V535 ) * ( $N515 = '2.1 Model setup'!$K$45 ) +  V422 * ( $N515 = '2.1 Model setup'!$K$47 )</f>
        <v>0</v>
      </c>
      <c r="W618" s="4">
        <f t="shared" ref="W618:W635" si="97" xml:space="preserve"> SUM( R618:V618 )</f>
        <v>0</v>
      </c>
    </row>
    <row r="619" spans="4:23" ht="15" customHeight="1">
      <c r="D619" s="85" t="str">
        <f xml:space="preserve"> '2.1 Model setup'!K71</f>
        <v>1.2 Drift og vedligeholdelse af ledningsnet</v>
      </c>
      <c r="K619" s="5" t="str">
        <f t="shared" si="96"/>
        <v>DKKt</v>
      </c>
      <c r="O619" s="202"/>
      <c r="P619" s="202"/>
      <c r="Q619" s="202"/>
      <c r="R619" s="1">
        <f xml:space="preserve"> R423 * ( 1 - R536 ) * ( $N516 = '2.1 Model setup'!$K$45 ) +  R423 * ( $N516 = '2.1 Model setup'!$K$47 )</f>
        <v>0</v>
      </c>
      <c r="S619" s="1">
        <f xml:space="preserve"> S423 * ( 1 - S536 ) * ( $N516 = '2.1 Model setup'!$K$45 ) +  S423 * ( $N516 = '2.1 Model setup'!$K$47 )</f>
        <v>0</v>
      </c>
      <c r="T619" s="1">
        <f xml:space="preserve"> T423 * ( 1 - T536 ) * ( $N516 = '2.1 Model setup'!$K$45 ) +  T423 * ( $N516 = '2.1 Model setup'!$K$47 )</f>
        <v>0</v>
      </c>
      <c r="U619" s="1">
        <v>0</v>
      </c>
      <c r="V619" s="322">
        <f xml:space="preserve"> V423 * ( 1 - V536 ) * ( $N516 = '2.1 Model setup'!$K$45 ) +  V423 * ( $N516 = '2.1 Model setup'!$K$47 )</f>
        <v>0</v>
      </c>
      <c r="W619" s="4">
        <f t="shared" si="97"/>
        <v>0</v>
      </c>
    </row>
    <row r="620" spans="4:23" ht="15" customHeight="1">
      <c r="D620" s="85" t="str">
        <f xml:space="preserve"> '2.1 Model setup'!K72</f>
        <v>1.3 Øvrige omkostninger til drift, styring og kontrol af elnettet</v>
      </c>
      <c r="K620" s="5" t="str">
        <f t="shared" si="96"/>
        <v>DKKt</v>
      </c>
      <c r="O620" s="202"/>
      <c r="P620" s="202"/>
      <c r="Q620" s="202"/>
      <c r="R620" s="1">
        <f xml:space="preserve"> R424 * ( 1 - R537 ) * ( $N517 = '2.1 Model setup'!$K$45 ) +  R424 * ( $N517 = '2.1 Model setup'!$K$47 )</f>
        <v>0</v>
      </c>
      <c r="S620" s="1">
        <f xml:space="preserve"> S424 * ( 1 - S537 ) * ( $N517 = '2.1 Model setup'!$K$45 ) +  S424 * ( $N517 = '2.1 Model setup'!$K$47 )</f>
        <v>0</v>
      </c>
      <c r="T620" s="1">
        <f xml:space="preserve"> T424 * ( 1 - T537 ) * ( $N517 = '2.1 Model setup'!$K$45 ) +  T424 * ( $N517 = '2.1 Model setup'!$K$47 )</f>
        <v>0</v>
      </c>
      <c r="U620" s="1">
        <v>0</v>
      </c>
      <c r="V620" s="322">
        <f xml:space="preserve"> V424 * ( 1 - V537 ) * ( $N517 = '2.1 Model setup'!$K$45 ) +  V424 * ( $N517 = '2.1 Model setup'!$K$47 )</f>
        <v>0</v>
      </c>
      <c r="W620" s="4">
        <f t="shared" si="97"/>
        <v>0</v>
      </c>
    </row>
    <row r="621" spans="4:23" ht="15" customHeight="1">
      <c r="D621" s="85" t="str">
        <f xml:space="preserve"> '2.1 Model setup'!K73</f>
        <v>1.4 Omkostninger vedrørende 132-150/30-60 kV-stationer</v>
      </c>
      <c r="K621" s="5" t="str">
        <f t="shared" si="96"/>
        <v>DKKt</v>
      </c>
      <c r="O621" s="202"/>
      <c r="P621" s="202"/>
      <c r="Q621" s="202"/>
      <c r="R621" s="1">
        <f xml:space="preserve"> R425 * ( 1 - R538 ) * ( $N518 = '2.1 Model setup'!$K$45 ) +  R425 * ( $N518 = '2.1 Model setup'!$K$47 )</f>
        <v>0</v>
      </c>
      <c r="S621" s="1">
        <f xml:space="preserve"> S425 * ( 1 - S538 ) * ( $N518 = '2.1 Model setup'!$K$45 ) +  S425 * ( $N518 = '2.1 Model setup'!$K$47 )</f>
        <v>0</v>
      </c>
      <c r="T621" s="1">
        <f xml:space="preserve"> T425 * ( 1 - T538 ) * ( $N518 = '2.1 Model setup'!$K$45 ) +  T425 * ( $N518 = '2.1 Model setup'!$K$47 )</f>
        <v>0</v>
      </c>
      <c r="U621" s="1">
        <v>0</v>
      </c>
      <c r="V621" s="322">
        <f xml:space="preserve"> V425 * ( 1 - V538 ) * ( $N518 = '2.1 Model setup'!$K$45 ) +  V425 * ( $N518 = '2.1 Model setup'!$K$47 )</f>
        <v>0</v>
      </c>
      <c r="W621" s="4">
        <f xml:space="preserve"> SUM( R621:V621 )</f>
        <v>0</v>
      </c>
    </row>
    <row r="622" spans="4:23" ht="15" customHeight="1">
      <c r="D622" s="85" t="str">
        <f xml:space="preserve"> '2.1 Model setup'!K74</f>
        <v>2.1 Drift og vedligeholdelse af målere</v>
      </c>
      <c r="K622" s="5" t="str">
        <f t="shared" si="96"/>
        <v>DKKt</v>
      </c>
      <c r="O622" s="202"/>
      <c r="P622" s="202"/>
      <c r="Q622" s="202"/>
      <c r="R622" s="1">
        <f xml:space="preserve"> R426 * ( 1 - R539 ) * ( $N519 = '2.1 Model setup'!$K$45 ) +  R426 * ( $N519 = '2.1 Model setup'!$K$47 )</f>
        <v>0</v>
      </c>
      <c r="S622" s="1">
        <f xml:space="preserve"> S426 * ( 1 - S539 ) * ( $N519 = '2.1 Model setup'!$K$45 ) +  S426 * ( $N519 = '2.1 Model setup'!$K$47 )</f>
        <v>0</v>
      </c>
      <c r="T622" s="1">
        <f xml:space="preserve"> T426 * ( 1 - T539 ) * ( $N519 = '2.1 Model setup'!$K$45 ) +  T426 * ( $N519 = '2.1 Model setup'!$K$47 )</f>
        <v>0</v>
      </c>
      <c r="U622" s="1">
        <v>0</v>
      </c>
      <c r="V622" s="322">
        <f xml:space="preserve"> V426 * ( 1 - V539 ) * ( $N519 = '2.1 Model setup'!$K$45 ) +  V426 * ( $N519 = '2.1 Model setup'!$K$47 )</f>
        <v>0</v>
      </c>
      <c r="W622" s="4">
        <f t="shared" si="97"/>
        <v>0</v>
      </c>
    </row>
    <row r="623" spans="4:23" ht="15" customHeight="1">
      <c r="D623" s="85" t="str">
        <f xml:space="preserve"> '2.1 Model setup'!K75</f>
        <v>2.2 Indhentning og validering af målerdata</v>
      </c>
      <c r="K623" s="5" t="str">
        <f t="shared" si="96"/>
        <v>DKKt</v>
      </c>
      <c r="O623" s="202"/>
      <c r="P623" s="202"/>
      <c r="Q623" s="202"/>
      <c r="R623" s="1">
        <f xml:space="preserve"> R427 * ( 1 - R540 ) * ( $N520 = '2.1 Model setup'!$K$45 ) +  R427 * ( $N520 = '2.1 Model setup'!$K$47 )</f>
        <v>0</v>
      </c>
      <c r="S623" s="1">
        <f xml:space="preserve"> S427 * ( 1 - S540 ) * ( $N520 = '2.1 Model setup'!$K$45 ) +  S427 * ( $N520 = '2.1 Model setup'!$K$47 )</f>
        <v>0</v>
      </c>
      <c r="T623" s="1">
        <f xml:space="preserve"> T427 * ( 1 - T540 ) * ( $N520 = '2.1 Model setup'!$K$45 ) +  T427 * ( $N520 = '2.1 Model setup'!$K$47 )</f>
        <v>0</v>
      </c>
      <c r="U623" s="1">
        <v>0</v>
      </c>
      <c r="V623" s="322">
        <f xml:space="preserve"> V427 * ( 1 - V540 ) * ( $N520 = '2.1 Model setup'!$K$45 ) +  V427 * ( $N520 = '2.1 Model setup'!$K$47 )</f>
        <v>0</v>
      </c>
      <c r="W623" s="4">
        <f t="shared" si="97"/>
        <v>0</v>
      </c>
    </row>
    <row r="624" spans="4:23" ht="15" customHeight="1">
      <c r="D624" s="85" t="str">
        <f xml:space="preserve"> '2.1 Model setup'!K76</f>
        <v>2.3 Måleradministration og kundehåndtering</v>
      </c>
      <c r="K624" s="5" t="str">
        <f t="shared" si="96"/>
        <v>DKKt</v>
      </c>
      <c r="O624" s="202"/>
      <c r="P624" s="202"/>
      <c r="Q624" s="202"/>
      <c r="R624" s="1">
        <f xml:space="preserve"> R428 * ( 1 - R541 ) * ( $N521 = '2.1 Model setup'!$K$45 ) +  R428 * ( $N521 = '2.1 Model setup'!$K$47 )</f>
        <v>0</v>
      </c>
      <c r="S624" s="1">
        <f xml:space="preserve"> S428 * ( 1 - S541 ) * ( $N521 = '2.1 Model setup'!$K$45 ) +  S428 * ( $N521 = '2.1 Model setup'!$K$47 )</f>
        <v>0</v>
      </c>
      <c r="T624" s="1">
        <f xml:space="preserve"> T428 * ( 1 - T541 ) * ( $N521 = '2.1 Model setup'!$K$45 ) +  T428 * ( $N521 = '2.1 Model setup'!$K$47 )</f>
        <v>0</v>
      </c>
      <c r="U624" s="1">
        <v>0</v>
      </c>
      <c r="V624" s="322">
        <f xml:space="preserve"> V428 * ( 1 - V541 ) * ( $N521 = '2.1 Model setup'!$K$45 ) +  V428 * ( $N521 = '2.1 Model setup'!$K$47 )</f>
        <v>0</v>
      </c>
      <c r="W624" s="4">
        <f t="shared" si="97"/>
        <v>0</v>
      </c>
    </row>
    <row r="625" spans="4:23" ht="15" customHeight="1">
      <c r="D625" s="85" t="str">
        <f xml:space="preserve"> '2.1 Model setup'!K77</f>
        <v>3.1 Generel administration</v>
      </c>
      <c r="K625" s="5" t="str">
        <f t="shared" si="96"/>
        <v>DKKt</v>
      </c>
      <c r="O625" s="202"/>
      <c r="P625" s="202"/>
      <c r="Q625" s="202"/>
      <c r="R625" s="1">
        <f xml:space="preserve"> R429 * ( 1 - R542 ) * ( $N522 = '2.1 Model setup'!$K$45 ) +  R429 * ( $N522 = '2.1 Model setup'!$K$47 )</f>
        <v>0</v>
      </c>
      <c r="S625" s="1">
        <f xml:space="preserve"> S429 * ( 1 - S542 ) * ( $N522 = '2.1 Model setup'!$K$45 ) +  S429 * ( $N522 = '2.1 Model setup'!$K$47 )</f>
        <v>0</v>
      </c>
      <c r="T625" s="1">
        <f xml:space="preserve"> T429 * ( 1 - T542 ) * ( $N522 = '2.1 Model setup'!$K$45 ) +  T429 * ( $N522 = '2.1 Model setup'!$K$47 )</f>
        <v>0</v>
      </c>
      <c r="U625" s="1">
        <v>0</v>
      </c>
      <c r="V625" s="322">
        <f xml:space="preserve"> V429 * ( 1 - V542 ) * ( $N522 = '2.1 Model setup'!$K$45 ) +  V429 * ( $N522 = '2.1 Model setup'!$K$47 )</f>
        <v>0</v>
      </c>
      <c r="W625" s="4">
        <f t="shared" si="97"/>
        <v>0</v>
      </c>
    </row>
    <row r="626" spans="4:23" ht="15" customHeight="1">
      <c r="D626" s="85" t="str">
        <f xml:space="preserve"> '2.1 Model setup'!K78</f>
        <v>4.1 Omkostninger vedrørende nettab i transformerstationer</v>
      </c>
      <c r="K626" s="5" t="str">
        <f t="shared" si="96"/>
        <v>DKKt</v>
      </c>
      <c r="O626" s="202"/>
      <c r="P626" s="202"/>
      <c r="Q626" s="202"/>
      <c r="R626" s="1">
        <f xml:space="preserve"> R430 * ( 1 - R543 ) * ( $N523 = '2.1 Model setup'!$K$45 ) +  R430 * ( $N523 = '2.1 Model setup'!$K$47 )</f>
        <v>0</v>
      </c>
      <c r="S626" s="1">
        <f xml:space="preserve"> S430 * ( 1 - S543 ) * ( $N523 = '2.1 Model setup'!$K$45 ) +  S430 * ( $N523 = '2.1 Model setup'!$K$47 )</f>
        <v>0</v>
      </c>
      <c r="T626" s="1">
        <f xml:space="preserve"> T430 * ( 1 - T543 ) * ( $N523 = '2.1 Model setup'!$K$45 ) +  T430 * ( $N523 = '2.1 Model setup'!$K$47 )</f>
        <v>0</v>
      </c>
      <c r="U626" s="1">
        <v>0</v>
      </c>
      <c r="V626" s="322">
        <f xml:space="preserve"> V430 * ( 1 - V543 ) * ( $N523 = '2.1 Model setup'!$K$45 ) +  V430 * ( $N523 = '2.1 Model setup'!$K$47 )</f>
        <v>0</v>
      </c>
      <c r="W626" s="4">
        <f t="shared" si="97"/>
        <v>0</v>
      </c>
    </row>
    <row r="627" spans="4:23" ht="15" customHeight="1">
      <c r="D627" s="85" t="str">
        <f xml:space="preserve"> '2.1 Model setup'!K79</f>
        <v>4.2 Omkostninger vedrørende nettab i ledningsnettet</v>
      </c>
      <c r="K627" s="5" t="str">
        <f t="shared" si="96"/>
        <v>DKKt</v>
      </c>
      <c r="O627" s="202"/>
      <c r="P627" s="202"/>
      <c r="Q627" s="202"/>
      <c r="R627" s="1">
        <f xml:space="preserve"> R431 * ( 1 - R544 ) * ( $N524 = '2.1 Model setup'!$K$45 ) +  R431 * ( $N524 = '2.1 Model setup'!$K$47 )</f>
        <v>0</v>
      </c>
      <c r="S627" s="1">
        <f xml:space="preserve"> S431 * ( 1 - S544 ) * ( $N524 = '2.1 Model setup'!$K$45 ) +  S431 * ( $N524 = '2.1 Model setup'!$K$47 )</f>
        <v>0</v>
      </c>
      <c r="T627" s="1">
        <f xml:space="preserve"> T431 * ( 1 - T544 ) * ( $N524 = '2.1 Model setup'!$K$45 ) +  T431 * ( $N524 = '2.1 Model setup'!$K$47 )</f>
        <v>0</v>
      </c>
      <c r="U627" s="1">
        <v>0</v>
      </c>
      <c r="V627" s="322">
        <f xml:space="preserve"> V431 * ( 1 - V544 ) * ( $N524 = '2.1 Model setup'!$K$45 ) +  V431 * ( $N524 = '2.1 Model setup'!$K$47 )</f>
        <v>0</v>
      </c>
      <c r="W627" s="4">
        <f t="shared" si="97"/>
        <v>0</v>
      </c>
    </row>
    <row r="628" spans="4:23" ht="15" customHeight="1">
      <c r="D628" s="85" t="str">
        <f xml:space="preserve"> '2.1 Model setup'!K80</f>
        <v>5.1 Omkostninger til overliggende net ifm. forbrug</v>
      </c>
      <c r="K628" s="5" t="str">
        <f t="shared" si="96"/>
        <v>DKKt</v>
      </c>
      <c r="O628" s="202"/>
      <c r="P628" s="202"/>
      <c r="Q628" s="202"/>
      <c r="R628" s="1">
        <f xml:space="preserve"> R432 * ( 1 - R545 ) * ( $N525 = '2.1 Model setup'!$K$45 ) +  R432 * ( $N525 = '2.1 Model setup'!$K$47 )</f>
        <v>0</v>
      </c>
      <c r="S628" s="1">
        <f xml:space="preserve"> S432 * ( 1 - S545 ) * ( $N525 = '2.1 Model setup'!$K$45 ) +  S432 * ( $N525 = '2.1 Model setup'!$K$47 )</f>
        <v>0</v>
      </c>
      <c r="T628" s="1">
        <f xml:space="preserve"> T432 * ( 1 - T545 ) * ( $N525 = '2.1 Model setup'!$K$45 ) +  T432 * ( $N525 = '2.1 Model setup'!$K$47 )</f>
        <v>0</v>
      </c>
      <c r="U628" s="1">
        <v>0</v>
      </c>
      <c r="V628" s="322">
        <f xml:space="preserve"> V432 * ( 1 - V545 ) * ( $N525 = '2.1 Model setup'!$K$45 ) +  V432 * ( $N525 = '2.1 Model setup'!$K$47 )</f>
        <v>0</v>
      </c>
      <c r="W628" s="4">
        <f xml:space="preserve"> SUM( R628:V628 )</f>
        <v>0</v>
      </c>
    </row>
    <row r="629" spans="4:23" ht="15" customHeight="1">
      <c r="D629" s="85" t="str">
        <f xml:space="preserve"> '2.1 Model setup'!K81</f>
        <v>5.2 Øvrige omkostninger</v>
      </c>
      <c r="K629" s="5" t="str">
        <f t="shared" si="96"/>
        <v>DKKt</v>
      </c>
      <c r="O629" s="202"/>
      <c r="P629" s="202"/>
      <c r="Q629" s="202"/>
      <c r="R629" s="1">
        <f xml:space="preserve"> R433 * ( 1 - R546 ) * ( $N526 = '2.1 Model setup'!$K$45 ) +  R433 * ( $N526 = '2.1 Model setup'!$K$47 )</f>
        <v>0</v>
      </c>
      <c r="S629" s="1">
        <f xml:space="preserve"> S433 * ( 1 - S546 ) * ( $N526 = '2.1 Model setup'!$K$45 ) +  S433 * ( $N526 = '2.1 Model setup'!$K$47 )</f>
        <v>0</v>
      </c>
      <c r="T629" s="1">
        <f xml:space="preserve"> T433 * ( 1 - T546 ) * ( $N526 = '2.1 Model setup'!$K$45 ) +  T433 * ( $N526 = '2.1 Model setup'!$K$47 )</f>
        <v>0</v>
      </c>
      <c r="U629" s="1">
        <v>0</v>
      </c>
      <c r="V629" s="322">
        <f xml:space="preserve"> V433 * ( 1 - V546 ) * ( $N526 = '2.1 Model setup'!$K$45 ) +  V433 * ( $N526 = '2.1 Model setup'!$K$47 )</f>
        <v>0</v>
      </c>
      <c r="W629" s="4">
        <f t="shared" si="97"/>
        <v>0</v>
      </c>
    </row>
    <row r="630" spans="4:23" ht="15" customHeight="1">
      <c r="D630" s="85" t="str">
        <f xml:space="preserve"> '2.1 Model setup'!K82</f>
        <v>6.1 Afskrivninger på transformerstationer</v>
      </c>
      <c r="K630" s="5" t="str">
        <f t="shared" si="96"/>
        <v>DKKt</v>
      </c>
      <c r="O630" s="202"/>
      <c r="P630" s="202"/>
      <c r="Q630" s="202"/>
      <c r="R630" s="1">
        <f xml:space="preserve"> R434 * ( 1 - R547 ) * ( $N527 = '2.1 Model setup'!$K$45 ) +  R434 * ( $N527 = '2.1 Model setup'!$K$47 )</f>
        <v>0</v>
      </c>
      <c r="S630" s="1">
        <f xml:space="preserve"> S434 * ( 1 - S547 ) * ( $N527 = '2.1 Model setup'!$K$45 ) +  S434 * ( $N527 = '2.1 Model setup'!$K$47 )</f>
        <v>0</v>
      </c>
      <c r="T630" s="1">
        <f xml:space="preserve"> T434 * ( 1 - T547 ) * ( $N527 = '2.1 Model setup'!$K$45 ) +  T434 * ( $N527 = '2.1 Model setup'!$K$47 )</f>
        <v>0</v>
      </c>
      <c r="U630" s="1">
        <v>0</v>
      </c>
      <c r="V630" s="322">
        <f xml:space="preserve"> V434 * ( 1 - V547 ) * ( $N527 = '2.1 Model setup'!$K$45 ) +  V434 * ( $N527 = '2.1 Model setup'!$K$47 )</f>
        <v>0</v>
      </c>
      <c r="W630" s="4">
        <f t="shared" si="97"/>
        <v>0</v>
      </c>
    </row>
    <row r="631" spans="4:23" ht="15" customHeight="1">
      <c r="D631" s="85" t="str">
        <f xml:space="preserve"> '2.1 Model setup'!K83</f>
        <v>6.2 Afskrivninger på netaktiver ekskl. målere og transformerstationer</v>
      </c>
      <c r="K631" s="5" t="str">
        <f t="shared" si="96"/>
        <v>DKKt</v>
      </c>
      <c r="O631" s="202"/>
      <c r="P631" s="202"/>
      <c r="Q631" s="202"/>
      <c r="R631" s="1">
        <f xml:space="preserve"> R435 * ( 1 - R548 ) * ( $N528 = '2.1 Model setup'!$K$45 ) +  R435 * ( $N528 = '2.1 Model setup'!$K$47 )</f>
        <v>0</v>
      </c>
      <c r="S631" s="1">
        <f xml:space="preserve"> S435 * ( 1 - S548 ) * ( $N528 = '2.1 Model setup'!$K$45 ) +  S435 * ( $N528 = '2.1 Model setup'!$K$47 )</f>
        <v>0</v>
      </c>
      <c r="T631" s="1">
        <f xml:space="preserve"> T435 * ( 1 - T548 ) * ( $N528 = '2.1 Model setup'!$K$45 ) +  T435 * ( $N528 = '2.1 Model setup'!$K$47 )</f>
        <v>0</v>
      </c>
      <c r="U631" s="1">
        <v>0</v>
      </c>
      <c r="V631" s="322">
        <f xml:space="preserve"> V435 * ( 1 - V548 ) * ( $N528 = '2.1 Model setup'!$K$45 ) +  V435 * ( $N528 = '2.1 Model setup'!$K$47 )</f>
        <v>0</v>
      </c>
      <c r="W631" s="4">
        <f t="shared" si="97"/>
        <v>0</v>
      </c>
    </row>
    <row r="632" spans="4:23" ht="15" customHeight="1">
      <c r="D632" s="85" t="str">
        <f xml:space="preserve"> '2.1 Model setup'!K84</f>
        <v>6.3 Afskrivninger på målere</v>
      </c>
      <c r="K632" s="5" t="str">
        <f t="shared" si="96"/>
        <v>DKKt</v>
      </c>
      <c r="O632" s="202"/>
      <c r="P632" s="202"/>
      <c r="Q632" s="202"/>
      <c r="R632" s="1">
        <f xml:space="preserve"> R436 * ( 1 - R549 ) * ( $N529 = '2.1 Model setup'!$K$45 ) +  R436 * ( $N529 = '2.1 Model setup'!$K$47 )</f>
        <v>0</v>
      </c>
      <c r="S632" s="1">
        <f xml:space="preserve"> S436 * ( 1 - S549 ) * ( $N529 = '2.1 Model setup'!$K$45 ) +  S436 * ( $N529 = '2.1 Model setup'!$K$47 )</f>
        <v>0</v>
      </c>
      <c r="T632" s="1">
        <f xml:space="preserve"> T436 * ( 1 - T549 ) * ( $N529 = '2.1 Model setup'!$K$45 ) +  T436 * ( $N529 = '2.1 Model setup'!$K$47 )</f>
        <v>0</v>
      </c>
      <c r="U632" s="1">
        <v>0</v>
      </c>
      <c r="V632" s="322">
        <f xml:space="preserve"> V436 * ( 1 - V549 ) * ( $N529 = '2.1 Model setup'!$K$45 ) +  V436 * ( $N529 = '2.1 Model setup'!$K$47 )</f>
        <v>0</v>
      </c>
      <c r="W632" s="4">
        <f t="shared" si="97"/>
        <v>0</v>
      </c>
    </row>
    <row r="633" spans="4:23" ht="15" customHeight="1">
      <c r="D633" s="85" t="str">
        <f xml:space="preserve"> '2.1 Model setup'!K85</f>
        <v>7.1 Transformerstationer (forrentning)</v>
      </c>
      <c r="K633" s="5" t="str">
        <f t="shared" si="96"/>
        <v>DKKt</v>
      </c>
      <c r="O633" s="202"/>
      <c r="P633" s="202"/>
      <c r="Q633" s="202"/>
      <c r="R633" s="1">
        <f xml:space="preserve"> R437 * ( 1 - R550 ) * ( $N530 = '2.1 Model setup'!$K$45 ) +  R437 * ( $N530 = '2.1 Model setup'!$K$47 )</f>
        <v>0</v>
      </c>
      <c r="S633" s="1">
        <f xml:space="preserve"> S437 * ( 1 - S550 ) * ( $N530 = '2.1 Model setup'!$K$45 ) +  S437 * ( $N530 = '2.1 Model setup'!$K$47 )</f>
        <v>0</v>
      </c>
      <c r="T633" s="1">
        <f xml:space="preserve"> T437 * ( 1 - T550 ) * ( $N530 = '2.1 Model setup'!$K$45 ) +  T437 * ( $N530 = '2.1 Model setup'!$K$47 )</f>
        <v>0</v>
      </c>
      <c r="U633" s="1">
        <v>0</v>
      </c>
      <c r="V633" s="322">
        <f xml:space="preserve"> V437 * ( 1 - V550 ) * ( $N530 = '2.1 Model setup'!$K$45 ) +  V437 * ( $N530 = '2.1 Model setup'!$K$47 )</f>
        <v>0</v>
      </c>
      <c r="W633" s="4">
        <f t="shared" si="97"/>
        <v>0</v>
      </c>
    </row>
    <row r="634" spans="4:23" ht="15" customHeight="1">
      <c r="D634" s="85" t="str">
        <f xml:space="preserve"> '2.1 Model setup'!K86</f>
        <v>7.2 Netaktiver ekskl. målere og transformerstationer (forrentning)</v>
      </c>
      <c r="K634" s="5" t="str">
        <f t="shared" si="96"/>
        <v>DKKt</v>
      </c>
      <c r="O634" s="202"/>
      <c r="P634" s="202"/>
      <c r="Q634" s="202"/>
      <c r="R634" s="1">
        <f xml:space="preserve"> R438 * ( 1 - R551 ) * ( $N531 = '2.1 Model setup'!$K$45 ) +  R438 * ( $N531 = '2.1 Model setup'!$K$47 )</f>
        <v>0</v>
      </c>
      <c r="S634" s="1">
        <f xml:space="preserve"> S438 * ( 1 - S551 ) * ( $N531 = '2.1 Model setup'!$K$45 ) +  S438 * ( $N531 = '2.1 Model setup'!$K$47 )</f>
        <v>0</v>
      </c>
      <c r="T634" s="1">
        <f xml:space="preserve"> T438 * ( 1 - T551 ) * ( $N531 = '2.1 Model setup'!$K$45 ) +  T438 * ( $N531 = '2.1 Model setup'!$K$47 )</f>
        <v>0</v>
      </c>
      <c r="U634" s="1">
        <v>0</v>
      </c>
      <c r="V634" s="322">
        <f xml:space="preserve"> V438 * ( 1 - V551 ) * ( $N531 = '2.1 Model setup'!$K$45 ) +  V438 * ( $N531 = '2.1 Model setup'!$K$47 )</f>
        <v>0</v>
      </c>
      <c r="W634" s="4">
        <f t="shared" si="97"/>
        <v>0</v>
      </c>
    </row>
    <row r="635" spans="4:23" ht="15" customHeight="1">
      <c r="D635" s="99" t="str">
        <f xml:space="preserve"> '2.1 Model setup'!K87</f>
        <v>7.3 Målere (forrentning)</v>
      </c>
      <c r="K635" s="5" t="str">
        <f t="shared" si="96"/>
        <v>DKKt</v>
      </c>
      <c r="O635" s="202"/>
      <c r="P635" s="202"/>
      <c r="Q635" s="202"/>
      <c r="R635" s="1">
        <f xml:space="preserve"> R439 * ( 1 - R552 ) * ( $N532 = '2.1 Model setup'!$K$45 ) +  R439 * ( $N532 = '2.1 Model setup'!$K$47 )</f>
        <v>0</v>
      </c>
      <c r="S635" s="1">
        <f xml:space="preserve"> S439 * ( 1 - S552 ) * ( $N532 = '2.1 Model setup'!$K$45 ) +  S439 * ( $N532 = '2.1 Model setup'!$K$47 )</f>
        <v>0</v>
      </c>
      <c r="T635" s="1">
        <f xml:space="preserve"> T439 * ( 1 - T552 ) * ( $N532 = '2.1 Model setup'!$K$45 ) +  T439 * ( $N532 = '2.1 Model setup'!$K$47 )</f>
        <v>0</v>
      </c>
      <c r="U635" s="1">
        <v>0</v>
      </c>
      <c r="V635" s="324">
        <f xml:space="preserve"> V439 * ( 1 - V552 ) * ( $N532 = '2.1 Model setup'!$K$45 ) +  V439 * ( $N532 = '2.1 Model setup'!$K$47 )</f>
        <v>0</v>
      </c>
      <c r="W635" s="4">
        <f t="shared" si="97"/>
        <v>0</v>
      </c>
    </row>
    <row r="636" spans="4:23" ht="15" customHeight="1">
      <c r="D636" s="186" t="s">
        <v>16</v>
      </c>
      <c r="E636" s="33"/>
      <c r="F636" s="33"/>
      <c r="G636" s="33"/>
      <c r="H636" s="33"/>
      <c r="I636" s="33"/>
      <c r="J636" s="33"/>
      <c r="K636" s="187" t="str">
        <f t="shared" si="96"/>
        <v>DKKt</v>
      </c>
      <c r="L636" s="186"/>
      <c r="M636" s="186"/>
      <c r="N636" s="186"/>
      <c r="O636" s="388"/>
      <c r="P636" s="388"/>
      <c r="Q636" s="388"/>
      <c r="R636" s="186">
        <f t="shared" ref="R636:W636" si="98" xml:space="preserve"> SUM( R618:R635 )</f>
        <v>0</v>
      </c>
      <c r="S636" s="186">
        <f t="shared" si="98"/>
        <v>0</v>
      </c>
      <c r="T636" s="186">
        <f t="shared" si="98"/>
        <v>0</v>
      </c>
      <c r="U636" s="186">
        <f t="shared" si="98"/>
        <v>0</v>
      </c>
      <c r="V636" s="186">
        <f t="shared" si="98"/>
        <v>0</v>
      </c>
      <c r="W636" s="186">
        <f t="shared" si="98"/>
        <v>0</v>
      </c>
    </row>
    <row r="638" spans="4:23" ht="15" customHeight="1">
      <c r="D638" s="35" t="s">
        <v>445</v>
      </c>
      <c r="E638" s="27"/>
      <c r="F638" s="27"/>
      <c r="G638" s="27"/>
      <c r="H638" s="27"/>
      <c r="I638" s="27"/>
      <c r="J638" s="27"/>
      <c r="K638" s="32"/>
      <c r="M638" s="27"/>
      <c r="N638" s="27"/>
      <c r="O638" s="27"/>
      <c r="P638" s="27"/>
      <c r="Q638" s="27"/>
      <c r="R638" s="27"/>
      <c r="S638" s="27"/>
      <c r="T638" s="27"/>
      <c r="U638" s="27"/>
      <c r="V638" s="27"/>
      <c r="W638" s="185" t="s">
        <v>16</v>
      </c>
    </row>
    <row r="639" spans="4:23" ht="15" customHeight="1">
      <c r="D639" s="85" t="str">
        <f xml:space="preserve"> '2.1 Model setup'!K70</f>
        <v>1.1 Drift og vedligeholdelse af transformerstationer</v>
      </c>
      <c r="K639" s="5" t="str">
        <f t="shared" ref="K639:K657" si="99" xml:space="preserve"> Model.Units</f>
        <v>DKKt</v>
      </c>
      <c r="L639" s="123" cm="1">
        <f t="array" ref="L639" xml:space="preserve">  -- ( SUMPRODUCT( -- ( ROUND( R639:W639, 5 ) &lt;&gt; ( ROUND( R555:W555 + R576:W576 + R597:W597 + R618:W618, 5 ) ) ) ) &gt; 0 )</f>
        <v>0</v>
      </c>
      <c r="O639" s="202"/>
      <c r="P639" s="202"/>
      <c r="Q639" s="202"/>
      <c r="R639" s="1">
        <f xml:space="preserve"> R485 * ( 1 - R535 ) * ( $N515 = '2.1 Model setup'!$K$45 ) +  R485 * ( $N515 = '2.1 Model setup'!$K$47 )</f>
        <v>0</v>
      </c>
      <c r="S639" s="1">
        <f xml:space="preserve"> S485 * ( 1 - S535 ) * ( $N515 = '2.1 Model setup'!$K$45 ) +  S485 * ( $N515 = '2.1 Model setup'!$K$47 )</f>
        <v>0</v>
      </c>
      <c r="T639" s="1">
        <f xml:space="preserve"> T485 * ( 1 - T535 ) * ( $N515 = '2.1 Model setup'!$K$45 ) +  T485 * ( $N515 = '2.1 Model setup'!$K$47 )</f>
        <v>0</v>
      </c>
      <c r="U639" s="1">
        <f xml:space="preserve"> U485 * ( 1 - U535 ) * ( $N515 = '2.1 Model setup'!$K$45 ) +  U485 * ( $N515 = '2.1 Model setup'!$K$47 )</f>
        <v>0</v>
      </c>
      <c r="V639" s="1">
        <f xml:space="preserve"> V485 * ( 1 - V535 ) * ( $N515 = '2.1 Model setup'!$K$45 ) +  V485 * ( $N515 = '2.1 Model setup'!$K$47 )</f>
        <v>0</v>
      </c>
      <c r="W639" s="4">
        <f t="shared" ref="W639:W656" si="100" xml:space="preserve"> SUM( R639:V639 )</f>
        <v>0</v>
      </c>
    </row>
    <row r="640" spans="4:23" ht="15" customHeight="1">
      <c r="D640" s="85" t="str">
        <f xml:space="preserve"> '2.1 Model setup'!K71</f>
        <v>1.2 Drift og vedligeholdelse af ledningsnet</v>
      </c>
      <c r="K640" s="5" t="str">
        <f t="shared" si="99"/>
        <v>DKKt</v>
      </c>
      <c r="L640" s="85" cm="1">
        <f t="array" ref="L640" xml:space="preserve">  -- ( SUMPRODUCT( -- ( ROUND( R640:W640, 5 ) &lt;&gt; ( ROUND( R556:W556 + R577:W577 + R598:W598 + R619:W619, 5 ) ) ) ) &gt; 0 )</f>
        <v>0</v>
      </c>
      <c r="O640" s="202"/>
      <c r="P640" s="202"/>
      <c r="Q640" s="202"/>
      <c r="R640" s="1">
        <f xml:space="preserve"> R486 * ( 1 - R536 ) * ( $N516 = '2.1 Model setup'!$K$45 ) +  R486 * ( $N516 = '2.1 Model setup'!$K$47 )</f>
        <v>0</v>
      </c>
      <c r="S640" s="1">
        <f xml:space="preserve"> S486 * ( 1 - S536 ) * ( $N516 = '2.1 Model setup'!$K$45 ) +  S486 * ( $N516 = '2.1 Model setup'!$K$47 )</f>
        <v>0</v>
      </c>
      <c r="T640" s="1">
        <f xml:space="preserve"> T486 * ( 1 - T536 ) * ( $N516 = '2.1 Model setup'!$K$45 ) +  T486 * ( $N516 = '2.1 Model setup'!$K$47 )</f>
        <v>0</v>
      </c>
      <c r="U640" s="1">
        <f xml:space="preserve"> U486 * ( 1 - U536 ) * ( $N516 = '2.1 Model setup'!$K$45 ) +  U486 * ( $N516 = '2.1 Model setup'!$K$47 )</f>
        <v>0</v>
      </c>
      <c r="V640" s="1">
        <f xml:space="preserve"> V486 * ( 1 - V536 ) * ( $N516 = '2.1 Model setup'!$K$45 ) +  V486 * ( $N516 = '2.1 Model setup'!$K$47 )</f>
        <v>0</v>
      </c>
      <c r="W640" s="4">
        <f t="shared" si="100"/>
        <v>0</v>
      </c>
    </row>
    <row r="641" spans="4:23" ht="15" customHeight="1">
      <c r="D641" s="85" t="str">
        <f xml:space="preserve"> '2.1 Model setup'!K72</f>
        <v>1.3 Øvrige omkostninger til drift, styring og kontrol af elnettet</v>
      </c>
      <c r="K641" s="5" t="str">
        <f t="shared" si="99"/>
        <v>DKKt</v>
      </c>
      <c r="L641" s="85" cm="1">
        <f t="array" ref="L641" xml:space="preserve">  -- ( SUMPRODUCT( -- ( ROUND( R641:W641, 5 ) &lt;&gt; ( ROUND( R557:W557 + R578:W578 + R599:W599 + R620:W620, 5 ) ) ) ) &gt; 0 )</f>
        <v>0</v>
      </c>
      <c r="O641" s="202"/>
      <c r="P641" s="202"/>
      <c r="Q641" s="202"/>
      <c r="R641" s="1">
        <f xml:space="preserve"> R487 * ( 1 - R537 ) * ( $N517 = '2.1 Model setup'!$K$45 ) +  R487 * ( $N517 = '2.1 Model setup'!$K$47 )</f>
        <v>0</v>
      </c>
      <c r="S641" s="1">
        <f xml:space="preserve"> S487 * ( 1 - S537 ) * ( $N517 = '2.1 Model setup'!$K$45 ) +  S487 * ( $N517 = '2.1 Model setup'!$K$47 )</f>
        <v>0</v>
      </c>
      <c r="T641" s="1">
        <f xml:space="preserve"> T487 * ( 1 - T537 ) * ( $N517 = '2.1 Model setup'!$K$45 ) +  T487 * ( $N517 = '2.1 Model setup'!$K$47 )</f>
        <v>0</v>
      </c>
      <c r="U641" s="1">
        <f xml:space="preserve"> U487 * ( 1 - U537 ) * ( $N517 = '2.1 Model setup'!$K$45 ) +  U487 * ( $N517 = '2.1 Model setup'!$K$47 )</f>
        <v>0</v>
      </c>
      <c r="V641" s="1">
        <f xml:space="preserve"> V487 * ( 1 - V537 ) * ( $N517 = '2.1 Model setup'!$K$45 ) +  V487 * ( $N517 = '2.1 Model setup'!$K$47 )</f>
        <v>0</v>
      </c>
      <c r="W641" s="4">
        <f t="shared" si="100"/>
        <v>0</v>
      </c>
    </row>
    <row r="642" spans="4:23" ht="15" customHeight="1">
      <c r="D642" s="85" t="str">
        <f xml:space="preserve"> '2.1 Model setup'!K73</f>
        <v>1.4 Omkostninger vedrørende 132-150/30-60 kV-stationer</v>
      </c>
      <c r="K642" s="5" t="str">
        <f t="shared" si="99"/>
        <v>DKKt</v>
      </c>
      <c r="L642" s="85" cm="1">
        <f t="array" ref="L642" xml:space="preserve">  -- ( SUMPRODUCT( -- ( ROUND( R642:W642, 5 ) &lt;&gt; ( ROUND( R558:W558 + R579:W579 + R600:W600 + R621:W621, 5 ) ) ) ) &gt; 0 )</f>
        <v>0</v>
      </c>
      <c r="O642" s="202"/>
      <c r="P642" s="202"/>
      <c r="Q642" s="202"/>
      <c r="R642" s="1">
        <f xml:space="preserve"> R488 * ( 1 - R538 ) * ( $N518 = '2.1 Model setup'!$K$45 ) +  R488 * ( $N518 = '2.1 Model setup'!$K$47 )</f>
        <v>0</v>
      </c>
      <c r="S642" s="1">
        <f xml:space="preserve"> S488 * ( 1 - S538 ) * ( $N518 = '2.1 Model setup'!$K$45 ) +  S488 * ( $N518 = '2.1 Model setup'!$K$47 )</f>
        <v>0</v>
      </c>
      <c r="T642" s="1">
        <f xml:space="preserve"> T488 * ( 1 - T538 ) * ( $N518 = '2.1 Model setup'!$K$45 ) +  T488 * ( $N518 = '2.1 Model setup'!$K$47 )</f>
        <v>0</v>
      </c>
      <c r="U642" s="1">
        <f xml:space="preserve"> U488 * ( 1 - U538 ) * ( $N518 = '2.1 Model setup'!$K$45 ) +  U488 * ( $N518 = '2.1 Model setup'!$K$47 )</f>
        <v>0</v>
      </c>
      <c r="V642" s="1">
        <f xml:space="preserve"> V488 * ( 1 - V538 ) * ( $N518 = '2.1 Model setup'!$K$45 ) +  V488 * ( $N518 = '2.1 Model setup'!$K$47 )</f>
        <v>0</v>
      </c>
      <c r="W642" s="4">
        <f xml:space="preserve"> SUM( R642:V642 )</f>
        <v>0</v>
      </c>
    </row>
    <row r="643" spans="4:23" ht="15" customHeight="1">
      <c r="D643" s="85" t="str">
        <f xml:space="preserve"> '2.1 Model setup'!K74</f>
        <v>2.1 Drift og vedligeholdelse af målere</v>
      </c>
      <c r="K643" s="5" t="str">
        <f t="shared" si="99"/>
        <v>DKKt</v>
      </c>
      <c r="L643" s="85" cm="1">
        <f t="array" ref="L643" xml:space="preserve">  -- ( SUMPRODUCT( -- ( ROUND( R643:W643, 5 ) &lt;&gt; ( ROUND( R559:W559 + R580:W580 + R601:W601 + R622:W622, 5 ) ) ) ) &gt; 0 )</f>
        <v>0</v>
      </c>
      <c r="O643" s="202"/>
      <c r="P643" s="202"/>
      <c r="Q643" s="202"/>
      <c r="R643" s="1">
        <f xml:space="preserve"> R489 * ( 1 - R539 ) * ( $N519 = '2.1 Model setup'!$K$45 ) +  R489 * ( $N519 = '2.1 Model setup'!$K$47 )</f>
        <v>0</v>
      </c>
      <c r="S643" s="1">
        <f xml:space="preserve"> S489 * ( 1 - S539 ) * ( $N519 = '2.1 Model setup'!$K$45 ) +  S489 * ( $N519 = '2.1 Model setup'!$K$47 )</f>
        <v>0</v>
      </c>
      <c r="T643" s="1">
        <f xml:space="preserve"> T489 * ( 1 - T539 ) * ( $N519 = '2.1 Model setup'!$K$45 ) +  T489 * ( $N519 = '2.1 Model setup'!$K$47 )</f>
        <v>0</v>
      </c>
      <c r="U643" s="1">
        <f xml:space="preserve"> U489 * ( 1 - U539 ) * ( $N519 = '2.1 Model setup'!$K$45 ) +  U489 * ( $N519 = '2.1 Model setup'!$K$47 )</f>
        <v>0</v>
      </c>
      <c r="V643" s="1">
        <f xml:space="preserve"> V489 * ( 1 - V539 ) * ( $N519 = '2.1 Model setup'!$K$45 ) +  V489 * ( $N519 = '2.1 Model setup'!$K$47 )</f>
        <v>0</v>
      </c>
      <c r="W643" s="4">
        <f t="shared" si="100"/>
        <v>0</v>
      </c>
    </row>
    <row r="644" spans="4:23" ht="15" customHeight="1">
      <c r="D644" s="85" t="str">
        <f xml:space="preserve"> '2.1 Model setup'!K75</f>
        <v>2.2 Indhentning og validering af målerdata</v>
      </c>
      <c r="K644" s="5" t="str">
        <f t="shared" si="99"/>
        <v>DKKt</v>
      </c>
      <c r="L644" s="85" cm="1">
        <f t="array" ref="L644" xml:space="preserve">  -- ( SUMPRODUCT( -- ( ROUND( R644:W644, 5 ) &lt;&gt; ( ROUND( R560:W560 + R581:W581 + R602:W602 + R623:W623, 5 ) ) ) ) &gt; 0 )</f>
        <v>0</v>
      </c>
      <c r="O644" s="202"/>
      <c r="P644" s="202"/>
      <c r="Q644" s="202"/>
      <c r="R644" s="1">
        <f xml:space="preserve"> R490 * ( 1 - R540 ) * ( $N520 = '2.1 Model setup'!$K$45 ) +  R490 * ( $N520 = '2.1 Model setup'!$K$47 )</f>
        <v>0</v>
      </c>
      <c r="S644" s="1">
        <f xml:space="preserve"> S490 * ( 1 - S540 ) * ( $N520 = '2.1 Model setup'!$K$45 ) +  S490 * ( $N520 = '2.1 Model setup'!$K$47 )</f>
        <v>0</v>
      </c>
      <c r="T644" s="1">
        <f xml:space="preserve"> T490 * ( 1 - T540 ) * ( $N520 = '2.1 Model setup'!$K$45 ) +  T490 * ( $N520 = '2.1 Model setup'!$K$47 )</f>
        <v>0</v>
      </c>
      <c r="U644" s="1">
        <f xml:space="preserve"> U490 * ( 1 - U540 ) * ( $N520 = '2.1 Model setup'!$K$45 ) +  U490 * ( $N520 = '2.1 Model setup'!$K$47 )</f>
        <v>0</v>
      </c>
      <c r="V644" s="1">
        <f xml:space="preserve"> V490 * ( 1 - V540 ) * ( $N520 = '2.1 Model setup'!$K$45 ) +  V490 * ( $N520 = '2.1 Model setup'!$K$47 )</f>
        <v>0</v>
      </c>
      <c r="W644" s="4">
        <f t="shared" si="100"/>
        <v>0</v>
      </c>
    </row>
    <row r="645" spans="4:23" ht="15" customHeight="1">
      <c r="D645" s="85" t="str">
        <f xml:space="preserve"> '2.1 Model setup'!K76</f>
        <v>2.3 Måleradministration og kundehåndtering</v>
      </c>
      <c r="K645" s="5" t="str">
        <f t="shared" si="99"/>
        <v>DKKt</v>
      </c>
      <c r="L645" s="85" cm="1">
        <f t="array" ref="L645" xml:space="preserve">  -- ( SUMPRODUCT( -- ( ROUND( R645:W645, 5 ) &lt;&gt; ( ROUND( R561:W561 + R582:W582 + R603:W603 + R624:W624, 5 ) ) ) ) &gt; 0 )</f>
        <v>0</v>
      </c>
      <c r="O645" s="202"/>
      <c r="P645" s="202"/>
      <c r="Q645" s="202"/>
      <c r="R645" s="1">
        <f xml:space="preserve"> R491 * ( 1 - R541 ) * ( $N521 = '2.1 Model setup'!$K$45 ) +  R491 * ( $N521 = '2.1 Model setup'!$K$47 )</f>
        <v>0</v>
      </c>
      <c r="S645" s="1">
        <f xml:space="preserve"> S491 * ( 1 - S541 ) * ( $N521 = '2.1 Model setup'!$K$45 ) +  S491 * ( $N521 = '2.1 Model setup'!$K$47 )</f>
        <v>0</v>
      </c>
      <c r="T645" s="1">
        <f xml:space="preserve"> T491 * ( 1 - T541 ) * ( $N521 = '2.1 Model setup'!$K$45 ) +  T491 * ( $N521 = '2.1 Model setup'!$K$47 )</f>
        <v>0</v>
      </c>
      <c r="U645" s="1">
        <f xml:space="preserve"> U491 * ( 1 - U541 ) * ( $N521 = '2.1 Model setup'!$K$45 ) +  U491 * ( $N521 = '2.1 Model setup'!$K$47 )</f>
        <v>0</v>
      </c>
      <c r="V645" s="1">
        <f xml:space="preserve"> V491 * ( 1 - V541 ) * ( $N521 = '2.1 Model setup'!$K$45 ) +  V491 * ( $N521 = '2.1 Model setup'!$K$47 )</f>
        <v>0</v>
      </c>
      <c r="W645" s="4">
        <f t="shared" si="100"/>
        <v>0</v>
      </c>
    </row>
    <row r="646" spans="4:23" ht="15" customHeight="1">
      <c r="D646" s="85" t="str">
        <f xml:space="preserve"> '2.1 Model setup'!K77</f>
        <v>3.1 Generel administration</v>
      </c>
      <c r="K646" s="5" t="str">
        <f t="shared" si="99"/>
        <v>DKKt</v>
      </c>
      <c r="L646" s="85" cm="1">
        <f t="array" ref="L646" xml:space="preserve">  -- ( SUMPRODUCT( -- ( ROUND( R646:W646, 5 ) &lt;&gt; ( ROUND( R562:W562 + R583:W583 + R604:W604 + R625:W625, 5 ) ) ) ) &gt; 0 )</f>
        <v>0</v>
      </c>
      <c r="O646" s="202"/>
      <c r="P646" s="202"/>
      <c r="Q646" s="202"/>
      <c r="R646" s="1">
        <f xml:space="preserve"> R492 * ( 1 - R542 ) * ( $N522 = '2.1 Model setup'!$K$45 ) +  R492 * ( $N522 = '2.1 Model setup'!$K$47 )</f>
        <v>0</v>
      </c>
      <c r="S646" s="1">
        <f xml:space="preserve"> S492 * ( 1 - S542 ) * ( $N522 = '2.1 Model setup'!$K$45 ) +  S492 * ( $N522 = '2.1 Model setup'!$K$47 )</f>
        <v>0</v>
      </c>
      <c r="T646" s="1">
        <f xml:space="preserve"> T492 * ( 1 - T542 ) * ( $N522 = '2.1 Model setup'!$K$45 ) +  T492 * ( $N522 = '2.1 Model setup'!$K$47 )</f>
        <v>0</v>
      </c>
      <c r="U646" s="1">
        <f xml:space="preserve"> U492 * ( 1 - U542 ) * ( $N522 = '2.1 Model setup'!$K$45 ) +  U492 * ( $N522 = '2.1 Model setup'!$K$47 )</f>
        <v>0</v>
      </c>
      <c r="V646" s="1">
        <f xml:space="preserve"> V492 * ( 1 - V542 ) * ( $N522 = '2.1 Model setup'!$K$45 ) +  V492 * ( $N522 = '2.1 Model setup'!$K$47 )</f>
        <v>0</v>
      </c>
      <c r="W646" s="4">
        <f t="shared" si="100"/>
        <v>0</v>
      </c>
    </row>
    <row r="647" spans="4:23" ht="15" customHeight="1">
      <c r="D647" s="85" t="str">
        <f xml:space="preserve"> '2.1 Model setup'!K78</f>
        <v>4.1 Omkostninger vedrørende nettab i transformerstationer</v>
      </c>
      <c r="K647" s="5" t="str">
        <f t="shared" si="99"/>
        <v>DKKt</v>
      </c>
      <c r="L647" s="85" cm="1">
        <f t="array" ref="L647" xml:space="preserve">  -- ( SUMPRODUCT( -- ( ROUND( R647:W647, 5 ) &lt;&gt; ( ROUND( R563:W563 + R584:W584 + R605:W605 + R626:W626, 5 ) ) ) ) &gt; 0 )</f>
        <v>0</v>
      </c>
      <c r="O647" s="202"/>
      <c r="P647" s="202"/>
      <c r="Q647" s="202"/>
      <c r="R647" s="1">
        <f xml:space="preserve"> R493 * ( 1 - R543 ) * ( $N523 = '2.1 Model setup'!$K$45 ) +  R493 * ( $N523 = '2.1 Model setup'!$K$47 )</f>
        <v>0</v>
      </c>
      <c r="S647" s="1">
        <f xml:space="preserve"> S493 * ( 1 - S543 ) * ( $N523 = '2.1 Model setup'!$K$45 ) +  S493 * ( $N523 = '2.1 Model setup'!$K$47 )</f>
        <v>0</v>
      </c>
      <c r="T647" s="1">
        <f xml:space="preserve"> T493 * ( 1 - T543 ) * ( $N523 = '2.1 Model setup'!$K$45 ) +  T493 * ( $N523 = '2.1 Model setup'!$K$47 )</f>
        <v>0</v>
      </c>
      <c r="U647" s="1">
        <f xml:space="preserve"> U493 * ( 1 - U543 ) * ( $N523 = '2.1 Model setup'!$K$45 ) +  U493 * ( $N523 = '2.1 Model setup'!$K$47 )</f>
        <v>0</v>
      </c>
      <c r="V647" s="1">
        <f xml:space="preserve"> V493 * ( 1 - V543 ) * ( $N523 = '2.1 Model setup'!$K$45 ) +  V493 * ( $N523 = '2.1 Model setup'!$K$47 )</f>
        <v>0</v>
      </c>
      <c r="W647" s="4">
        <f t="shared" si="100"/>
        <v>0</v>
      </c>
    </row>
    <row r="648" spans="4:23" ht="15" customHeight="1">
      <c r="D648" s="85" t="str">
        <f xml:space="preserve"> '2.1 Model setup'!K79</f>
        <v>4.2 Omkostninger vedrørende nettab i ledningsnettet</v>
      </c>
      <c r="K648" s="5" t="str">
        <f t="shared" si="99"/>
        <v>DKKt</v>
      </c>
      <c r="L648" s="85" cm="1">
        <f t="array" ref="L648" xml:space="preserve">  -- ( SUMPRODUCT( -- ( ROUND( R648:W648, 5 ) &lt;&gt; ( ROUND( R564:W564 + R585:W585 + R606:W606 + R627:W627, 5 ) ) ) ) &gt; 0 )</f>
        <v>0</v>
      </c>
      <c r="O648" s="202"/>
      <c r="P648" s="202"/>
      <c r="Q648" s="202"/>
      <c r="R648" s="1">
        <f xml:space="preserve"> R494 * ( 1 - R544 ) * ( $N524 = '2.1 Model setup'!$K$45 ) +  R494 * ( $N524 = '2.1 Model setup'!$K$47 )</f>
        <v>0</v>
      </c>
      <c r="S648" s="1">
        <f xml:space="preserve"> S494 * ( 1 - S544 ) * ( $N524 = '2.1 Model setup'!$K$45 ) +  S494 * ( $N524 = '2.1 Model setup'!$K$47 )</f>
        <v>0</v>
      </c>
      <c r="T648" s="1">
        <f xml:space="preserve"> T494 * ( 1 - T544 ) * ( $N524 = '2.1 Model setup'!$K$45 ) +  T494 * ( $N524 = '2.1 Model setup'!$K$47 )</f>
        <v>0</v>
      </c>
      <c r="U648" s="1">
        <f xml:space="preserve"> U494 * ( 1 - U544 ) * ( $N524 = '2.1 Model setup'!$K$45 ) +  U494 * ( $N524 = '2.1 Model setup'!$K$47 )</f>
        <v>0</v>
      </c>
      <c r="V648" s="1">
        <f xml:space="preserve"> V494 * ( 1 - V544 ) * ( $N524 = '2.1 Model setup'!$K$45 ) +  V494 * ( $N524 = '2.1 Model setup'!$K$47 )</f>
        <v>0</v>
      </c>
      <c r="W648" s="4">
        <f t="shared" si="100"/>
        <v>0</v>
      </c>
    </row>
    <row r="649" spans="4:23" ht="15" customHeight="1">
      <c r="D649" s="85" t="str">
        <f xml:space="preserve"> '2.1 Model setup'!K80</f>
        <v>5.1 Omkostninger til overliggende net ifm. forbrug</v>
      </c>
      <c r="K649" s="5" t="str">
        <f t="shared" si="99"/>
        <v>DKKt</v>
      </c>
      <c r="L649" s="85" cm="1">
        <f t="array" ref="L649" xml:space="preserve">  -- ( SUMPRODUCT( -- ( ROUND( R649:W649, 5 ) &lt;&gt; ( ROUND( R565:W565 + R586:W586 + R607:W607 + R628:W628, 5 ) ) ) ) &gt; 0 )</f>
        <v>0</v>
      </c>
      <c r="O649" s="202"/>
      <c r="P649" s="202"/>
      <c r="Q649" s="202"/>
      <c r="R649" s="1">
        <f xml:space="preserve"> R495 * ( 1 - R545 ) * ( $N525 = '2.1 Model setup'!$K$45 ) +  R495 * ( $N525 = '2.1 Model setup'!$K$47 )</f>
        <v>0</v>
      </c>
      <c r="S649" s="1">
        <f xml:space="preserve"> S495 * ( 1 - S545 ) * ( $N525 = '2.1 Model setup'!$K$45 ) +  S495 * ( $N525 = '2.1 Model setup'!$K$47 )</f>
        <v>0</v>
      </c>
      <c r="T649" s="1">
        <f xml:space="preserve"> T495 * ( 1 - T545 ) * ( $N525 = '2.1 Model setup'!$K$45 ) +  T495 * ( $N525 = '2.1 Model setup'!$K$47 )</f>
        <v>0</v>
      </c>
      <c r="U649" s="1">
        <f xml:space="preserve"> U495 * ( 1 - U545 ) * ( $N525 = '2.1 Model setup'!$K$45 ) +  U495 * ( $N525 = '2.1 Model setup'!$K$47 )</f>
        <v>0</v>
      </c>
      <c r="V649" s="1">
        <f xml:space="preserve"> V495 * ( 1 - V545 ) * ( $N525 = '2.1 Model setup'!$K$45 ) +  V495 * ( $N525 = '2.1 Model setup'!$K$47 )</f>
        <v>0</v>
      </c>
      <c r="W649" s="4">
        <f xml:space="preserve"> SUM( R649:V649 )</f>
        <v>0</v>
      </c>
    </row>
    <row r="650" spans="4:23" ht="15" customHeight="1">
      <c r="D650" s="85" t="str">
        <f xml:space="preserve"> '2.1 Model setup'!K81</f>
        <v>5.2 Øvrige omkostninger</v>
      </c>
      <c r="K650" s="5" t="str">
        <f t="shared" si="99"/>
        <v>DKKt</v>
      </c>
      <c r="L650" s="85" cm="1">
        <f t="array" ref="L650" xml:space="preserve">  -- ( SUMPRODUCT( -- ( ROUND( R650:W650, 5 ) &lt;&gt; ( ROUND( R566:W566 + R587:W587 + R608:W608 + R629:W629, 5 ) ) ) ) &gt; 0 )</f>
        <v>0</v>
      </c>
      <c r="O650" s="202"/>
      <c r="P650" s="202"/>
      <c r="Q650" s="202"/>
      <c r="R650" s="1">
        <f xml:space="preserve"> R496 * ( 1 - R546 ) * ( $N526 = '2.1 Model setup'!$K$45 ) +  R496 * ( $N526 = '2.1 Model setup'!$K$47 )</f>
        <v>0</v>
      </c>
      <c r="S650" s="1">
        <f xml:space="preserve"> S496 * ( 1 - S546 ) * ( $N526 = '2.1 Model setup'!$K$45 ) +  S496 * ( $N526 = '2.1 Model setup'!$K$47 )</f>
        <v>0</v>
      </c>
      <c r="T650" s="1">
        <f xml:space="preserve"> T496 * ( 1 - T546 ) * ( $N526 = '2.1 Model setup'!$K$45 ) +  T496 * ( $N526 = '2.1 Model setup'!$K$47 )</f>
        <v>0</v>
      </c>
      <c r="U650" s="1">
        <f xml:space="preserve"> U496 * ( 1 - U546 ) * ( $N526 = '2.1 Model setup'!$K$45 ) +  U496 * ( $N526 = '2.1 Model setup'!$K$47 )</f>
        <v>0</v>
      </c>
      <c r="V650" s="1">
        <f xml:space="preserve"> V496 * ( 1 - V546 ) * ( $N526 = '2.1 Model setup'!$K$45 ) +  V496 * ( $N526 = '2.1 Model setup'!$K$47 )</f>
        <v>0</v>
      </c>
      <c r="W650" s="4">
        <f t="shared" si="100"/>
        <v>0</v>
      </c>
    </row>
    <row r="651" spans="4:23" ht="15" customHeight="1">
      <c r="D651" s="85" t="str">
        <f xml:space="preserve"> '2.1 Model setup'!K82</f>
        <v>6.1 Afskrivninger på transformerstationer</v>
      </c>
      <c r="K651" s="5" t="str">
        <f t="shared" si="99"/>
        <v>DKKt</v>
      </c>
      <c r="L651" s="85" cm="1">
        <f t="array" ref="L651" xml:space="preserve">  -- ( SUMPRODUCT( -- ( ROUND( R651:W651, 5 ) &lt;&gt; ( ROUND( R567:W567 + R588:W588 + R609:W609 + R630:W630, 5 ) ) ) ) &gt; 0 )</f>
        <v>0</v>
      </c>
      <c r="O651" s="202"/>
      <c r="P651" s="202"/>
      <c r="Q651" s="202"/>
      <c r="R651" s="1">
        <f xml:space="preserve"> R497 * ( 1 - R547 ) * ( $N527 = '2.1 Model setup'!$K$45 ) +  R497 * ( $N527 = '2.1 Model setup'!$K$47 )</f>
        <v>0</v>
      </c>
      <c r="S651" s="1">
        <f xml:space="preserve"> S497 * ( 1 - S547 ) * ( $N527 = '2.1 Model setup'!$K$45 ) +  S497 * ( $N527 = '2.1 Model setup'!$K$47 )</f>
        <v>0</v>
      </c>
      <c r="T651" s="1">
        <f xml:space="preserve"> T497 * ( 1 - T547 ) * ( $N527 = '2.1 Model setup'!$K$45 ) +  T497 * ( $N527 = '2.1 Model setup'!$K$47 )</f>
        <v>0</v>
      </c>
      <c r="U651" s="1">
        <f xml:space="preserve"> U497 * ( 1 - U547 ) * ( $N527 = '2.1 Model setup'!$K$45 ) +  U497 * ( $N527 = '2.1 Model setup'!$K$47 )</f>
        <v>0</v>
      </c>
      <c r="V651" s="1">
        <f xml:space="preserve"> V497 * ( 1 - V547 ) * ( $N527 = '2.1 Model setup'!$K$45 ) +  V497 * ( $N527 = '2.1 Model setup'!$K$47 )</f>
        <v>0</v>
      </c>
      <c r="W651" s="4">
        <f t="shared" si="100"/>
        <v>0</v>
      </c>
    </row>
    <row r="652" spans="4:23" ht="15" customHeight="1">
      <c r="D652" s="85" t="str">
        <f xml:space="preserve"> '2.1 Model setup'!K83</f>
        <v>6.2 Afskrivninger på netaktiver ekskl. målere og transformerstationer</v>
      </c>
      <c r="K652" s="5" t="str">
        <f t="shared" si="99"/>
        <v>DKKt</v>
      </c>
      <c r="L652" s="85" cm="1">
        <f t="array" ref="L652" xml:space="preserve">  -- ( SUMPRODUCT( -- ( ROUND( R652:W652, 5 ) &lt;&gt; ( ROUND( R568:W568 + R589:W589 + R610:W610 + R631:W631, 5 ) ) ) ) &gt; 0 )</f>
        <v>0</v>
      </c>
      <c r="O652" s="202"/>
      <c r="P652" s="202"/>
      <c r="Q652" s="202"/>
      <c r="R652" s="1">
        <f xml:space="preserve"> R498 * ( 1 - R548 ) * ( $N528 = '2.1 Model setup'!$K$45 ) +  R498 * ( $N528 = '2.1 Model setup'!$K$47 )</f>
        <v>0</v>
      </c>
      <c r="S652" s="1">
        <f xml:space="preserve"> S498 * ( 1 - S548 ) * ( $N528 = '2.1 Model setup'!$K$45 ) +  S498 * ( $N528 = '2.1 Model setup'!$K$47 )</f>
        <v>0</v>
      </c>
      <c r="T652" s="1">
        <f xml:space="preserve"> T498 * ( 1 - T548 ) * ( $N528 = '2.1 Model setup'!$K$45 ) +  T498 * ( $N528 = '2.1 Model setup'!$K$47 )</f>
        <v>0</v>
      </c>
      <c r="U652" s="1">
        <f xml:space="preserve"> U498 * ( 1 - U548 ) * ( $N528 = '2.1 Model setup'!$K$45 ) +  U498 * ( $N528 = '2.1 Model setup'!$K$47 )</f>
        <v>0</v>
      </c>
      <c r="V652" s="1">
        <f xml:space="preserve"> V498 * ( 1 - V548 ) * ( $N528 = '2.1 Model setup'!$K$45 ) +  V498 * ( $N528 = '2.1 Model setup'!$K$47 )</f>
        <v>0</v>
      </c>
      <c r="W652" s="4">
        <f t="shared" si="100"/>
        <v>0</v>
      </c>
    </row>
    <row r="653" spans="4:23" ht="15" customHeight="1">
      <c r="D653" s="85" t="str">
        <f xml:space="preserve"> '2.1 Model setup'!K84</f>
        <v>6.3 Afskrivninger på målere</v>
      </c>
      <c r="K653" s="5" t="str">
        <f t="shared" si="99"/>
        <v>DKKt</v>
      </c>
      <c r="L653" s="85" cm="1">
        <f t="array" ref="L653" xml:space="preserve">  -- ( SUMPRODUCT( -- ( ROUND( R653:W653, 5 ) &lt;&gt; ( ROUND( R569:W569 + R590:W590 + R611:W611 + R632:W632, 5 ) ) ) ) &gt; 0 )</f>
        <v>0</v>
      </c>
      <c r="O653" s="202"/>
      <c r="P653" s="202"/>
      <c r="Q653" s="202"/>
      <c r="R653" s="1">
        <f xml:space="preserve"> R499 * ( 1 - R549 ) * ( $N529 = '2.1 Model setup'!$K$45 ) +  R499 * ( $N529 = '2.1 Model setup'!$K$47 )</f>
        <v>0</v>
      </c>
      <c r="S653" s="1">
        <f xml:space="preserve"> S499 * ( 1 - S549 ) * ( $N529 = '2.1 Model setup'!$K$45 ) +  S499 * ( $N529 = '2.1 Model setup'!$K$47 )</f>
        <v>0</v>
      </c>
      <c r="T653" s="1">
        <f xml:space="preserve"> T499 * ( 1 - T549 ) * ( $N529 = '2.1 Model setup'!$K$45 ) +  T499 * ( $N529 = '2.1 Model setup'!$K$47 )</f>
        <v>0</v>
      </c>
      <c r="U653" s="1">
        <f xml:space="preserve"> U499 * ( 1 - U549 ) * ( $N529 = '2.1 Model setup'!$K$45 ) +  U499 * ( $N529 = '2.1 Model setup'!$K$47 )</f>
        <v>0</v>
      </c>
      <c r="V653" s="1">
        <f xml:space="preserve"> V499 * ( 1 - V549 ) * ( $N529 = '2.1 Model setup'!$K$45 ) +  V499 * ( $N529 = '2.1 Model setup'!$K$47 )</f>
        <v>0</v>
      </c>
      <c r="W653" s="4">
        <f t="shared" si="100"/>
        <v>0</v>
      </c>
    </row>
    <row r="654" spans="4:23" ht="15" customHeight="1">
      <c r="D654" s="85" t="str">
        <f xml:space="preserve"> '2.1 Model setup'!K85</f>
        <v>7.1 Transformerstationer (forrentning)</v>
      </c>
      <c r="K654" s="5" t="str">
        <f t="shared" si="99"/>
        <v>DKKt</v>
      </c>
      <c r="L654" s="85" cm="1">
        <f t="array" ref="L654" xml:space="preserve">  -- ( SUMPRODUCT( -- ( ROUND( R654:W654, 5 ) &lt;&gt; ( ROUND( R570:W570 + R591:W591 + R612:W612 + R633:W633, 5 ) ) ) ) &gt; 0 )</f>
        <v>0</v>
      </c>
      <c r="O654" s="202"/>
      <c r="P654" s="202"/>
      <c r="Q654" s="202"/>
      <c r="R654" s="1">
        <f xml:space="preserve"> R500 * ( 1 - R550 ) * ( $N530 = '2.1 Model setup'!$K$45 ) +  R500 * ( $N530 = '2.1 Model setup'!$K$47 )</f>
        <v>0</v>
      </c>
      <c r="S654" s="1">
        <f xml:space="preserve"> S500 * ( 1 - S550 ) * ( $N530 = '2.1 Model setup'!$K$45 ) +  S500 * ( $N530 = '2.1 Model setup'!$K$47 )</f>
        <v>0</v>
      </c>
      <c r="T654" s="1">
        <f xml:space="preserve"> T500 * ( 1 - T550 ) * ( $N530 = '2.1 Model setup'!$K$45 ) +  T500 * ( $N530 = '2.1 Model setup'!$K$47 )</f>
        <v>0</v>
      </c>
      <c r="U654" s="1">
        <f xml:space="preserve"> U500 * ( 1 - U550 ) * ( $N530 = '2.1 Model setup'!$K$45 ) +  U500 * ( $N530 = '2.1 Model setup'!$K$47 )</f>
        <v>0</v>
      </c>
      <c r="V654" s="1">
        <f xml:space="preserve"> V500 * ( 1 - V550 ) * ( $N530 = '2.1 Model setup'!$K$45 ) +  V500 * ( $N530 = '2.1 Model setup'!$K$47 )</f>
        <v>0</v>
      </c>
      <c r="W654" s="4">
        <f t="shared" si="100"/>
        <v>0</v>
      </c>
    </row>
    <row r="655" spans="4:23" ht="15" customHeight="1">
      <c r="D655" s="85" t="str">
        <f xml:space="preserve"> '2.1 Model setup'!K86</f>
        <v>7.2 Netaktiver ekskl. målere og transformerstationer (forrentning)</v>
      </c>
      <c r="K655" s="5" t="str">
        <f t="shared" si="99"/>
        <v>DKKt</v>
      </c>
      <c r="L655" s="85" cm="1">
        <f t="array" ref="L655" xml:space="preserve">  -- ( SUMPRODUCT( -- ( ROUND( R655:W655, 5 ) &lt;&gt; ( ROUND( R571:W571 + R592:W592 + R613:W613 + R634:W634, 5 ) ) ) ) &gt; 0 )</f>
        <v>0</v>
      </c>
      <c r="O655" s="202"/>
      <c r="P655" s="202"/>
      <c r="Q655" s="202"/>
      <c r="R655" s="1">
        <f xml:space="preserve"> R501 * ( 1 - R551 ) * ( $N531 = '2.1 Model setup'!$K$45 ) +  R501 * ( $N531 = '2.1 Model setup'!$K$47 )</f>
        <v>0</v>
      </c>
      <c r="S655" s="1">
        <f xml:space="preserve"> S501 * ( 1 - S551 ) * ( $N531 = '2.1 Model setup'!$K$45 ) +  S501 * ( $N531 = '2.1 Model setup'!$K$47 )</f>
        <v>0</v>
      </c>
      <c r="T655" s="1">
        <f xml:space="preserve"> T501 * ( 1 - T551 ) * ( $N531 = '2.1 Model setup'!$K$45 ) +  T501 * ( $N531 = '2.1 Model setup'!$K$47 )</f>
        <v>0</v>
      </c>
      <c r="U655" s="1">
        <f xml:space="preserve"> U501 * ( 1 - U551 ) * ( $N531 = '2.1 Model setup'!$K$45 ) +  U501 * ( $N531 = '2.1 Model setup'!$K$47 )</f>
        <v>0</v>
      </c>
      <c r="V655" s="1">
        <f xml:space="preserve"> V501 * ( 1 - V551 ) * ( $N531 = '2.1 Model setup'!$K$45 ) +  V501 * ( $N531 = '2.1 Model setup'!$K$47 )</f>
        <v>0</v>
      </c>
      <c r="W655" s="4">
        <f t="shared" si="100"/>
        <v>0</v>
      </c>
    </row>
    <row r="656" spans="4:23" ht="15" customHeight="1">
      <c r="D656" s="99" t="str">
        <f xml:space="preserve"> '2.1 Model setup'!K87</f>
        <v>7.3 Målere (forrentning)</v>
      </c>
      <c r="K656" s="5" t="str">
        <f t="shared" si="99"/>
        <v>DKKt</v>
      </c>
      <c r="L656" s="85" cm="1">
        <f t="array" ref="L656" xml:space="preserve">  -- ( SUMPRODUCT( -- ( ROUND( R656:W656, 5 ) &lt;&gt; ( ROUND( R572:W572 + R593:W593 + R614:W614 + R635:W635, 5 ) ) ) ) &gt; 0 )</f>
        <v>0</v>
      </c>
      <c r="O656" s="202"/>
      <c r="P656" s="202"/>
      <c r="Q656" s="202"/>
      <c r="R656" s="1">
        <f xml:space="preserve"> R502 * ( 1 - R552 ) * ( $N532 = '2.1 Model setup'!$K$45 ) +  R502 * ( $N532 = '2.1 Model setup'!$K$47 )</f>
        <v>0</v>
      </c>
      <c r="S656" s="1">
        <f xml:space="preserve"> S502 * ( 1 - S552 ) * ( $N532 = '2.1 Model setup'!$K$45 ) +  S502 * ( $N532 = '2.1 Model setup'!$K$47 )</f>
        <v>0</v>
      </c>
      <c r="T656" s="1">
        <f xml:space="preserve"> T502 * ( 1 - T552 ) * ( $N532 = '2.1 Model setup'!$K$45 ) +  T502 * ( $N532 = '2.1 Model setup'!$K$47 )</f>
        <v>0</v>
      </c>
      <c r="U656" s="1">
        <f xml:space="preserve"> U502 * ( 1 - U552 ) * ( $N532 = '2.1 Model setup'!$K$45 ) +  U502 * ( $N532 = '2.1 Model setup'!$K$47 )</f>
        <v>0</v>
      </c>
      <c r="V656" s="1">
        <f xml:space="preserve"> V502 * ( 1 - V552 ) * ( $N532 = '2.1 Model setup'!$K$45 ) +  V502 * ( $N532 = '2.1 Model setup'!$K$47 )</f>
        <v>0</v>
      </c>
      <c r="W656" s="4">
        <f t="shared" si="100"/>
        <v>0</v>
      </c>
    </row>
    <row r="657" spans="4:23" ht="15" customHeight="1">
      <c r="D657" s="186" t="s">
        <v>16</v>
      </c>
      <c r="E657" s="33"/>
      <c r="F657" s="33"/>
      <c r="G657" s="33"/>
      <c r="H657" s="33"/>
      <c r="I657" s="33"/>
      <c r="J657" s="33"/>
      <c r="K657" s="187" t="str">
        <f t="shared" si="99"/>
        <v>DKKt</v>
      </c>
      <c r="L657" s="90" cm="1">
        <f t="array" ref="L657" xml:space="preserve">  -- ( SUMPRODUCT( -- ( ROUND( R657:W657, 5 ) &lt;&gt; ( ROUND( R573:W573 + R594:W594 + R615:W615 + R636:W636, 5 ) ) ) ) &gt; 0 )</f>
        <v>0</v>
      </c>
      <c r="M657" s="186"/>
      <c r="N657" s="186"/>
      <c r="O657" s="388"/>
      <c r="P657" s="388"/>
      <c r="Q657" s="388"/>
      <c r="R657" s="186">
        <f t="shared" ref="R657:W657" si="101" xml:space="preserve"> SUM( R639:R656 )</f>
        <v>0</v>
      </c>
      <c r="S657" s="186">
        <f t="shared" si="101"/>
        <v>0</v>
      </c>
      <c r="T657" s="186">
        <f t="shared" si="101"/>
        <v>0</v>
      </c>
      <c r="U657" s="186">
        <f t="shared" si="101"/>
        <v>0</v>
      </c>
      <c r="V657" s="186">
        <f t="shared" si="101"/>
        <v>0</v>
      </c>
      <c r="W657" s="186">
        <f t="shared" si="101"/>
        <v>0</v>
      </c>
    </row>
    <row r="659" spans="4:23" ht="15" customHeight="1">
      <c r="D659" s="35" t="s">
        <v>197</v>
      </c>
      <c r="E659" s="27"/>
      <c r="F659" s="27"/>
      <c r="G659" s="27"/>
      <c r="H659" s="27"/>
      <c r="I659" s="27"/>
      <c r="J659" s="27"/>
      <c r="K659" s="32"/>
      <c r="L659" s="27"/>
      <c r="M659" s="27"/>
      <c r="N659" s="27"/>
      <c r="O659" s="27"/>
      <c r="P659" s="27"/>
      <c r="Q659" s="27"/>
      <c r="R659" s="27"/>
      <c r="S659" s="27"/>
      <c r="T659" s="27"/>
      <c r="U659" s="27"/>
      <c r="V659" s="27"/>
      <c r="W659" s="185" t="s">
        <v>16</v>
      </c>
    </row>
    <row r="660" spans="4:23" ht="15" customHeight="1">
      <c r="D660" s="85" t="str">
        <f xml:space="preserve"> '2.1 Model setup'!K70</f>
        <v>1.1 Drift og vedligeholdelse af transformerstationer</v>
      </c>
      <c r="K660" s="5" t="str">
        <f t="shared" ref="K660:K678" si="102" xml:space="preserve"> Model.Units</f>
        <v>DKKt</v>
      </c>
      <c r="O660" s="202"/>
      <c r="P660" s="202"/>
      <c r="Q660" s="202"/>
      <c r="R660" s="1">
        <f xml:space="preserve"> R464 * ( 1 - R535 ) * ( $N515 = '2.1 Model setup'!$K$45 ) +  R464 * ( $N515 = '2.1 Model setup'!$K$47 )</f>
        <v>0</v>
      </c>
      <c r="S660" s="1">
        <f xml:space="preserve"> S464 * ( 1 - S535 ) * ( $N515 = '2.1 Model setup'!$K$45 ) +  S464 * ( $N515 = '2.1 Model setup'!$K$47 )</f>
        <v>0</v>
      </c>
      <c r="T660" s="1">
        <f xml:space="preserve"> T464 * ( 1 - T535 ) * ( $N515 = '2.1 Model setup'!$K$45 ) +  T464 * ( $N515 = '2.1 Model setup'!$K$47 )</f>
        <v>0</v>
      </c>
      <c r="U660" s="1">
        <f xml:space="preserve"> U464 * ( 1 - U535 ) * ( $N515 = '2.1 Model setup'!$K$45 ) +  U464 * ( $N515 = '2.1 Model setup'!$K$47 )</f>
        <v>0</v>
      </c>
      <c r="V660" s="1">
        <f xml:space="preserve"> V464 * ( 1 - V535 ) * ( $N515 = '2.1 Model setup'!$K$45 ) +  V464 * ( $N515 = '2.1 Model setup'!$K$47 )</f>
        <v>0</v>
      </c>
      <c r="W660" s="4">
        <f t="shared" ref="W660:W677" si="103" xml:space="preserve"> SUM( R660:V660 )</f>
        <v>0</v>
      </c>
    </row>
    <row r="661" spans="4:23" ht="15" customHeight="1">
      <c r="D661" s="85" t="str">
        <f xml:space="preserve"> '2.1 Model setup'!K71</f>
        <v>1.2 Drift og vedligeholdelse af ledningsnet</v>
      </c>
      <c r="K661" s="5" t="str">
        <f t="shared" si="102"/>
        <v>DKKt</v>
      </c>
      <c r="O661" s="202"/>
      <c r="P661" s="202"/>
      <c r="Q661" s="202"/>
      <c r="R661" s="1">
        <f xml:space="preserve"> R465 * ( 1 - R536 ) * ( $N516 = '2.1 Model setup'!$K$45 ) +  R465 * ( $N516 = '2.1 Model setup'!$K$47 )</f>
        <v>0</v>
      </c>
      <c r="S661" s="1">
        <f xml:space="preserve"> S465 * ( 1 - S536 ) * ( $N516 = '2.1 Model setup'!$K$45 ) +  S465 * ( $N516 = '2.1 Model setup'!$K$47 )</f>
        <v>0</v>
      </c>
      <c r="T661" s="1">
        <f xml:space="preserve"> T465 * ( 1 - T536 ) * ( $N516 = '2.1 Model setup'!$K$45 ) +  T465 * ( $N516 = '2.1 Model setup'!$K$47 )</f>
        <v>0</v>
      </c>
      <c r="U661" s="1">
        <f xml:space="preserve"> U465 * ( 1 - U536 ) * ( $N516 = '2.1 Model setup'!$K$45 ) +  U465 * ( $N516 = '2.1 Model setup'!$K$47 )</f>
        <v>0</v>
      </c>
      <c r="V661" s="1">
        <f xml:space="preserve"> V465 * ( 1 - V536 ) * ( $N516 = '2.1 Model setup'!$K$45 ) +  V465 * ( $N516 = '2.1 Model setup'!$K$47 )</f>
        <v>0</v>
      </c>
      <c r="W661" s="4">
        <f t="shared" si="103"/>
        <v>0</v>
      </c>
    </row>
    <row r="662" spans="4:23" ht="15" customHeight="1">
      <c r="D662" s="85" t="str">
        <f xml:space="preserve"> '2.1 Model setup'!K72</f>
        <v>1.3 Øvrige omkostninger til drift, styring og kontrol af elnettet</v>
      </c>
      <c r="K662" s="5" t="str">
        <f t="shared" si="102"/>
        <v>DKKt</v>
      </c>
      <c r="O662" s="202"/>
      <c r="P662" s="202"/>
      <c r="Q662" s="202"/>
      <c r="R662" s="1">
        <f xml:space="preserve"> R466 * ( 1 - R537 ) * ( $N517 = '2.1 Model setup'!$K$45 ) +  R466 * ( $N517 = '2.1 Model setup'!$K$47 )</f>
        <v>0</v>
      </c>
      <c r="S662" s="1">
        <f xml:space="preserve"> S466 * ( 1 - S537 ) * ( $N517 = '2.1 Model setup'!$K$45 ) +  S466 * ( $N517 = '2.1 Model setup'!$K$47 )</f>
        <v>0</v>
      </c>
      <c r="T662" s="1">
        <f xml:space="preserve"> T466 * ( 1 - T537 ) * ( $N517 = '2.1 Model setup'!$K$45 ) +  T466 * ( $N517 = '2.1 Model setup'!$K$47 )</f>
        <v>0</v>
      </c>
      <c r="U662" s="1">
        <f xml:space="preserve"> U466 * ( 1 - U537 ) * ( $N517 = '2.1 Model setup'!$K$45 ) +  U466 * ( $N517 = '2.1 Model setup'!$K$47 )</f>
        <v>0</v>
      </c>
      <c r="V662" s="1">
        <f xml:space="preserve"> V466 * ( 1 - V537 ) * ( $N517 = '2.1 Model setup'!$K$45 ) +  V466 * ( $N517 = '2.1 Model setup'!$K$47 )</f>
        <v>0</v>
      </c>
      <c r="W662" s="4">
        <f t="shared" si="103"/>
        <v>0</v>
      </c>
    </row>
    <row r="663" spans="4:23" ht="15" customHeight="1">
      <c r="D663" s="85" t="str">
        <f xml:space="preserve"> '2.1 Model setup'!K73</f>
        <v>1.4 Omkostninger vedrørende 132-150/30-60 kV-stationer</v>
      </c>
      <c r="K663" s="5" t="str">
        <f t="shared" si="102"/>
        <v>DKKt</v>
      </c>
      <c r="O663" s="202"/>
      <c r="P663" s="202"/>
      <c r="Q663" s="202"/>
      <c r="R663" s="1">
        <f xml:space="preserve"> R467 * ( 1 - R538 ) * ( $N518 = '2.1 Model setup'!$K$45 ) +  R467 * ( $N518 = '2.1 Model setup'!$K$47 )</f>
        <v>0</v>
      </c>
      <c r="S663" s="1">
        <f xml:space="preserve"> S467 * ( 1 - S538 ) * ( $N518 = '2.1 Model setup'!$K$45 ) +  S467 * ( $N518 = '2.1 Model setup'!$K$47 )</f>
        <v>0</v>
      </c>
      <c r="T663" s="1">
        <f xml:space="preserve"> T467 * ( 1 - T538 ) * ( $N518 = '2.1 Model setup'!$K$45 ) +  T467 * ( $N518 = '2.1 Model setup'!$K$47 )</f>
        <v>0</v>
      </c>
      <c r="U663" s="1">
        <f xml:space="preserve"> U467 * ( 1 - U538 ) * ( $N518 = '2.1 Model setup'!$K$45 ) +  U467 * ( $N518 = '2.1 Model setup'!$K$47 )</f>
        <v>0</v>
      </c>
      <c r="V663" s="1">
        <f xml:space="preserve"> V467 * ( 1 - V538 ) * ( $N518 = '2.1 Model setup'!$K$45 ) +  V467 * ( $N518 = '2.1 Model setup'!$K$47 )</f>
        <v>0</v>
      </c>
      <c r="W663" s="4">
        <f xml:space="preserve"> SUM( R663:V663 )</f>
        <v>0</v>
      </c>
    </row>
    <row r="664" spans="4:23" ht="15" customHeight="1">
      <c r="D664" s="85" t="str">
        <f xml:space="preserve"> '2.1 Model setup'!K74</f>
        <v>2.1 Drift og vedligeholdelse af målere</v>
      </c>
      <c r="K664" s="5" t="str">
        <f t="shared" si="102"/>
        <v>DKKt</v>
      </c>
      <c r="O664" s="202"/>
      <c r="P664" s="202"/>
      <c r="Q664" s="202"/>
      <c r="R664" s="1">
        <f xml:space="preserve"> R468 * ( 1 - R539 ) * ( $N519 = '2.1 Model setup'!$K$45 ) +  R468 * ( $N519 = '2.1 Model setup'!$K$47 )</f>
        <v>0</v>
      </c>
      <c r="S664" s="1">
        <f xml:space="preserve"> S468 * ( 1 - S539 ) * ( $N519 = '2.1 Model setup'!$K$45 ) +  S468 * ( $N519 = '2.1 Model setup'!$K$47 )</f>
        <v>0</v>
      </c>
      <c r="T664" s="1">
        <f xml:space="preserve"> T468 * ( 1 - T539 ) * ( $N519 = '2.1 Model setup'!$K$45 ) +  T468 * ( $N519 = '2.1 Model setup'!$K$47 )</f>
        <v>0</v>
      </c>
      <c r="U664" s="1">
        <f xml:space="preserve"> U468 * ( 1 - U539 ) * ( $N519 = '2.1 Model setup'!$K$45 ) +  U468 * ( $N519 = '2.1 Model setup'!$K$47 )</f>
        <v>0</v>
      </c>
      <c r="V664" s="1">
        <f xml:space="preserve"> V468 * ( 1 - V539 ) * ( $N519 = '2.1 Model setup'!$K$45 ) +  V468 * ( $N519 = '2.1 Model setup'!$K$47 )</f>
        <v>0</v>
      </c>
      <c r="W664" s="4">
        <f t="shared" si="103"/>
        <v>0</v>
      </c>
    </row>
    <row r="665" spans="4:23" ht="15" customHeight="1">
      <c r="D665" s="85" t="str">
        <f xml:space="preserve"> '2.1 Model setup'!K75</f>
        <v>2.2 Indhentning og validering af målerdata</v>
      </c>
      <c r="K665" s="5" t="str">
        <f t="shared" si="102"/>
        <v>DKKt</v>
      </c>
      <c r="O665" s="202"/>
      <c r="P665" s="202"/>
      <c r="Q665" s="202"/>
      <c r="R665" s="1">
        <f xml:space="preserve"> R469 * ( 1 - R540 ) * ( $N520 = '2.1 Model setup'!$K$45 ) +  R469 * ( $N520 = '2.1 Model setup'!$K$47 )</f>
        <v>0</v>
      </c>
      <c r="S665" s="1">
        <f xml:space="preserve"> S469 * ( 1 - S540 ) * ( $N520 = '2.1 Model setup'!$K$45 ) +  S469 * ( $N520 = '2.1 Model setup'!$K$47 )</f>
        <v>0</v>
      </c>
      <c r="T665" s="1">
        <f xml:space="preserve"> T469 * ( 1 - T540 ) * ( $N520 = '2.1 Model setup'!$K$45 ) +  T469 * ( $N520 = '2.1 Model setup'!$K$47 )</f>
        <v>0</v>
      </c>
      <c r="U665" s="1">
        <f xml:space="preserve"> U469 * ( 1 - U540 ) * ( $N520 = '2.1 Model setup'!$K$45 ) +  U469 * ( $N520 = '2.1 Model setup'!$K$47 )</f>
        <v>0</v>
      </c>
      <c r="V665" s="1">
        <f xml:space="preserve"> V469 * ( 1 - V540 ) * ( $N520 = '2.1 Model setup'!$K$45 ) +  V469 * ( $N520 = '2.1 Model setup'!$K$47 )</f>
        <v>0</v>
      </c>
      <c r="W665" s="4">
        <f t="shared" si="103"/>
        <v>0</v>
      </c>
    </row>
    <row r="666" spans="4:23" ht="15" customHeight="1">
      <c r="D666" s="85" t="str">
        <f xml:space="preserve"> '2.1 Model setup'!K76</f>
        <v>2.3 Måleradministration og kundehåndtering</v>
      </c>
      <c r="K666" s="5" t="str">
        <f t="shared" si="102"/>
        <v>DKKt</v>
      </c>
      <c r="O666" s="202"/>
      <c r="P666" s="202"/>
      <c r="Q666" s="202"/>
      <c r="R666" s="1">
        <f xml:space="preserve"> R470 * ( 1 - R541 ) * ( $N521 = '2.1 Model setup'!$K$45 ) +  R470 * ( $N521 = '2.1 Model setup'!$K$47 )</f>
        <v>0</v>
      </c>
      <c r="S666" s="1">
        <f xml:space="preserve"> S470 * ( 1 - S541 ) * ( $N521 = '2.1 Model setup'!$K$45 ) +  S470 * ( $N521 = '2.1 Model setup'!$K$47 )</f>
        <v>0</v>
      </c>
      <c r="T666" s="1">
        <f xml:space="preserve"> T470 * ( 1 - T541 ) * ( $N521 = '2.1 Model setup'!$K$45 ) +  T470 * ( $N521 = '2.1 Model setup'!$K$47 )</f>
        <v>0</v>
      </c>
      <c r="U666" s="1">
        <f xml:space="preserve"> U470 * ( 1 - U541 ) * ( $N521 = '2.1 Model setup'!$K$45 ) +  U470 * ( $N521 = '2.1 Model setup'!$K$47 )</f>
        <v>0</v>
      </c>
      <c r="V666" s="1">
        <f xml:space="preserve"> V470 * ( 1 - V541 ) * ( $N521 = '2.1 Model setup'!$K$45 ) +  V470 * ( $N521 = '2.1 Model setup'!$K$47 )</f>
        <v>0</v>
      </c>
      <c r="W666" s="4">
        <f t="shared" si="103"/>
        <v>0</v>
      </c>
    </row>
    <row r="667" spans="4:23" ht="15" customHeight="1">
      <c r="D667" s="85" t="str">
        <f xml:space="preserve"> '2.1 Model setup'!K77</f>
        <v>3.1 Generel administration</v>
      </c>
      <c r="K667" s="5" t="str">
        <f t="shared" si="102"/>
        <v>DKKt</v>
      </c>
      <c r="O667" s="202"/>
      <c r="P667" s="202"/>
      <c r="Q667" s="202"/>
      <c r="R667" s="1">
        <f xml:space="preserve"> R471 * ( 1 - R542 ) * ( $N522 = '2.1 Model setup'!$K$45 ) +  R471 * ( $N522 = '2.1 Model setup'!$K$47 )</f>
        <v>0</v>
      </c>
      <c r="S667" s="1">
        <f xml:space="preserve"> S471 * ( 1 - S542 ) * ( $N522 = '2.1 Model setup'!$K$45 ) +  S471 * ( $N522 = '2.1 Model setup'!$K$47 )</f>
        <v>0</v>
      </c>
      <c r="T667" s="1">
        <f xml:space="preserve"> T471 * ( 1 - T542 ) * ( $N522 = '2.1 Model setup'!$K$45 ) +  T471 * ( $N522 = '2.1 Model setup'!$K$47 )</f>
        <v>0</v>
      </c>
      <c r="U667" s="1">
        <f xml:space="preserve"> U471 * ( 1 - U542 ) * ( $N522 = '2.1 Model setup'!$K$45 ) +  U471 * ( $N522 = '2.1 Model setup'!$K$47 )</f>
        <v>0</v>
      </c>
      <c r="V667" s="1">
        <f xml:space="preserve"> V471 * ( 1 - V542 ) * ( $N522 = '2.1 Model setup'!$K$45 ) +  V471 * ( $N522 = '2.1 Model setup'!$K$47 )</f>
        <v>0</v>
      </c>
      <c r="W667" s="4">
        <f t="shared" si="103"/>
        <v>0</v>
      </c>
    </row>
    <row r="668" spans="4:23" ht="15" customHeight="1">
      <c r="D668" s="85" t="str">
        <f xml:space="preserve"> '2.1 Model setup'!K78</f>
        <v>4.1 Omkostninger vedrørende nettab i transformerstationer</v>
      </c>
      <c r="K668" s="5" t="str">
        <f t="shared" si="102"/>
        <v>DKKt</v>
      </c>
      <c r="O668" s="202"/>
      <c r="P668" s="202"/>
      <c r="Q668" s="202"/>
      <c r="R668" s="1">
        <f xml:space="preserve"> R472 * ( 1 - R543 ) * ( $N523 = '2.1 Model setup'!$K$45 ) +  R472 * ( $N523 = '2.1 Model setup'!$K$47 )</f>
        <v>0</v>
      </c>
      <c r="S668" s="1">
        <f xml:space="preserve"> S472 * ( 1 - S543 ) * ( $N523 = '2.1 Model setup'!$K$45 ) +  S472 * ( $N523 = '2.1 Model setup'!$K$47 )</f>
        <v>0</v>
      </c>
      <c r="T668" s="1">
        <f xml:space="preserve"> T472 * ( 1 - T543 ) * ( $N523 = '2.1 Model setup'!$K$45 ) +  T472 * ( $N523 = '2.1 Model setup'!$K$47 )</f>
        <v>0</v>
      </c>
      <c r="U668" s="1">
        <f xml:space="preserve"> U472 * ( 1 - U543 ) * ( $N523 = '2.1 Model setup'!$K$45 ) +  U472 * ( $N523 = '2.1 Model setup'!$K$47 )</f>
        <v>0</v>
      </c>
      <c r="V668" s="1">
        <f xml:space="preserve"> V472 * ( 1 - V543 ) * ( $N523 = '2.1 Model setup'!$K$45 ) +  V472 * ( $N523 = '2.1 Model setup'!$K$47 )</f>
        <v>0</v>
      </c>
      <c r="W668" s="4">
        <f t="shared" si="103"/>
        <v>0</v>
      </c>
    </row>
    <row r="669" spans="4:23" ht="15" customHeight="1">
      <c r="D669" s="85" t="str">
        <f xml:space="preserve"> '2.1 Model setup'!K79</f>
        <v>4.2 Omkostninger vedrørende nettab i ledningsnettet</v>
      </c>
      <c r="K669" s="5" t="str">
        <f t="shared" si="102"/>
        <v>DKKt</v>
      </c>
      <c r="O669" s="202"/>
      <c r="P669" s="202"/>
      <c r="Q669" s="202"/>
      <c r="R669" s="1">
        <f xml:space="preserve"> R473 * ( 1 - R544 ) * ( $N524 = '2.1 Model setup'!$K$45 ) +  R473 * ( $N524 = '2.1 Model setup'!$K$47 )</f>
        <v>0</v>
      </c>
      <c r="S669" s="1">
        <f xml:space="preserve"> S473 * ( 1 - S544 ) * ( $N524 = '2.1 Model setup'!$K$45 ) +  S473 * ( $N524 = '2.1 Model setup'!$K$47 )</f>
        <v>0</v>
      </c>
      <c r="T669" s="1">
        <f xml:space="preserve"> T473 * ( 1 - T544 ) * ( $N524 = '2.1 Model setup'!$K$45 ) +  T473 * ( $N524 = '2.1 Model setup'!$K$47 )</f>
        <v>0</v>
      </c>
      <c r="U669" s="1">
        <f xml:space="preserve"> U473 * ( 1 - U544 ) * ( $N524 = '2.1 Model setup'!$K$45 ) +  U473 * ( $N524 = '2.1 Model setup'!$K$47 )</f>
        <v>0</v>
      </c>
      <c r="V669" s="1">
        <f xml:space="preserve"> V473 * ( 1 - V544 ) * ( $N524 = '2.1 Model setup'!$K$45 ) +  V473 * ( $N524 = '2.1 Model setup'!$K$47 )</f>
        <v>0</v>
      </c>
      <c r="W669" s="4">
        <f t="shared" si="103"/>
        <v>0</v>
      </c>
    </row>
    <row r="670" spans="4:23" ht="15" customHeight="1">
      <c r="D670" s="85" t="str">
        <f xml:space="preserve"> '2.1 Model setup'!K80</f>
        <v>5.1 Omkostninger til overliggende net ifm. forbrug</v>
      </c>
      <c r="K670" s="5" t="str">
        <f t="shared" si="102"/>
        <v>DKKt</v>
      </c>
      <c r="O670" s="202"/>
      <c r="P670" s="202"/>
      <c r="Q670" s="202"/>
      <c r="R670" s="1">
        <f xml:space="preserve"> R474 * ( 1 - R545 ) * ( $N525 = '2.1 Model setup'!$K$45 ) +  R474 * ( $N525 = '2.1 Model setup'!$K$47 )</f>
        <v>0</v>
      </c>
      <c r="S670" s="1">
        <f xml:space="preserve"> S474 * ( 1 - S545 ) * ( $N525 = '2.1 Model setup'!$K$45 ) +  S474 * ( $N525 = '2.1 Model setup'!$K$47 )</f>
        <v>0</v>
      </c>
      <c r="T670" s="1">
        <f xml:space="preserve"> T474 * ( 1 - T545 ) * ( $N525 = '2.1 Model setup'!$K$45 ) +  T474 * ( $N525 = '2.1 Model setup'!$K$47 )</f>
        <v>0</v>
      </c>
      <c r="U670" s="1">
        <f xml:space="preserve"> U474 * ( 1 - U545 ) * ( $N525 = '2.1 Model setup'!$K$45 ) +  U474 * ( $N525 = '2.1 Model setup'!$K$47 )</f>
        <v>0</v>
      </c>
      <c r="V670" s="1">
        <f xml:space="preserve"> V474 * ( 1 - V545 ) * ( $N525 = '2.1 Model setup'!$K$45 ) +  V474 * ( $N525 = '2.1 Model setup'!$K$47 )</f>
        <v>0</v>
      </c>
      <c r="W670" s="4">
        <f xml:space="preserve"> SUM( R670:V670 )</f>
        <v>0</v>
      </c>
    </row>
    <row r="671" spans="4:23" ht="15" customHeight="1">
      <c r="D671" s="85" t="str">
        <f xml:space="preserve"> '2.1 Model setup'!K81</f>
        <v>5.2 Øvrige omkostninger</v>
      </c>
      <c r="K671" s="5" t="str">
        <f t="shared" si="102"/>
        <v>DKKt</v>
      </c>
      <c r="O671" s="202"/>
      <c r="P671" s="202"/>
      <c r="Q671" s="202"/>
      <c r="R671" s="1">
        <f xml:space="preserve"> R475 * ( 1 - R546 ) * ( $N526 = '2.1 Model setup'!$K$45 ) +  R475 * ( $N526 = '2.1 Model setup'!$K$47 )</f>
        <v>0</v>
      </c>
      <c r="S671" s="1">
        <f xml:space="preserve"> S475 * ( 1 - S546 ) * ( $N526 = '2.1 Model setup'!$K$45 ) +  S475 * ( $N526 = '2.1 Model setup'!$K$47 )</f>
        <v>0</v>
      </c>
      <c r="T671" s="1">
        <f xml:space="preserve"> T475 * ( 1 - T546 ) * ( $N526 = '2.1 Model setup'!$K$45 ) +  T475 * ( $N526 = '2.1 Model setup'!$K$47 )</f>
        <v>0</v>
      </c>
      <c r="U671" s="1">
        <f xml:space="preserve"> U475 * ( 1 - U546 ) * ( $N526 = '2.1 Model setup'!$K$45 ) +  U475 * ( $N526 = '2.1 Model setup'!$K$47 )</f>
        <v>0</v>
      </c>
      <c r="V671" s="1">
        <f xml:space="preserve"> V475 * ( 1 - V546 ) * ( $N526 = '2.1 Model setup'!$K$45 ) +  V475 * ( $N526 = '2.1 Model setup'!$K$47 )</f>
        <v>0</v>
      </c>
      <c r="W671" s="4">
        <f t="shared" si="103"/>
        <v>0</v>
      </c>
    </row>
    <row r="672" spans="4:23" ht="15" customHeight="1">
      <c r="D672" s="85" t="str">
        <f xml:space="preserve"> '2.1 Model setup'!K82</f>
        <v>6.1 Afskrivninger på transformerstationer</v>
      </c>
      <c r="K672" s="5" t="str">
        <f t="shared" si="102"/>
        <v>DKKt</v>
      </c>
      <c r="O672" s="202"/>
      <c r="P672" s="202"/>
      <c r="Q672" s="202"/>
      <c r="R672" s="1">
        <f xml:space="preserve"> R476 * ( 1 - R547 ) * ( $N527 = '2.1 Model setup'!$K$45 ) +  R476 * ( $N527 = '2.1 Model setup'!$K$47 )</f>
        <v>0</v>
      </c>
      <c r="S672" s="1">
        <f xml:space="preserve"> S476 * ( 1 - S547 ) * ( $N527 = '2.1 Model setup'!$K$45 ) +  S476 * ( $N527 = '2.1 Model setup'!$K$47 )</f>
        <v>0</v>
      </c>
      <c r="T672" s="1">
        <f xml:space="preserve"> T476 * ( 1 - T547 ) * ( $N527 = '2.1 Model setup'!$K$45 ) +  T476 * ( $N527 = '2.1 Model setup'!$K$47 )</f>
        <v>0</v>
      </c>
      <c r="U672" s="1">
        <f xml:space="preserve"> U476 * ( 1 - U547 ) * ( $N527 = '2.1 Model setup'!$K$45 ) +  U476 * ( $N527 = '2.1 Model setup'!$K$47 )</f>
        <v>0</v>
      </c>
      <c r="V672" s="1">
        <f xml:space="preserve"> V476 * ( 1 - V547 ) * ( $N527 = '2.1 Model setup'!$K$45 ) +  V476 * ( $N527 = '2.1 Model setup'!$K$47 )</f>
        <v>0</v>
      </c>
      <c r="W672" s="4">
        <f t="shared" si="103"/>
        <v>0</v>
      </c>
    </row>
    <row r="673" spans="4:23" ht="15" customHeight="1">
      <c r="D673" s="85" t="str">
        <f xml:space="preserve"> '2.1 Model setup'!K83</f>
        <v>6.2 Afskrivninger på netaktiver ekskl. målere og transformerstationer</v>
      </c>
      <c r="K673" s="5" t="str">
        <f t="shared" si="102"/>
        <v>DKKt</v>
      </c>
      <c r="O673" s="202"/>
      <c r="P673" s="202"/>
      <c r="Q673" s="202"/>
      <c r="R673" s="1">
        <f xml:space="preserve"> R477 * ( 1 - R548 ) * ( $N528 = '2.1 Model setup'!$K$45 ) +  R477 * ( $N528 = '2.1 Model setup'!$K$47 )</f>
        <v>0</v>
      </c>
      <c r="S673" s="1">
        <f xml:space="preserve"> S477 * ( 1 - S548 ) * ( $N528 = '2.1 Model setup'!$K$45 ) +  S477 * ( $N528 = '2.1 Model setup'!$K$47 )</f>
        <v>0</v>
      </c>
      <c r="T673" s="1">
        <f xml:space="preserve"> T477 * ( 1 - T548 ) * ( $N528 = '2.1 Model setup'!$K$45 ) +  T477 * ( $N528 = '2.1 Model setup'!$K$47 )</f>
        <v>0</v>
      </c>
      <c r="U673" s="1">
        <f xml:space="preserve"> U477 * ( 1 - U548 ) * ( $N528 = '2.1 Model setup'!$K$45 ) +  U477 * ( $N528 = '2.1 Model setup'!$K$47 )</f>
        <v>0</v>
      </c>
      <c r="V673" s="1">
        <f xml:space="preserve"> V477 * ( 1 - V548 ) * ( $N528 = '2.1 Model setup'!$K$45 ) +  V477 * ( $N528 = '2.1 Model setup'!$K$47 )</f>
        <v>0</v>
      </c>
      <c r="W673" s="4">
        <f t="shared" si="103"/>
        <v>0</v>
      </c>
    </row>
    <row r="674" spans="4:23" ht="15" customHeight="1">
      <c r="D674" s="85" t="str">
        <f xml:space="preserve"> '2.1 Model setup'!K84</f>
        <v>6.3 Afskrivninger på målere</v>
      </c>
      <c r="K674" s="5" t="str">
        <f t="shared" si="102"/>
        <v>DKKt</v>
      </c>
      <c r="O674" s="202"/>
      <c r="P674" s="202"/>
      <c r="Q674" s="202"/>
      <c r="R674" s="1">
        <f xml:space="preserve"> R478 * ( 1 - R549 ) * ( $N529 = '2.1 Model setup'!$K$45 ) +  R478 * ( $N529 = '2.1 Model setup'!$K$47 )</f>
        <v>0</v>
      </c>
      <c r="S674" s="1">
        <f xml:space="preserve"> S478 * ( 1 - S549 ) * ( $N529 = '2.1 Model setup'!$K$45 ) +  S478 * ( $N529 = '2.1 Model setup'!$K$47 )</f>
        <v>0</v>
      </c>
      <c r="T674" s="1">
        <f xml:space="preserve"> T478 * ( 1 - T549 ) * ( $N529 = '2.1 Model setup'!$K$45 ) +  T478 * ( $N529 = '2.1 Model setup'!$K$47 )</f>
        <v>0</v>
      </c>
      <c r="U674" s="1">
        <f xml:space="preserve"> U478 * ( 1 - U549 ) * ( $N529 = '2.1 Model setup'!$K$45 ) +  U478 * ( $N529 = '2.1 Model setup'!$K$47 )</f>
        <v>0</v>
      </c>
      <c r="V674" s="1">
        <f xml:space="preserve"> V478 * ( 1 - V549 ) * ( $N529 = '2.1 Model setup'!$K$45 ) +  V478 * ( $N529 = '2.1 Model setup'!$K$47 )</f>
        <v>0</v>
      </c>
      <c r="W674" s="4">
        <f t="shared" si="103"/>
        <v>0</v>
      </c>
    </row>
    <row r="675" spans="4:23" ht="15" customHeight="1">
      <c r="D675" s="85" t="str">
        <f xml:space="preserve"> '2.1 Model setup'!K85</f>
        <v>7.1 Transformerstationer (forrentning)</v>
      </c>
      <c r="K675" s="5" t="str">
        <f t="shared" si="102"/>
        <v>DKKt</v>
      </c>
      <c r="O675" s="202"/>
      <c r="P675" s="202"/>
      <c r="Q675" s="202"/>
      <c r="R675" s="1">
        <f xml:space="preserve"> R479 * ( 1 - R550 ) * ( $N530 = '2.1 Model setup'!$K$45 ) +  R479 * ( $N530 = '2.1 Model setup'!$K$47 )</f>
        <v>0</v>
      </c>
      <c r="S675" s="1">
        <f xml:space="preserve"> S479 * ( 1 - S550 ) * ( $N530 = '2.1 Model setup'!$K$45 ) +  S479 * ( $N530 = '2.1 Model setup'!$K$47 )</f>
        <v>0</v>
      </c>
      <c r="T675" s="1">
        <f xml:space="preserve"> T479 * ( 1 - T550 ) * ( $N530 = '2.1 Model setup'!$K$45 ) +  T479 * ( $N530 = '2.1 Model setup'!$K$47 )</f>
        <v>0</v>
      </c>
      <c r="U675" s="1">
        <f xml:space="preserve"> U479 * ( 1 - U550 ) * ( $N530 = '2.1 Model setup'!$K$45 ) +  U479 * ( $N530 = '2.1 Model setup'!$K$47 )</f>
        <v>0</v>
      </c>
      <c r="V675" s="1">
        <f xml:space="preserve"> V479 * ( 1 - V550 ) * ( $N530 = '2.1 Model setup'!$K$45 ) +  V479 * ( $N530 = '2.1 Model setup'!$K$47 )</f>
        <v>0</v>
      </c>
      <c r="W675" s="4">
        <f t="shared" si="103"/>
        <v>0</v>
      </c>
    </row>
    <row r="676" spans="4:23" ht="15" customHeight="1">
      <c r="D676" s="85" t="str">
        <f xml:space="preserve"> '2.1 Model setup'!K86</f>
        <v>7.2 Netaktiver ekskl. målere og transformerstationer (forrentning)</v>
      </c>
      <c r="K676" s="5" t="str">
        <f t="shared" si="102"/>
        <v>DKKt</v>
      </c>
      <c r="O676" s="202"/>
      <c r="P676" s="202"/>
      <c r="Q676" s="202"/>
      <c r="R676" s="1">
        <f xml:space="preserve"> R480 * ( 1 - R551 ) * ( $N531 = '2.1 Model setup'!$K$45 ) +  R480 * ( $N531 = '2.1 Model setup'!$K$47 )</f>
        <v>0</v>
      </c>
      <c r="S676" s="1">
        <f xml:space="preserve"> S480 * ( 1 - S551 ) * ( $N531 = '2.1 Model setup'!$K$45 ) +  S480 * ( $N531 = '2.1 Model setup'!$K$47 )</f>
        <v>0</v>
      </c>
      <c r="T676" s="1">
        <f xml:space="preserve"> T480 * ( 1 - T551 ) * ( $N531 = '2.1 Model setup'!$K$45 ) +  T480 * ( $N531 = '2.1 Model setup'!$K$47 )</f>
        <v>0</v>
      </c>
      <c r="U676" s="1">
        <f xml:space="preserve"> U480 * ( 1 - U551 ) * ( $N531 = '2.1 Model setup'!$K$45 ) +  U480 * ( $N531 = '2.1 Model setup'!$K$47 )</f>
        <v>0</v>
      </c>
      <c r="V676" s="1">
        <f xml:space="preserve"> V480 * ( 1 - V551 ) * ( $N531 = '2.1 Model setup'!$K$45 ) +  V480 * ( $N531 = '2.1 Model setup'!$K$47 )</f>
        <v>0</v>
      </c>
      <c r="W676" s="4">
        <f t="shared" si="103"/>
        <v>0</v>
      </c>
    </row>
    <row r="677" spans="4:23" ht="15" customHeight="1">
      <c r="D677" s="99" t="str">
        <f xml:space="preserve"> '2.1 Model setup'!K87</f>
        <v>7.3 Målere (forrentning)</v>
      </c>
      <c r="K677" s="5" t="str">
        <f t="shared" si="102"/>
        <v>DKKt</v>
      </c>
      <c r="O677" s="202"/>
      <c r="P677" s="202"/>
      <c r="Q677" s="202"/>
      <c r="R677" s="1">
        <f xml:space="preserve"> R481 * ( 1 - R552 ) * ( $N532 = '2.1 Model setup'!$K$45 ) +  R481 * ( $N532 = '2.1 Model setup'!$K$47 )</f>
        <v>0</v>
      </c>
      <c r="S677" s="1">
        <f xml:space="preserve"> S481 * ( 1 - S552 ) * ( $N532 = '2.1 Model setup'!$K$45 ) +  S481 * ( $N532 = '2.1 Model setup'!$K$47 )</f>
        <v>0</v>
      </c>
      <c r="T677" s="1">
        <f xml:space="preserve"> T481 * ( 1 - T552 ) * ( $N532 = '2.1 Model setup'!$K$45 ) +  T481 * ( $N532 = '2.1 Model setup'!$K$47 )</f>
        <v>0</v>
      </c>
      <c r="U677" s="1">
        <f xml:space="preserve"> U481 * ( 1 - U552 ) * ( $N532 = '2.1 Model setup'!$K$45 ) +  U481 * ( $N532 = '2.1 Model setup'!$K$47 )</f>
        <v>0</v>
      </c>
      <c r="V677" s="1">
        <f xml:space="preserve"> V481 * ( 1 - V552 ) * ( $N532 = '2.1 Model setup'!$K$45 ) +  V481 * ( $N532 = '2.1 Model setup'!$K$47 )</f>
        <v>0</v>
      </c>
      <c r="W677" s="4">
        <f t="shared" si="103"/>
        <v>0</v>
      </c>
    </row>
    <row r="678" spans="4:23" ht="15" customHeight="1">
      <c r="D678" s="186" t="s">
        <v>16</v>
      </c>
      <c r="E678" s="33"/>
      <c r="F678" s="33"/>
      <c r="G678" s="33"/>
      <c r="H678" s="33"/>
      <c r="I678" s="33"/>
      <c r="J678" s="33"/>
      <c r="K678" s="187" t="str">
        <f t="shared" si="102"/>
        <v>DKKt</v>
      </c>
      <c r="L678" s="186"/>
      <c r="M678" s="186"/>
      <c r="N678" s="186"/>
      <c r="O678" s="388"/>
      <c r="P678" s="388"/>
      <c r="Q678" s="388"/>
      <c r="R678" s="186">
        <f t="shared" ref="R678:W678" si="104" xml:space="preserve"> SUM( R660:R677 )</f>
        <v>0</v>
      </c>
      <c r="S678" s="186">
        <f t="shared" si="104"/>
        <v>0</v>
      </c>
      <c r="T678" s="186">
        <f t="shared" si="104"/>
        <v>0</v>
      </c>
      <c r="U678" s="186">
        <f t="shared" si="104"/>
        <v>0</v>
      </c>
      <c r="V678" s="186">
        <f t="shared" si="104"/>
        <v>0</v>
      </c>
      <c r="W678" s="186">
        <f t="shared" si="104"/>
        <v>0</v>
      </c>
    </row>
    <row r="680" spans="4:23" ht="15" customHeight="1">
      <c r="D680" s="35" t="s">
        <v>446</v>
      </c>
      <c r="E680" s="27"/>
      <c r="F680" s="27"/>
      <c r="G680" s="27"/>
      <c r="H680" s="27"/>
      <c r="I680" s="27"/>
      <c r="J680" s="27"/>
      <c r="K680" s="32"/>
      <c r="L680" s="27"/>
      <c r="M680" s="27"/>
      <c r="N680" s="27"/>
      <c r="O680" s="27"/>
      <c r="P680" s="27"/>
      <c r="Q680" s="27"/>
      <c r="R680" s="27"/>
      <c r="S680" s="27"/>
      <c r="T680" s="27"/>
      <c r="U680" s="27"/>
      <c r="V680" s="27"/>
      <c r="W680" s="185" t="s">
        <v>16</v>
      </c>
    </row>
    <row r="681" spans="4:23" ht="15" customHeight="1">
      <c r="D681" s="85" t="str">
        <f xml:space="preserve"> '2.1 Model setup'!K70</f>
        <v>1.1 Drift og vedligeholdelse af transformerstationer</v>
      </c>
      <c r="K681" s="5" t="str">
        <f t="shared" ref="K681:K699" si="105" xml:space="preserve"> Model.Units</f>
        <v>DKKt</v>
      </c>
      <c r="O681" s="202"/>
      <c r="P681" s="202"/>
      <c r="Q681" s="202"/>
      <c r="R681" s="1">
        <f xml:space="preserve"> R485 * R535 * ( $N515 = '2.1 Model setup'!$K$45 )</f>
        <v>0</v>
      </c>
      <c r="S681" s="1">
        <f xml:space="preserve"> S485 * S535 * ( $N515 = '2.1 Model setup'!$K$45 )</f>
        <v>0</v>
      </c>
      <c r="T681" s="1">
        <f xml:space="preserve"> T485 * T535 * ( $N515 = '2.1 Model setup'!$K$45 )</f>
        <v>0</v>
      </c>
      <c r="U681" s="1">
        <f xml:space="preserve"> U485 * U535 * ( $N515 = '2.1 Model setup'!$K$45 )</f>
        <v>0</v>
      </c>
      <c r="V681" s="1">
        <f xml:space="preserve"> V485 * V535 * ( $N515 = '2.1 Model setup'!$K$45 )</f>
        <v>0</v>
      </c>
      <c r="W681" s="4">
        <f t="shared" ref="W681:W698" si="106" xml:space="preserve"> SUM( R681:V681 )</f>
        <v>0</v>
      </c>
    </row>
    <row r="682" spans="4:23" ht="15" customHeight="1">
      <c r="D682" s="85" t="str">
        <f xml:space="preserve"> '2.1 Model setup'!K71</f>
        <v>1.2 Drift og vedligeholdelse af ledningsnet</v>
      </c>
      <c r="K682" s="5" t="str">
        <f t="shared" si="105"/>
        <v>DKKt</v>
      </c>
      <c r="O682" s="202"/>
      <c r="P682" s="202"/>
      <c r="Q682" s="202"/>
      <c r="R682" s="1">
        <f xml:space="preserve"> R486 * R536 * ( $N516 = '2.1 Model setup'!$K$45 )</f>
        <v>0</v>
      </c>
      <c r="S682" s="1">
        <f xml:space="preserve"> S486 * S536 * ( $N516 = '2.1 Model setup'!$K$45 )</f>
        <v>0</v>
      </c>
      <c r="T682" s="1">
        <f xml:space="preserve"> T486 * T536 * ( $N516 = '2.1 Model setup'!$K$45 )</f>
        <v>0</v>
      </c>
      <c r="U682" s="1">
        <f xml:space="preserve"> U486 * U536 * ( $N516 = '2.1 Model setup'!$K$45 )</f>
        <v>0</v>
      </c>
      <c r="V682" s="1">
        <f xml:space="preserve"> V486 * V536 * ( $N516 = '2.1 Model setup'!$K$45 )</f>
        <v>0</v>
      </c>
      <c r="W682" s="4">
        <f t="shared" si="106"/>
        <v>0</v>
      </c>
    </row>
    <row r="683" spans="4:23" ht="15" customHeight="1">
      <c r="D683" s="85" t="str">
        <f xml:space="preserve"> '2.1 Model setup'!K72</f>
        <v>1.3 Øvrige omkostninger til drift, styring og kontrol af elnettet</v>
      </c>
      <c r="K683" s="5" t="str">
        <f t="shared" si="105"/>
        <v>DKKt</v>
      </c>
      <c r="O683" s="202"/>
      <c r="P683" s="202"/>
      <c r="Q683" s="202"/>
      <c r="R683" s="1">
        <f xml:space="preserve"> R487 * R537 * ( $N517 = '2.1 Model setup'!$K$45 )</f>
        <v>0</v>
      </c>
      <c r="S683" s="1">
        <f xml:space="preserve"> S487 * S537 * ( $N517 = '2.1 Model setup'!$K$45 )</f>
        <v>0</v>
      </c>
      <c r="T683" s="1">
        <f xml:space="preserve"> T487 * T537 * ( $N517 = '2.1 Model setup'!$K$45 )</f>
        <v>0</v>
      </c>
      <c r="U683" s="1">
        <f xml:space="preserve"> U487 * U537 * ( $N517 = '2.1 Model setup'!$K$45 )</f>
        <v>0</v>
      </c>
      <c r="V683" s="1">
        <f xml:space="preserve"> V487 * V537 * ( $N517 = '2.1 Model setup'!$K$45 )</f>
        <v>0</v>
      </c>
      <c r="W683" s="4">
        <f t="shared" si="106"/>
        <v>0</v>
      </c>
    </row>
    <row r="684" spans="4:23" ht="15" customHeight="1">
      <c r="D684" s="85" t="str">
        <f xml:space="preserve"> '2.1 Model setup'!K73</f>
        <v>1.4 Omkostninger vedrørende 132-150/30-60 kV-stationer</v>
      </c>
      <c r="K684" s="5" t="str">
        <f t="shared" si="105"/>
        <v>DKKt</v>
      </c>
      <c r="O684" s="202"/>
      <c r="P684" s="202"/>
      <c r="Q684" s="202"/>
      <c r="R684" s="1">
        <f xml:space="preserve"> R488 * R538 * ( $N518 = '2.1 Model setup'!$K$45 )</f>
        <v>0</v>
      </c>
      <c r="S684" s="1">
        <f xml:space="preserve"> S488 * S538 * ( $N518 = '2.1 Model setup'!$K$45 )</f>
        <v>0</v>
      </c>
      <c r="T684" s="1">
        <f xml:space="preserve"> T488 * T538 * ( $N518 = '2.1 Model setup'!$K$45 )</f>
        <v>0</v>
      </c>
      <c r="U684" s="1">
        <f xml:space="preserve"> U488 * U538 * ( $N518 = '2.1 Model setup'!$K$45 )</f>
        <v>0</v>
      </c>
      <c r="V684" s="1">
        <f xml:space="preserve"> V488 * V538 * ( $N518 = '2.1 Model setup'!$K$45 )</f>
        <v>0</v>
      </c>
      <c r="W684" s="4">
        <f xml:space="preserve"> SUM( R684:V684 )</f>
        <v>0</v>
      </c>
    </row>
    <row r="685" spans="4:23" ht="15" customHeight="1">
      <c r="D685" s="85" t="str">
        <f xml:space="preserve"> '2.1 Model setup'!K74</f>
        <v>2.1 Drift og vedligeholdelse af målere</v>
      </c>
      <c r="K685" s="5" t="str">
        <f t="shared" si="105"/>
        <v>DKKt</v>
      </c>
      <c r="O685" s="202"/>
      <c r="P685" s="202"/>
      <c r="Q685" s="202"/>
      <c r="R685" s="1">
        <f xml:space="preserve"> R489 * R539 * ( $N519 = '2.1 Model setup'!$K$45 )</f>
        <v>0</v>
      </c>
      <c r="S685" s="1">
        <f xml:space="preserve"> S489 * S539 * ( $N519 = '2.1 Model setup'!$K$45 )</f>
        <v>0</v>
      </c>
      <c r="T685" s="1">
        <f xml:space="preserve"> T489 * T539 * ( $N519 = '2.1 Model setup'!$K$45 )</f>
        <v>0</v>
      </c>
      <c r="U685" s="1">
        <f xml:space="preserve"> U489 * U539 * ( $N519 = '2.1 Model setup'!$K$45 )</f>
        <v>0</v>
      </c>
      <c r="V685" s="1">
        <f xml:space="preserve"> V489 * V539 * ( $N519 = '2.1 Model setup'!$K$45 )</f>
        <v>0</v>
      </c>
      <c r="W685" s="4">
        <f t="shared" si="106"/>
        <v>0</v>
      </c>
    </row>
    <row r="686" spans="4:23" ht="15" customHeight="1">
      <c r="D686" s="85" t="str">
        <f xml:space="preserve"> '2.1 Model setup'!K75</f>
        <v>2.2 Indhentning og validering af målerdata</v>
      </c>
      <c r="K686" s="5" t="str">
        <f t="shared" si="105"/>
        <v>DKKt</v>
      </c>
      <c r="O686" s="202"/>
      <c r="P686" s="202"/>
      <c r="Q686" s="202"/>
      <c r="R686" s="1">
        <f xml:space="preserve"> R490 * R540 * ( $N520 = '2.1 Model setup'!$K$45 )</f>
        <v>0</v>
      </c>
      <c r="S686" s="1">
        <f xml:space="preserve"> S490 * S540 * ( $N520 = '2.1 Model setup'!$K$45 )</f>
        <v>0</v>
      </c>
      <c r="T686" s="1">
        <f xml:space="preserve"> T490 * T540 * ( $N520 = '2.1 Model setup'!$K$45 )</f>
        <v>0</v>
      </c>
      <c r="U686" s="1">
        <f xml:space="preserve"> U490 * U540 * ( $N520 = '2.1 Model setup'!$K$45 )</f>
        <v>0</v>
      </c>
      <c r="V686" s="1">
        <f xml:space="preserve"> V490 * V540 * ( $N520 = '2.1 Model setup'!$K$45 )</f>
        <v>0</v>
      </c>
      <c r="W686" s="4">
        <f t="shared" si="106"/>
        <v>0</v>
      </c>
    </row>
    <row r="687" spans="4:23" ht="15" customHeight="1">
      <c r="D687" s="85" t="str">
        <f xml:space="preserve"> '2.1 Model setup'!K76</f>
        <v>2.3 Måleradministration og kundehåndtering</v>
      </c>
      <c r="K687" s="5" t="str">
        <f t="shared" si="105"/>
        <v>DKKt</v>
      </c>
      <c r="O687" s="202"/>
      <c r="P687" s="202"/>
      <c r="Q687" s="202"/>
      <c r="R687" s="1">
        <f xml:space="preserve"> R491 * R541 * ( $N521 = '2.1 Model setup'!$K$45 )</f>
        <v>0</v>
      </c>
      <c r="S687" s="1">
        <f xml:space="preserve"> S491 * S541 * ( $N521 = '2.1 Model setup'!$K$45 )</f>
        <v>0</v>
      </c>
      <c r="T687" s="1">
        <f xml:space="preserve"> T491 * T541 * ( $N521 = '2.1 Model setup'!$K$45 )</f>
        <v>0</v>
      </c>
      <c r="U687" s="1">
        <f xml:space="preserve"> U491 * U541 * ( $N521 = '2.1 Model setup'!$K$45 )</f>
        <v>0</v>
      </c>
      <c r="V687" s="1">
        <f xml:space="preserve"> V491 * V541 * ( $N521 = '2.1 Model setup'!$K$45 )</f>
        <v>0</v>
      </c>
      <c r="W687" s="4">
        <f t="shared" si="106"/>
        <v>0</v>
      </c>
    </row>
    <row r="688" spans="4:23" ht="15" customHeight="1">
      <c r="D688" s="85" t="str">
        <f xml:space="preserve"> '2.1 Model setup'!K77</f>
        <v>3.1 Generel administration</v>
      </c>
      <c r="K688" s="5" t="str">
        <f t="shared" si="105"/>
        <v>DKKt</v>
      </c>
      <c r="O688" s="202"/>
      <c r="P688" s="202"/>
      <c r="Q688" s="202"/>
      <c r="R688" s="1">
        <f xml:space="preserve"> R492 * R542 * ( $N522 = '2.1 Model setup'!$K$45 )</f>
        <v>0</v>
      </c>
      <c r="S688" s="1">
        <f xml:space="preserve"> S492 * S542 * ( $N522 = '2.1 Model setup'!$K$45 )</f>
        <v>0</v>
      </c>
      <c r="T688" s="1">
        <f xml:space="preserve"> T492 * T542 * ( $N522 = '2.1 Model setup'!$K$45 )</f>
        <v>0</v>
      </c>
      <c r="U688" s="1">
        <f xml:space="preserve"> U492 * U542 * ( $N522 = '2.1 Model setup'!$K$45 )</f>
        <v>0</v>
      </c>
      <c r="V688" s="1">
        <f xml:space="preserve"> V492 * V542 * ( $N522 = '2.1 Model setup'!$K$45 )</f>
        <v>0</v>
      </c>
      <c r="W688" s="4">
        <f t="shared" si="106"/>
        <v>0</v>
      </c>
    </row>
    <row r="689" spans="4:23" ht="15" customHeight="1">
      <c r="D689" s="85" t="str">
        <f xml:space="preserve"> '2.1 Model setup'!K78</f>
        <v>4.1 Omkostninger vedrørende nettab i transformerstationer</v>
      </c>
      <c r="K689" s="5" t="str">
        <f t="shared" si="105"/>
        <v>DKKt</v>
      </c>
      <c r="O689" s="202"/>
      <c r="P689" s="202"/>
      <c r="Q689" s="202"/>
      <c r="R689" s="1">
        <f xml:space="preserve"> R493 * R543 * ( $N523 = '2.1 Model setup'!$K$45 )</f>
        <v>0</v>
      </c>
      <c r="S689" s="1">
        <f xml:space="preserve"> S493 * S543 * ( $N523 = '2.1 Model setup'!$K$45 )</f>
        <v>0</v>
      </c>
      <c r="T689" s="1">
        <f xml:space="preserve"> T493 * T543 * ( $N523 = '2.1 Model setup'!$K$45 )</f>
        <v>0</v>
      </c>
      <c r="U689" s="1">
        <f xml:space="preserve"> U493 * U543 * ( $N523 = '2.1 Model setup'!$K$45 )</f>
        <v>0</v>
      </c>
      <c r="V689" s="1">
        <f xml:space="preserve"> V493 * V543 * ( $N523 = '2.1 Model setup'!$K$45 )</f>
        <v>0</v>
      </c>
      <c r="W689" s="4">
        <f t="shared" si="106"/>
        <v>0</v>
      </c>
    </row>
    <row r="690" spans="4:23" ht="15" customHeight="1">
      <c r="D690" s="85" t="str">
        <f xml:space="preserve"> '2.1 Model setup'!K79</f>
        <v>4.2 Omkostninger vedrørende nettab i ledningsnettet</v>
      </c>
      <c r="K690" s="5" t="str">
        <f t="shared" si="105"/>
        <v>DKKt</v>
      </c>
      <c r="O690" s="202"/>
      <c r="P690" s="202"/>
      <c r="Q690" s="202"/>
      <c r="R690" s="1">
        <f xml:space="preserve"> R494 * R544 * ( $N524 = '2.1 Model setup'!$K$45 )</f>
        <v>0</v>
      </c>
      <c r="S690" s="1">
        <f xml:space="preserve"> S494 * S544 * ( $N524 = '2.1 Model setup'!$K$45 )</f>
        <v>0</v>
      </c>
      <c r="T690" s="1">
        <f xml:space="preserve"> T494 * T544 * ( $N524 = '2.1 Model setup'!$K$45 )</f>
        <v>0</v>
      </c>
      <c r="U690" s="1">
        <f xml:space="preserve"> U494 * U544 * ( $N524 = '2.1 Model setup'!$K$45 )</f>
        <v>0</v>
      </c>
      <c r="V690" s="1">
        <f xml:space="preserve"> V494 * V544 * ( $N524 = '2.1 Model setup'!$K$45 )</f>
        <v>0</v>
      </c>
      <c r="W690" s="4">
        <f t="shared" si="106"/>
        <v>0</v>
      </c>
    </row>
    <row r="691" spans="4:23" ht="15" customHeight="1">
      <c r="D691" s="85" t="str">
        <f xml:space="preserve"> '2.1 Model setup'!K80</f>
        <v>5.1 Omkostninger til overliggende net ifm. forbrug</v>
      </c>
      <c r="K691" s="5" t="str">
        <f t="shared" si="105"/>
        <v>DKKt</v>
      </c>
      <c r="O691" s="202"/>
      <c r="P691" s="202"/>
      <c r="Q691" s="202"/>
      <c r="R691" s="1">
        <f xml:space="preserve"> R495 * R545 * ( $N525 = '2.1 Model setup'!$K$45 )</f>
        <v>0</v>
      </c>
      <c r="S691" s="1">
        <f xml:space="preserve"> S495 * S545 * ( $N525 = '2.1 Model setup'!$K$45 )</f>
        <v>0</v>
      </c>
      <c r="T691" s="1">
        <f xml:space="preserve"> T495 * T545 * ( $N525 = '2.1 Model setup'!$K$45 )</f>
        <v>0</v>
      </c>
      <c r="U691" s="1">
        <f xml:space="preserve"> U495 * U545 * ( $N525 = '2.1 Model setup'!$K$45 )</f>
        <v>0</v>
      </c>
      <c r="V691" s="1">
        <f xml:space="preserve"> V495 * V545 * ( $N525 = '2.1 Model setup'!$K$45 )</f>
        <v>0</v>
      </c>
      <c r="W691" s="4">
        <f xml:space="preserve"> SUM( R691:V691 )</f>
        <v>0</v>
      </c>
    </row>
    <row r="692" spans="4:23" ht="15" customHeight="1">
      <c r="D692" s="85" t="str">
        <f xml:space="preserve"> '2.1 Model setup'!K81</f>
        <v>5.2 Øvrige omkostninger</v>
      </c>
      <c r="K692" s="5" t="str">
        <f t="shared" si="105"/>
        <v>DKKt</v>
      </c>
      <c r="O692" s="202"/>
      <c r="P692" s="202"/>
      <c r="Q692" s="202"/>
      <c r="R692" s="1">
        <f xml:space="preserve"> R496 * R546 * ( $N526 = '2.1 Model setup'!$K$45 )</f>
        <v>0</v>
      </c>
      <c r="S692" s="1">
        <f xml:space="preserve"> S496 * S546 * ( $N526 = '2.1 Model setup'!$K$45 )</f>
        <v>0</v>
      </c>
      <c r="T692" s="1">
        <f xml:space="preserve"> T496 * T546 * ( $N526 = '2.1 Model setup'!$K$45 )</f>
        <v>0</v>
      </c>
      <c r="U692" s="1">
        <f xml:space="preserve"> U496 * U546 * ( $N526 = '2.1 Model setup'!$K$45 )</f>
        <v>0</v>
      </c>
      <c r="V692" s="1">
        <f xml:space="preserve"> V496 * V546 * ( $N526 = '2.1 Model setup'!$K$45 )</f>
        <v>0</v>
      </c>
      <c r="W692" s="4">
        <f t="shared" si="106"/>
        <v>0</v>
      </c>
    </row>
    <row r="693" spans="4:23" ht="15" customHeight="1">
      <c r="D693" s="85" t="str">
        <f xml:space="preserve"> '2.1 Model setup'!K82</f>
        <v>6.1 Afskrivninger på transformerstationer</v>
      </c>
      <c r="K693" s="5" t="str">
        <f t="shared" si="105"/>
        <v>DKKt</v>
      </c>
      <c r="O693" s="202"/>
      <c r="P693" s="202"/>
      <c r="Q693" s="202"/>
      <c r="R693" s="1">
        <f xml:space="preserve"> R497 * R547 * ( $N527 = '2.1 Model setup'!$K$45 )</f>
        <v>0</v>
      </c>
      <c r="S693" s="1">
        <f xml:space="preserve"> S497 * S547 * ( $N527 = '2.1 Model setup'!$K$45 )</f>
        <v>0</v>
      </c>
      <c r="T693" s="1">
        <f xml:space="preserve"> T497 * T547 * ( $N527 = '2.1 Model setup'!$K$45 )</f>
        <v>0</v>
      </c>
      <c r="U693" s="1">
        <f xml:space="preserve"> U497 * U547 * ( $N527 = '2.1 Model setup'!$K$45 )</f>
        <v>0</v>
      </c>
      <c r="V693" s="1">
        <f xml:space="preserve"> V497 * V547 * ( $N527 = '2.1 Model setup'!$K$45 )</f>
        <v>0</v>
      </c>
      <c r="W693" s="4">
        <f t="shared" si="106"/>
        <v>0</v>
      </c>
    </row>
    <row r="694" spans="4:23" ht="15" customHeight="1">
      <c r="D694" s="85" t="str">
        <f xml:space="preserve"> '2.1 Model setup'!K83</f>
        <v>6.2 Afskrivninger på netaktiver ekskl. målere og transformerstationer</v>
      </c>
      <c r="K694" s="5" t="str">
        <f t="shared" si="105"/>
        <v>DKKt</v>
      </c>
      <c r="O694" s="202"/>
      <c r="P694" s="202"/>
      <c r="Q694" s="202"/>
      <c r="R694" s="1">
        <f xml:space="preserve"> R498 * R548 * ( $N528 = '2.1 Model setup'!$K$45 )</f>
        <v>0</v>
      </c>
      <c r="S694" s="1">
        <f xml:space="preserve"> S498 * S548 * ( $N528 = '2.1 Model setup'!$K$45 )</f>
        <v>0</v>
      </c>
      <c r="T694" s="1">
        <f xml:space="preserve"> T498 * T548 * ( $N528 = '2.1 Model setup'!$K$45 )</f>
        <v>0</v>
      </c>
      <c r="U694" s="1">
        <f xml:space="preserve"> U498 * U548 * ( $N528 = '2.1 Model setup'!$K$45 )</f>
        <v>0</v>
      </c>
      <c r="V694" s="1">
        <f xml:space="preserve"> V498 * V548 * ( $N528 = '2.1 Model setup'!$K$45 )</f>
        <v>0</v>
      </c>
      <c r="W694" s="4">
        <f t="shared" si="106"/>
        <v>0</v>
      </c>
    </row>
    <row r="695" spans="4:23" ht="15" customHeight="1">
      <c r="D695" s="85" t="str">
        <f xml:space="preserve"> '2.1 Model setup'!K84</f>
        <v>6.3 Afskrivninger på målere</v>
      </c>
      <c r="K695" s="5" t="str">
        <f t="shared" si="105"/>
        <v>DKKt</v>
      </c>
      <c r="O695" s="202"/>
      <c r="P695" s="202"/>
      <c r="Q695" s="202"/>
      <c r="R695" s="1">
        <f xml:space="preserve"> R499 * R549 * ( $N529 = '2.1 Model setup'!$K$45 )</f>
        <v>0</v>
      </c>
      <c r="S695" s="1">
        <f xml:space="preserve"> S499 * S549 * ( $N529 = '2.1 Model setup'!$K$45 )</f>
        <v>0</v>
      </c>
      <c r="T695" s="1">
        <f xml:space="preserve"> T499 * T549 * ( $N529 = '2.1 Model setup'!$K$45 )</f>
        <v>0</v>
      </c>
      <c r="U695" s="1">
        <f xml:space="preserve"> U499 * U549 * ( $N529 = '2.1 Model setup'!$K$45 )</f>
        <v>0</v>
      </c>
      <c r="V695" s="1">
        <f xml:space="preserve"> V499 * V549 * ( $N529 = '2.1 Model setup'!$K$45 )</f>
        <v>0</v>
      </c>
      <c r="W695" s="4">
        <f t="shared" si="106"/>
        <v>0</v>
      </c>
    </row>
    <row r="696" spans="4:23" ht="15" customHeight="1">
      <c r="D696" s="85" t="str">
        <f xml:space="preserve"> '2.1 Model setup'!K85</f>
        <v>7.1 Transformerstationer (forrentning)</v>
      </c>
      <c r="K696" s="5" t="str">
        <f t="shared" si="105"/>
        <v>DKKt</v>
      </c>
      <c r="O696" s="202"/>
      <c r="P696" s="202"/>
      <c r="Q696" s="202"/>
      <c r="R696" s="1">
        <f xml:space="preserve"> R500 * R550 * ( $N530 = '2.1 Model setup'!$K$45 )</f>
        <v>0</v>
      </c>
      <c r="S696" s="1">
        <f xml:space="preserve"> S500 * S550 * ( $N530 = '2.1 Model setup'!$K$45 )</f>
        <v>0</v>
      </c>
      <c r="T696" s="1">
        <f xml:space="preserve"> T500 * T550 * ( $N530 = '2.1 Model setup'!$K$45 )</f>
        <v>0</v>
      </c>
      <c r="U696" s="1">
        <f xml:space="preserve"> U500 * U550 * ( $N530 = '2.1 Model setup'!$K$45 )</f>
        <v>0</v>
      </c>
      <c r="V696" s="1">
        <f xml:space="preserve"> V500 * V550 * ( $N530 = '2.1 Model setup'!$K$45 )</f>
        <v>0</v>
      </c>
      <c r="W696" s="4">
        <f t="shared" si="106"/>
        <v>0</v>
      </c>
    </row>
    <row r="697" spans="4:23" ht="15" customHeight="1">
      <c r="D697" s="85" t="str">
        <f xml:space="preserve"> '2.1 Model setup'!K86</f>
        <v>7.2 Netaktiver ekskl. målere og transformerstationer (forrentning)</v>
      </c>
      <c r="K697" s="5" t="str">
        <f t="shared" si="105"/>
        <v>DKKt</v>
      </c>
      <c r="O697" s="202"/>
      <c r="P697" s="202"/>
      <c r="Q697" s="202"/>
      <c r="R697" s="1">
        <f xml:space="preserve"> R501 * R551 * ( $N531 = '2.1 Model setup'!$K$45 )</f>
        <v>0</v>
      </c>
      <c r="S697" s="1">
        <f xml:space="preserve"> S501 * S551 * ( $N531 = '2.1 Model setup'!$K$45 )</f>
        <v>0</v>
      </c>
      <c r="T697" s="1">
        <f xml:space="preserve"> T501 * T551 * ( $N531 = '2.1 Model setup'!$K$45 )</f>
        <v>0</v>
      </c>
      <c r="U697" s="1">
        <f xml:space="preserve"> U501 * U551 * ( $N531 = '2.1 Model setup'!$K$45 )</f>
        <v>0</v>
      </c>
      <c r="V697" s="1">
        <f xml:space="preserve"> V501 * V551 * ( $N531 = '2.1 Model setup'!$K$45 )</f>
        <v>0</v>
      </c>
      <c r="W697" s="4">
        <f t="shared" si="106"/>
        <v>0</v>
      </c>
    </row>
    <row r="698" spans="4:23" ht="15" customHeight="1">
      <c r="D698" s="99" t="str">
        <f xml:space="preserve"> '2.1 Model setup'!K87</f>
        <v>7.3 Målere (forrentning)</v>
      </c>
      <c r="K698" s="5" t="str">
        <f t="shared" si="105"/>
        <v>DKKt</v>
      </c>
      <c r="O698" s="202"/>
      <c r="P698" s="202"/>
      <c r="Q698" s="202"/>
      <c r="R698" s="1">
        <f xml:space="preserve"> R502 * R552 * ( $N532 = '2.1 Model setup'!$K$45 )</f>
        <v>0</v>
      </c>
      <c r="S698" s="1">
        <f xml:space="preserve"> S502 * S552 * ( $N532 = '2.1 Model setup'!$K$45 )</f>
        <v>0</v>
      </c>
      <c r="T698" s="1">
        <f xml:space="preserve"> T502 * T552 * ( $N532 = '2.1 Model setup'!$K$45 )</f>
        <v>0</v>
      </c>
      <c r="U698" s="1">
        <f xml:space="preserve"> U502 * U552 * ( $N532 = '2.1 Model setup'!$K$45 )</f>
        <v>0</v>
      </c>
      <c r="V698" s="1">
        <f xml:space="preserve"> V502 * V552 * ( $N532 = '2.1 Model setup'!$K$45 )</f>
        <v>0</v>
      </c>
      <c r="W698" s="4">
        <f t="shared" si="106"/>
        <v>0</v>
      </c>
    </row>
    <row r="699" spans="4:23" ht="15" customHeight="1">
      <c r="D699" s="186" t="s">
        <v>16</v>
      </c>
      <c r="E699" s="33"/>
      <c r="F699" s="33"/>
      <c r="G699" s="33"/>
      <c r="H699" s="33"/>
      <c r="I699" s="33"/>
      <c r="J699" s="33"/>
      <c r="K699" s="187" t="str">
        <f t="shared" si="105"/>
        <v>DKKt</v>
      </c>
      <c r="L699" s="186"/>
      <c r="M699" s="186"/>
      <c r="N699" s="186"/>
      <c r="O699" s="388"/>
      <c r="P699" s="388"/>
      <c r="Q699" s="388"/>
      <c r="R699" s="186">
        <f t="shared" ref="R699:W699" si="107" xml:space="preserve"> SUM( R681:R698 )</f>
        <v>0</v>
      </c>
      <c r="S699" s="186">
        <f t="shared" si="107"/>
        <v>0</v>
      </c>
      <c r="T699" s="186">
        <f t="shared" si="107"/>
        <v>0</v>
      </c>
      <c r="U699" s="186">
        <f t="shared" si="107"/>
        <v>0</v>
      </c>
      <c r="V699" s="186">
        <f t="shared" si="107"/>
        <v>0</v>
      </c>
      <c r="W699" s="186">
        <f t="shared" si="107"/>
        <v>0</v>
      </c>
    </row>
    <row r="701" spans="4:23" ht="15" customHeight="1">
      <c r="D701" s="35" t="s">
        <v>225</v>
      </c>
      <c r="E701" s="27"/>
      <c r="F701" s="27"/>
      <c r="G701" s="27"/>
      <c r="H701" s="27"/>
      <c r="I701" s="27"/>
      <c r="J701" s="27"/>
      <c r="K701" s="32"/>
      <c r="L701" s="27"/>
      <c r="M701" s="27"/>
      <c r="N701" s="27"/>
      <c r="O701" s="27"/>
      <c r="P701" s="27"/>
      <c r="Q701" s="27"/>
      <c r="R701" s="27"/>
      <c r="S701" s="27"/>
      <c r="T701" s="27"/>
      <c r="U701" s="27"/>
      <c r="V701" s="27"/>
      <c r="W701" s="185" t="s">
        <v>16</v>
      </c>
    </row>
    <row r="702" spans="4:23" ht="15" customHeight="1">
      <c r="D702" s="85" t="str">
        <f xml:space="preserve"> '2.1 Model setup'!K70</f>
        <v>1.1 Drift og vedligeholdelse af transformerstationer</v>
      </c>
      <c r="K702" s="5" t="str">
        <f t="shared" ref="K702:K720" si="108" xml:space="preserve"> Model.Units</f>
        <v>DKKt</v>
      </c>
      <c r="O702" s="202"/>
      <c r="P702" s="202"/>
      <c r="Q702" s="202"/>
      <c r="R702" s="1">
        <f xml:space="preserve"> R464 * R535 * ( $N515 = '2.1 Model setup'!$K$45 )</f>
        <v>0</v>
      </c>
      <c r="S702" s="1">
        <f xml:space="preserve"> S464 * S535 * ( $N515 = '2.1 Model setup'!$K$45 )</f>
        <v>0</v>
      </c>
      <c r="T702" s="1">
        <f xml:space="preserve"> T464 * T535 * ( $N515 = '2.1 Model setup'!$K$45 )</f>
        <v>0</v>
      </c>
      <c r="U702" s="1">
        <f xml:space="preserve"> U464 * U535 * ( $N515 = '2.1 Model setup'!$K$45 )</f>
        <v>0</v>
      </c>
      <c r="V702" s="1">
        <f xml:space="preserve"> V464 * V535 * ( $N515 = '2.1 Model setup'!$K$45 )</f>
        <v>0</v>
      </c>
      <c r="W702" s="4">
        <f t="shared" ref="W702:W719" si="109" xml:space="preserve"> SUM( R702:V702 )</f>
        <v>0</v>
      </c>
    </row>
    <row r="703" spans="4:23" ht="15" customHeight="1">
      <c r="D703" s="85" t="str">
        <f xml:space="preserve"> '2.1 Model setup'!K71</f>
        <v>1.2 Drift og vedligeholdelse af ledningsnet</v>
      </c>
      <c r="K703" s="5" t="str">
        <f t="shared" si="108"/>
        <v>DKKt</v>
      </c>
      <c r="O703" s="202"/>
      <c r="P703" s="202"/>
      <c r="Q703" s="202"/>
      <c r="R703" s="1">
        <f xml:space="preserve"> R465 * R536 * ( $N516 = '2.1 Model setup'!$K$45 )</f>
        <v>0</v>
      </c>
      <c r="S703" s="1">
        <f xml:space="preserve"> S465 * S536 * ( $N516 = '2.1 Model setup'!$K$45 )</f>
        <v>0</v>
      </c>
      <c r="T703" s="1">
        <f xml:space="preserve"> T465 * T536 * ( $N516 = '2.1 Model setup'!$K$45 )</f>
        <v>0</v>
      </c>
      <c r="U703" s="1">
        <f xml:space="preserve"> U465 * U536 * ( $N516 = '2.1 Model setup'!$K$45 )</f>
        <v>0</v>
      </c>
      <c r="V703" s="1">
        <f xml:space="preserve"> V465 * V536 * ( $N516 = '2.1 Model setup'!$K$45 )</f>
        <v>0</v>
      </c>
      <c r="W703" s="4">
        <f t="shared" si="109"/>
        <v>0</v>
      </c>
    </row>
    <row r="704" spans="4:23" ht="15" customHeight="1">
      <c r="D704" s="85" t="str">
        <f xml:space="preserve"> '2.1 Model setup'!K72</f>
        <v>1.3 Øvrige omkostninger til drift, styring og kontrol af elnettet</v>
      </c>
      <c r="K704" s="5" t="str">
        <f t="shared" si="108"/>
        <v>DKKt</v>
      </c>
      <c r="O704" s="202"/>
      <c r="P704" s="202"/>
      <c r="Q704" s="202"/>
      <c r="R704" s="1">
        <f xml:space="preserve"> R466 * R537 * ( $N517 = '2.1 Model setup'!$K$45 )</f>
        <v>0</v>
      </c>
      <c r="S704" s="1">
        <f xml:space="preserve"> S466 * S537 * ( $N517 = '2.1 Model setup'!$K$45 )</f>
        <v>0</v>
      </c>
      <c r="T704" s="1">
        <f xml:space="preserve"> T466 * T537 * ( $N517 = '2.1 Model setup'!$K$45 )</f>
        <v>0</v>
      </c>
      <c r="U704" s="1">
        <f xml:space="preserve"> U466 * U537 * ( $N517 = '2.1 Model setup'!$K$45 )</f>
        <v>0</v>
      </c>
      <c r="V704" s="1">
        <f xml:space="preserve"> V466 * V537 * ( $N517 = '2.1 Model setup'!$K$45 )</f>
        <v>0</v>
      </c>
      <c r="W704" s="4">
        <f t="shared" si="109"/>
        <v>0</v>
      </c>
    </row>
    <row r="705" spans="4:23" ht="15" customHeight="1">
      <c r="D705" s="85" t="str">
        <f xml:space="preserve"> '2.1 Model setup'!K73</f>
        <v>1.4 Omkostninger vedrørende 132-150/30-60 kV-stationer</v>
      </c>
      <c r="K705" s="5" t="str">
        <f t="shared" si="108"/>
        <v>DKKt</v>
      </c>
      <c r="O705" s="202"/>
      <c r="P705" s="202"/>
      <c r="Q705" s="202"/>
      <c r="R705" s="1">
        <f xml:space="preserve"> R467 * R538 * ( $N518 = '2.1 Model setup'!$K$45 )</f>
        <v>0</v>
      </c>
      <c r="S705" s="1">
        <f xml:space="preserve"> S467 * S538 * ( $N518 = '2.1 Model setup'!$K$45 )</f>
        <v>0</v>
      </c>
      <c r="T705" s="1">
        <f xml:space="preserve"> T467 * T538 * ( $N518 = '2.1 Model setup'!$K$45 )</f>
        <v>0</v>
      </c>
      <c r="U705" s="1">
        <f xml:space="preserve"> U467 * U538 * ( $N518 = '2.1 Model setup'!$K$45 )</f>
        <v>0</v>
      </c>
      <c r="V705" s="1">
        <f xml:space="preserve"> V467 * V538 * ( $N518 = '2.1 Model setup'!$K$45 )</f>
        <v>0</v>
      </c>
      <c r="W705" s="4">
        <f xml:space="preserve"> SUM( R705:V705 )</f>
        <v>0</v>
      </c>
    </row>
    <row r="706" spans="4:23" ht="15" customHeight="1">
      <c r="D706" s="85" t="str">
        <f xml:space="preserve"> '2.1 Model setup'!K74</f>
        <v>2.1 Drift og vedligeholdelse af målere</v>
      </c>
      <c r="K706" s="5" t="str">
        <f t="shared" si="108"/>
        <v>DKKt</v>
      </c>
      <c r="O706" s="202"/>
      <c r="P706" s="202"/>
      <c r="Q706" s="202"/>
      <c r="R706" s="1">
        <f xml:space="preserve"> R468 * R539 * ( $N519 = '2.1 Model setup'!$K$45 )</f>
        <v>0</v>
      </c>
      <c r="S706" s="1">
        <f xml:space="preserve"> S468 * S539 * ( $N519 = '2.1 Model setup'!$K$45 )</f>
        <v>0</v>
      </c>
      <c r="T706" s="1">
        <f xml:space="preserve"> T468 * T539 * ( $N519 = '2.1 Model setup'!$K$45 )</f>
        <v>0</v>
      </c>
      <c r="U706" s="1">
        <f xml:space="preserve"> U468 * U539 * ( $N519 = '2.1 Model setup'!$K$45 )</f>
        <v>0</v>
      </c>
      <c r="V706" s="1">
        <f xml:space="preserve"> V468 * V539 * ( $N519 = '2.1 Model setup'!$K$45 )</f>
        <v>0</v>
      </c>
      <c r="W706" s="4">
        <f t="shared" si="109"/>
        <v>0</v>
      </c>
    </row>
    <row r="707" spans="4:23" ht="15" customHeight="1">
      <c r="D707" s="85" t="str">
        <f xml:space="preserve"> '2.1 Model setup'!K75</f>
        <v>2.2 Indhentning og validering af målerdata</v>
      </c>
      <c r="K707" s="5" t="str">
        <f t="shared" si="108"/>
        <v>DKKt</v>
      </c>
      <c r="O707" s="202"/>
      <c r="P707" s="202"/>
      <c r="Q707" s="202"/>
      <c r="R707" s="1">
        <f xml:space="preserve"> R469 * R540 * ( $N520 = '2.1 Model setup'!$K$45 )</f>
        <v>0</v>
      </c>
      <c r="S707" s="1">
        <f xml:space="preserve"> S469 * S540 * ( $N520 = '2.1 Model setup'!$K$45 )</f>
        <v>0</v>
      </c>
      <c r="T707" s="1">
        <f xml:space="preserve"> T469 * T540 * ( $N520 = '2.1 Model setup'!$K$45 )</f>
        <v>0</v>
      </c>
      <c r="U707" s="1">
        <f xml:space="preserve"> U469 * U540 * ( $N520 = '2.1 Model setup'!$K$45 )</f>
        <v>0</v>
      </c>
      <c r="V707" s="1">
        <f xml:space="preserve"> V469 * V540 * ( $N520 = '2.1 Model setup'!$K$45 )</f>
        <v>0</v>
      </c>
      <c r="W707" s="4">
        <f t="shared" si="109"/>
        <v>0</v>
      </c>
    </row>
    <row r="708" spans="4:23" ht="15" customHeight="1">
      <c r="D708" s="85" t="str">
        <f xml:space="preserve"> '2.1 Model setup'!K76</f>
        <v>2.3 Måleradministration og kundehåndtering</v>
      </c>
      <c r="K708" s="5" t="str">
        <f t="shared" si="108"/>
        <v>DKKt</v>
      </c>
      <c r="O708" s="202"/>
      <c r="P708" s="202"/>
      <c r="Q708" s="202"/>
      <c r="R708" s="1">
        <f xml:space="preserve"> R470 * R541 * ( $N521 = '2.1 Model setup'!$K$45 )</f>
        <v>0</v>
      </c>
      <c r="S708" s="1">
        <f xml:space="preserve"> S470 * S541 * ( $N521 = '2.1 Model setup'!$K$45 )</f>
        <v>0</v>
      </c>
      <c r="T708" s="1">
        <f xml:space="preserve"> T470 * T541 * ( $N521 = '2.1 Model setup'!$K$45 )</f>
        <v>0</v>
      </c>
      <c r="U708" s="1">
        <f xml:space="preserve"> U470 * U541 * ( $N521 = '2.1 Model setup'!$K$45 )</f>
        <v>0</v>
      </c>
      <c r="V708" s="1">
        <f xml:space="preserve"> V470 * V541 * ( $N521 = '2.1 Model setup'!$K$45 )</f>
        <v>0</v>
      </c>
      <c r="W708" s="4">
        <f t="shared" si="109"/>
        <v>0</v>
      </c>
    </row>
    <row r="709" spans="4:23" ht="15" customHeight="1">
      <c r="D709" s="85" t="str">
        <f xml:space="preserve"> '2.1 Model setup'!K77</f>
        <v>3.1 Generel administration</v>
      </c>
      <c r="K709" s="5" t="str">
        <f t="shared" si="108"/>
        <v>DKKt</v>
      </c>
      <c r="O709" s="202"/>
      <c r="P709" s="202"/>
      <c r="Q709" s="202"/>
      <c r="R709" s="1">
        <f xml:space="preserve"> R471 * R542 * ( $N522 = '2.1 Model setup'!$K$45 )</f>
        <v>0</v>
      </c>
      <c r="S709" s="1">
        <f xml:space="preserve"> S471 * S542 * ( $N522 = '2.1 Model setup'!$K$45 )</f>
        <v>0</v>
      </c>
      <c r="T709" s="1">
        <f xml:space="preserve"> T471 * T542 * ( $N522 = '2.1 Model setup'!$K$45 )</f>
        <v>0</v>
      </c>
      <c r="U709" s="1">
        <f xml:space="preserve"> U471 * U542 * ( $N522 = '2.1 Model setup'!$K$45 )</f>
        <v>0</v>
      </c>
      <c r="V709" s="1">
        <f xml:space="preserve"> V471 * V542 * ( $N522 = '2.1 Model setup'!$K$45 )</f>
        <v>0</v>
      </c>
      <c r="W709" s="4">
        <f t="shared" si="109"/>
        <v>0</v>
      </c>
    </row>
    <row r="710" spans="4:23" ht="15" customHeight="1">
      <c r="D710" s="85" t="str">
        <f xml:space="preserve"> '2.1 Model setup'!K78</f>
        <v>4.1 Omkostninger vedrørende nettab i transformerstationer</v>
      </c>
      <c r="K710" s="5" t="str">
        <f t="shared" si="108"/>
        <v>DKKt</v>
      </c>
      <c r="O710" s="202"/>
      <c r="P710" s="202"/>
      <c r="Q710" s="202"/>
      <c r="R710" s="1">
        <f xml:space="preserve"> R472 * R543 * ( $N523 = '2.1 Model setup'!$K$45 )</f>
        <v>0</v>
      </c>
      <c r="S710" s="1">
        <f xml:space="preserve"> S472 * S543 * ( $N523 = '2.1 Model setup'!$K$45 )</f>
        <v>0</v>
      </c>
      <c r="T710" s="1">
        <f xml:space="preserve"> T472 * T543 * ( $N523 = '2.1 Model setup'!$K$45 )</f>
        <v>0</v>
      </c>
      <c r="U710" s="1">
        <f xml:space="preserve"> U472 * U543 * ( $N523 = '2.1 Model setup'!$K$45 )</f>
        <v>0</v>
      </c>
      <c r="V710" s="1">
        <f xml:space="preserve"> V472 * V543 * ( $N523 = '2.1 Model setup'!$K$45 )</f>
        <v>0</v>
      </c>
      <c r="W710" s="4">
        <f t="shared" si="109"/>
        <v>0</v>
      </c>
    </row>
    <row r="711" spans="4:23" ht="15" customHeight="1">
      <c r="D711" s="85" t="str">
        <f xml:space="preserve"> '2.1 Model setup'!K79</f>
        <v>4.2 Omkostninger vedrørende nettab i ledningsnettet</v>
      </c>
      <c r="K711" s="5" t="str">
        <f t="shared" si="108"/>
        <v>DKKt</v>
      </c>
      <c r="O711" s="202"/>
      <c r="P711" s="202"/>
      <c r="Q711" s="202"/>
      <c r="R711" s="1">
        <f xml:space="preserve"> R473 * R544 * ( $N524 = '2.1 Model setup'!$K$45 )</f>
        <v>0</v>
      </c>
      <c r="S711" s="1">
        <f xml:space="preserve"> S473 * S544 * ( $N524 = '2.1 Model setup'!$K$45 )</f>
        <v>0</v>
      </c>
      <c r="T711" s="1">
        <f xml:space="preserve"> T473 * T544 * ( $N524 = '2.1 Model setup'!$K$45 )</f>
        <v>0</v>
      </c>
      <c r="U711" s="1">
        <f xml:space="preserve"> U473 * U544 * ( $N524 = '2.1 Model setup'!$K$45 )</f>
        <v>0</v>
      </c>
      <c r="V711" s="1">
        <f xml:space="preserve"> V473 * V544 * ( $N524 = '2.1 Model setup'!$K$45 )</f>
        <v>0</v>
      </c>
      <c r="W711" s="4">
        <f t="shared" si="109"/>
        <v>0</v>
      </c>
    </row>
    <row r="712" spans="4:23" ht="15" customHeight="1">
      <c r="D712" s="85" t="str">
        <f xml:space="preserve"> '2.1 Model setup'!K80</f>
        <v>5.1 Omkostninger til overliggende net ifm. forbrug</v>
      </c>
      <c r="K712" s="5" t="str">
        <f t="shared" si="108"/>
        <v>DKKt</v>
      </c>
      <c r="O712" s="202"/>
      <c r="P712" s="202"/>
      <c r="Q712" s="202"/>
      <c r="R712" s="1">
        <f xml:space="preserve"> R474 * R545 * ( $N525 = '2.1 Model setup'!$K$45 )</f>
        <v>0</v>
      </c>
      <c r="S712" s="1">
        <f xml:space="preserve"> S474 * S545 * ( $N525 = '2.1 Model setup'!$K$45 )</f>
        <v>0</v>
      </c>
      <c r="T712" s="1">
        <f xml:space="preserve"> T474 * T545 * ( $N525 = '2.1 Model setup'!$K$45 )</f>
        <v>0</v>
      </c>
      <c r="U712" s="1">
        <f xml:space="preserve"> U474 * U545 * ( $N525 = '2.1 Model setup'!$K$45 )</f>
        <v>0</v>
      </c>
      <c r="V712" s="1">
        <f xml:space="preserve"> V474 * V545 * ( $N525 = '2.1 Model setup'!$K$45 )</f>
        <v>0</v>
      </c>
      <c r="W712" s="4">
        <f xml:space="preserve"> SUM( R712:V712 )</f>
        <v>0</v>
      </c>
    </row>
    <row r="713" spans="4:23" ht="15" customHeight="1">
      <c r="D713" s="85" t="str">
        <f xml:space="preserve"> '2.1 Model setup'!K81</f>
        <v>5.2 Øvrige omkostninger</v>
      </c>
      <c r="K713" s="5" t="str">
        <f t="shared" si="108"/>
        <v>DKKt</v>
      </c>
      <c r="O713" s="202"/>
      <c r="P713" s="202"/>
      <c r="Q713" s="202"/>
      <c r="R713" s="1">
        <f xml:space="preserve"> R475 * R546 * ( $N526 = '2.1 Model setup'!$K$45 )</f>
        <v>0</v>
      </c>
      <c r="S713" s="1">
        <f xml:space="preserve"> S475 * S546 * ( $N526 = '2.1 Model setup'!$K$45 )</f>
        <v>0</v>
      </c>
      <c r="T713" s="1">
        <f xml:space="preserve"> T475 * T546 * ( $N526 = '2.1 Model setup'!$K$45 )</f>
        <v>0</v>
      </c>
      <c r="U713" s="1">
        <f xml:space="preserve"> U475 * U546 * ( $N526 = '2.1 Model setup'!$K$45 )</f>
        <v>0</v>
      </c>
      <c r="V713" s="1">
        <f xml:space="preserve"> V475 * V546 * ( $N526 = '2.1 Model setup'!$K$45 )</f>
        <v>0</v>
      </c>
      <c r="W713" s="4">
        <f t="shared" si="109"/>
        <v>0</v>
      </c>
    </row>
    <row r="714" spans="4:23" ht="15" customHeight="1">
      <c r="D714" s="85" t="str">
        <f xml:space="preserve"> '2.1 Model setup'!K82</f>
        <v>6.1 Afskrivninger på transformerstationer</v>
      </c>
      <c r="K714" s="5" t="str">
        <f t="shared" si="108"/>
        <v>DKKt</v>
      </c>
      <c r="O714" s="202"/>
      <c r="P714" s="202"/>
      <c r="Q714" s="202"/>
      <c r="R714" s="1">
        <f xml:space="preserve"> R476 * R547 * ( $N527 = '2.1 Model setup'!$K$45 )</f>
        <v>0</v>
      </c>
      <c r="S714" s="1">
        <f xml:space="preserve"> S476 * S547 * ( $N527 = '2.1 Model setup'!$K$45 )</f>
        <v>0</v>
      </c>
      <c r="T714" s="1">
        <f xml:space="preserve"> T476 * T547 * ( $N527 = '2.1 Model setup'!$K$45 )</f>
        <v>0</v>
      </c>
      <c r="U714" s="1">
        <f xml:space="preserve"> U476 * U547 * ( $N527 = '2.1 Model setup'!$K$45 )</f>
        <v>0</v>
      </c>
      <c r="V714" s="1">
        <f xml:space="preserve"> V476 * V547 * ( $N527 = '2.1 Model setup'!$K$45 )</f>
        <v>0</v>
      </c>
      <c r="W714" s="4">
        <f t="shared" si="109"/>
        <v>0</v>
      </c>
    </row>
    <row r="715" spans="4:23" ht="15" customHeight="1">
      <c r="D715" s="85" t="str">
        <f xml:space="preserve"> '2.1 Model setup'!K83</f>
        <v>6.2 Afskrivninger på netaktiver ekskl. målere og transformerstationer</v>
      </c>
      <c r="K715" s="5" t="str">
        <f t="shared" si="108"/>
        <v>DKKt</v>
      </c>
      <c r="O715" s="202"/>
      <c r="P715" s="202"/>
      <c r="Q715" s="202"/>
      <c r="R715" s="1">
        <f xml:space="preserve"> R477 * R548 * ( $N528 = '2.1 Model setup'!$K$45 )</f>
        <v>0</v>
      </c>
      <c r="S715" s="1">
        <f xml:space="preserve"> S477 * S548 * ( $N528 = '2.1 Model setup'!$K$45 )</f>
        <v>0</v>
      </c>
      <c r="T715" s="1">
        <f xml:space="preserve"> T477 * T548 * ( $N528 = '2.1 Model setup'!$K$45 )</f>
        <v>0</v>
      </c>
      <c r="U715" s="1">
        <f xml:space="preserve"> U477 * U548 * ( $N528 = '2.1 Model setup'!$K$45 )</f>
        <v>0</v>
      </c>
      <c r="V715" s="1">
        <f xml:space="preserve"> V477 * V548 * ( $N528 = '2.1 Model setup'!$K$45 )</f>
        <v>0</v>
      </c>
      <c r="W715" s="4">
        <f t="shared" si="109"/>
        <v>0</v>
      </c>
    </row>
    <row r="716" spans="4:23" ht="15" customHeight="1">
      <c r="D716" s="85" t="str">
        <f xml:space="preserve"> '2.1 Model setup'!K84</f>
        <v>6.3 Afskrivninger på målere</v>
      </c>
      <c r="K716" s="5" t="str">
        <f t="shared" si="108"/>
        <v>DKKt</v>
      </c>
      <c r="O716" s="202"/>
      <c r="P716" s="202"/>
      <c r="Q716" s="202"/>
      <c r="R716" s="1">
        <f xml:space="preserve"> R478 * R549 * ( $N529 = '2.1 Model setup'!$K$45 )</f>
        <v>0</v>
      </c>
      <c r="S716" s="1">
        <f xml:space="preserve"> S478 * S549 * ( $N529 = '2.1 Model setup'!$K$45 )</f>
        <v>0</v>
      </c>
      <c r="T716" s="1">
        <f xml:space="preserve"> T478 * T549 * ( $N529 = '2.1 Model setup'!$K$45 )</f>
        <v>0</v>
      </c>
      <c r="U716" s="1">
        <f xml:space="preserve"> U478 * U549 * ( $N529 = '2.1 Model setup'!$K$45 )</f>
        <v>0</v>
      </c>
      <c r="V716" s="1">
        <f xml:space="preserve"> V478 * V549 * ( $N529 = '2.1 Model setup'!$K$45 )</f>
        <v>0</v>
      </c>
      <c r="W716" s="4">
        <f t="shared" si="109"/>
        <v>0</v>
      </c>
    </row>
    <row r="717" spans="4:23" ht="15" customHeight="1">
      <c r="D717" s="85" t="str">
        <f xml:space="preserve"> '2.1 Model setup'!K85</f>
        <v>7.1 Transformerstationer (forrentning)</v>
      </c>
      <c r="K717" s="5" t="str">
        <f t="shared" si="108"/>
        <v>DKKt</v>
      </c>
      <c r="O717" s="202"/>
      <c r="P717" s="202"/>
      <c r="Q717" s="202"/>
      <c r="R717" s="1">
        <f xml:space="preserve"> R479 * R550 * ( $N530 = '2.1 Model setup'!$K$45 )</f>
        <v>0</v>
      </c>
      <c r="S717" s="1">
        <f xml:space="preserve"> S479 * S550 * ( $N530 = '2.1 Model setup'!$K$45 )</f>
        <v>0</v>
      </c>
      <c r="T717" s="1">
        <f xml:space="preserve"> T479 * T550 * ( $N530 = '2.1 Model setup'!$K$45 )</f>
        <v>0</v>
      </c>
      <c r="U717" s="1">
        <f xml:space="preserve"> U479 * U550 * ( $N530 = '2.1 Model setup'!$K$45 )</f>
        <v>0</v>
      </c>
      <c r="V717" s="1">
        <f xml:space="preserve"> V479 * V550 * ( $N530 = '2.1 Model setup'!$K$45 )</f>
        <v>0</v>
      </c>
      <c r="W717" s="4">
        <f t="shared" si="109"/>
        <v>0</v>
      </c>
    </row>
    <row r="718" spans="4:23" ht="15" customHeight="1">
      <c r="D718" s="85" t="str">
        <f xml:space="preserve"> '2.1 Model setup'!K86</f>
        <v>7.2 Netaktiver ekskl. målere og transformerstationer (forrentning)</v>
      </c>
      <c r="K718" s="5" t="str">
        <f t="shared" si="108"/>
        <v>DKKt</v>
      </c>
      <c r="O718" s="202"/>
      <c r="P718" s="202"/>
      <c r="Q718" s="202"/>
      <c r="R718" s="1">
        <f xml:space="preserve"> R480 * R551 * ( $N531 = '2.1 Model setup'!$K$45 )</f>
        <v>0</v>
      </c>
      <c r="S718" s="1">
        <f xml:space="preserve"> S480 * S551 * ( $N531 = '2.1 Model setup'!$K$45 )</f>
        <v>0</v>
      </c>
      <c r="T718" s="1">
        <f xml:space="preserve"> T480 * T551 * ( $N531 = '2.1 Model setup'!$K$45 )</f>
        <v>0</v>
      </c>
      <c r="U718" s="1">
        <f xml:space="preserve"> U480 * U551 * ( $N531 = '2.1 Model setup'!$K$45 )</f>
        <v>0</v>
      </c>
      <c r="V718" s="1">
        <f xml:space="preserve"> V480 * V551 * ( $N531 = '2.1 Model setup'!$K$45 )</f>
        <v>0</v>
      </c>
      <c r="W718" s="4">
        <f t="shared" si="109"/>
        <v>0</v>
      </c>
    </row>
    <row r="719" spans="4:23" ht="15" customHeight="1">
      <c r="D719" s="99" t="str">
        <f xml:space="preserve"> '2.1 Model setup'!K87</f>
        <v>7.3 Målere (forrentning)</v>
      </c>
      <c r="K719" s="5" t="str">
        <f t="shared" si="108"/>
        <v>DKKt</v>
      </c>
      <c r="O719" s="202"/>
      <c r="P719" s="202"/>
      <c r="Q719" s="202"/>
      <c r="R719" s="1">
        <f xml:space="preserve"> R481 * R552 * ( $N532 = '2.1 Model setup'!$K$45 )</f>
        <v>0</v>
      </c>
      <c r="S719" s="1">
        <f xml:space="preserve"> S481 * S552 * ( $N532 = '2.1 Model setup'!$K$45 )</f>
        <v>0</v>
      </c>
      <c r="T719" s="1">
        <f xml:space="preserve"> T481 * T552 * ( $N532 = '2.1 Model setup'!$K$45 )</f>
        <v>0</v>
      </c>
      <c r="U719" s="1">
        <f xml:space="preserve"> U481 * U552 * ( $N532 = '2.1 Model setup'!$K$45 )</f>
        <v>0</v>
      </c>
      <c r="V719" s="1">
        <f xml:space="preserve"> V481 * V552 * ( $N532 = '2.1 Model setup'!$K$45 )</f>
        <v>0</v>
      </c>
      <c r="W719" s="4">
        <f t="shared" si="109"/>
        <v>0</v>
      </c>
    </row>
    <row r="720" spans="4:23" ht="15" customHeight="1">
      <c r="D720" s="186" t="s">
        <v>16</v>
      </c>
      <c r="E720" s="33"/>
      <c r="F720" s="33"/>
      <c r="G720" s="33"/>
      <c r="H720" s="33"/>
      <c r="I720" s="33"/>
      <c r="J720" s="33"/>
      <c r="K720" s="187" t="str">
        <f t="shared" si="108"/>
        <v>DKKt</v>
      </c>
      <c r="L720" s="186"/>
      <c r="M720" s="186"/>
      <c r="N720" s="186"/>
      <c r="O720" s="388"/>
      <c r="P720" s="388"/>
      <c r="Q720" s="388"/>
      <c r="R720" s="186">
        <f t="shared" ref="R720:W720" si="110" xml:space="preserve"> SUM( R702:R719 )</f>
        <v>0</v>
      </c>
      <c r="S720" s="186">
        <f t="shared" si="110"/>
        <v>0</v>
      </c>
      <c r="T720" s="186">
        <f t="shared" si="110"/>
        <v>0</v>
      </c>
      <c r="U720" s="186">
        <f t="shared" si="110"/>
        <v>0</v>
      </c>
      <c r="V720" s="186">
        <f t="shared" si="110"/>
        <v>0</v>
      </c>
      <c r="W720" s="186">
        <f t="shared" si="110"/>
        <v>0</v>
      </c>
    </row>
    <row r="722" spans="4:23" ht="15" customHeight="1">
      <c r="D722" s="35" t="s">
        <v>451</v>
      </c>
      <c r="E722" s="27"/>
      <c r="F722" s="27"/>
      <c r="G722" s="27"/>
      <c r="H722" s="27"/>
      <c r="I722" s="27"/>
      <c r="J722" s="27"/>
      <c r="K722" s="32"/>
      <c r="L722" s="27"/>
      <c r="M722" s="27"/>
      <c r="N722" s="27"/>
      <c r="O722" s="27"/>
      <c r="P722" s="27"/>
      <c r="Q722" s="27"/>
      <c r="R722" s="27"/>
      <c r="S722" s="27"/>
      <c r="T722" s="27"/>
      <c r="U722" s="27"/>
      <c r="V722" s="27"/>
      <c r="W722" s="185" t="s">
        <v>16</v>
      </c>
    </row>
    <row r="723" spans="4:23" ht="15" customHeight="1">
      <c r="D723" s="85" t="str">
        <f xml:space="preserve"> '2.1 Model setup'!K70</f>
        <v>1.1 Drift og vedligeholdelse af transformerstationer</v>
      </c>
      <c r="K723" s="5" t="str">
        <f t="shared" ref="K723:K741" si="111" xml:space="preserve"> Model.Units</f>
        <v>DKKt</v>
      </c>
      <c r="O723" s="202"/>
      <c r="P723" s="202"/>
      <c r="Q723" s="202"/>
      <c r="R723" s="1">
        <f t="shared" ref="R723:V733" si="112" xml:space="preserve"> R639 + R660</f>
        <v>0</v>
      </c>
      <c r="S723" s="1">
        <f t="shared" si="112"/>
        <v>0</v>
      </c>
      <c r="T723" s="1">
        <f t="shared" si="112"/>
        <v>0</v>
      </c>
      <c r="U723" s="1">
        <f t="shared" si="112"/>
        <v>0</v>
      </c>
      <c r="V723" s="1">
        <f t="shared" si="112"/>
        <v>0</v>
      </c>
      <c r="W723" s="4">
        <f t="shared" ref="W723:W740" si="113" xml:space="preserve"> SUM( R723:V723 )</f>
        <v>0</v>
      </c>
    </row>
    <row r="724" spans="4:23" ht="15" customHeight="1">
      <c r="D724" s="85" t="str">
        <f xml:space="preserve"> '2.1 Model setup'!K71</f>
        <v>1.2 Drift og vedligeholdelse af ledningsnet</v>
      </c>
      <c r="K724" s="5" t="str">
        <f t="shared" si="111"/>
        <v>DKKt</v>
      </c>
      <c r="O724" s="202"/>
      <c r="P724" s="202"/>
      <c r="Q724" s="202"/>
      <c r="R724" s="1">
        <f t="shared" si="112"/>
        <v>0</v>
      </c>
      <c r="S724" s="1">
        <f t="shared" si="112"/>
        <v>0</v>
      </c>
      <c r="T724" s="1">
        <f t="shared" si="112"/>
        <v>0</v>
      </c>
      <c r="U724" s="1">
        <f t="shared" si="112"/>
        <v>0</v>
      </c>
      <c r="V724" s="1">
        <f t="shared" si="112"/>
        <v>0</v>
      </c>
      <c r="W724" s="4">
        <f t="shared" si="113"/>
        <v>0</v>
      </c>
    </row>
    <row r="725" spans="4:23" ht="15" customHeight="1">
      <c r="D725" s="85" t="str">
        <f xml:space="preserve"> '2.1 Model setup'!K72</f>
        <v>1.3 Øvrige omkostninger til drift, styring og kontrol af elnettet</v>
      </c>
      <c r="K725" s="5" t="str">
        <f t="shared" si="111"/>
        <v>DKKt</v>
      </c>
      <c r="O725" s="202"/>
      <c r="P725" s="202"/>
      <c r="Q725" s="202"/>
      <c r="R725" s="1">
        <f t="shared" si="112"/>
        <v>0</v>
      </c>
      <c r="S725" s="1">
        <f t="shared" si="112"/>
        <v>0</v>
      </c>
      <c r="T725" s="1">
        <f t="shared" si="112"/>
        <v>0</v>
      </c>
      <c r="U725" s="1">
        <f t="shared" si="112"/>
        <v>0</v>
      </c>
      <c r="V725" s="1">
        <f t="shared" si="112"/>
        <v>0</v>
      </c>
      <c r="W725" s="4">
        <f t="shared" si="113"/>
        <v>0</v>
      </c>
    </row>
    <row r="726" spans="4:23" ht="15" customHeight="1">
      <c r="D726" s="85" t="str">
        <f xml:space="preserve"> '2.1 Model setup'!K73</f>
        <v>1.4 Omkostninger vedrørende 132-150/30-60 kV-stationer</v>
      </c>
      <c r="K726" s="5" t="str">
        <f t="shared" si="111"/>
        <v>DKKt</v>
      </c>
      <c r="O726" s="202"/>
      <c r="P726" s="202"/>
      <c r="Q726" s="202"/>
      <c r="R726" s="1">
        <f t="shared" si="112"/>
        <v>0</v>
      </c>
      <c r="S726" s="1">
        <f t="shared" si="112"/>
        <v>0</v>
      </c>
      <c r="T726" s="1">
        <f t="shared" si="112"/>
        <v>0</v>
      </c>
      <c r="U726" s="1">
        <f t="shared" si="112"/>
        <v>0</v>
      </c>
      <c r="V726" s="1">
        <f t="shared" si="112"/>
        <v>0</v>
      </c>
      <c r="W726" s="4">
        <f xml:space="preserve"> SUM( R726:V726 )</f>
        <v>0</v>
      </c>
    </row>
    <row r="727" spans="4:23" ht="15" customHeight="1">
      <c r="D727" s="85" t="str">
        <f xml:space="preserve"> '2.1 Model setup'!K74</f>
        <v>2.1 Drift og vedligeholdelse af målere</v>
      </c>
      <c r="K727" s="5" t="str">
        <f t="shared" si="111"/>
        <v>DKKt</v>
      </c>
      <c r="O727" s="202"/>
      <c r="P727" s="202"/>
      <c r="Q727" s="202"/>
      <c r="R727" s="1">
        <f t="shared" si="112"/>
        <v>0</v>
      </c>
      <c r="S727" s="1">
        <f t="shared" si="112"/>
        <v>0</v>
      </c>
      <c r="T727" s="1">
        <f t="shared" si="112"/>
        <v>0</v>
      </c>
      <c r="U727" s="1">
        <f t="shared" si="112"/>
        <v>0</v>
      </c>
      <c r="V727" s="1">
        <f t="shared" si="112"/>
        <v>0</v>
      </c>
      <c r="W727" s="4">
        <f t="shared" si="113"/>
        <v>0</v>
      </c>
    </row>
    <row r="728" spans="4:23" ht="15" customHeight="1">
      <c r="D728" s="85" t="str">
        <f xml:space="preserve"> '2.1 Model setup'!K75</f>
        <v>2.2 Indhentning og validering af målerdata</v>
      </c>
      <c r="K728" s="5" t="str">
        <f t="shared" si="111"/>
        <v>DKKt</v>
      </c>
      <c r="O728" s="202"/>
      <c r="P728" s="202"/>
      <c r="Q728" s="202"/>
      <c r="R728" s="1">
        <f t="shared" si="112"/>
        <v>0</v>
      </c>
      <c r="S728" s="1">
        <f t="shared" si="112"/>
        <v>0</v>
      </c>
      <c r="T728" s="1">
        <f t="shared" si="112"/>
        <v>0</v>
      </c>
      <c r="U728" s="1">
        <f t="shared" si="112"/>
        <v>0</v>
      </c>
      <c r="V728" s="1">
        <f t="shared" si="112"/>
        <v>0</v>
      </c>
      <c r="W728" s="4">
        <f t="shared" si="113"/>
        <v>0</v>
      </c>
    </row>
    <row r="729" spans="4:23" ht="15" customHeight="1">
      <c r="D729" s="85" t="str">
        <f xml:space="preserve"> '2.1 Model setup'!K76</f>
        <v>2.3 Måleradministration og kundehåndtering</v>
      </c>
      <c r="K729" s="5" t="str">
        <f t="shared" si="111"/>
        <v>DKKt</v>
      </c>
      <c r="O729" s="202"/>
      <c r="P729" s="202"/>
      <c r="Q729" s="202"/>
      <c r="R729" s="1">
        <f t="shared" si="112"/>
        <v>0</v>
      </c>
      <c r="S729" s="1">
        <f t="shared" si="112"/>
        <v>0</v>
      </c>
      <c r="T729" s="1">
        <f t="shared" si="112"/>
        <v>0</v>
      </c>
      <c r="U729" s="1">
        <f t="shared" si="112"/>
        <v>0</v>
      </c>
      <c r="V729" s="1">
        <f t="shared" si="112"/>
        <v>0</v>
      </c>
      <c r="W729" s="4">
        <f t="shared" si="113"/>
        <v>0</v>
      </c>
    </row>
    <row r="730" spans="4:23" ht="15" customHeight="1">
      <c r="D730" s="85" t="str">
        <f xml:space="preserve"> '2.1 Model setup'!K77</f>
        <v>3.1 Generel administration</v>
      </c>
      <c r="K730" s="5" t="str">
        <f t="shared" si="111"/>
        <v>DKKt</v>
      </c>
      <c r="O730" s="202"/>
      <c r="P730" s="202"/>
      <c r="Q730" s="202"/>
      <c r="R730" s="1">
        <f t="shared" si="112"/>
        <v>0</v>
      </c>
      <c r="S730" s="1">
        <f t="shared" si="112"/>
        <v>0</v>
      </c>
      <c r="T730" s="1">
        <f t="shared" si="112"/>
        <v>0</v>
      </c>
      <c r="U730" s="1">
        <f t="shared" si="112"/>
        <v>0</v>
      </c>
      <c r="V730" s="1">
        <f t="shared" si="112"/>
        <v>0</v>
      </c>
      <c r="W730" s="4">
        <f t="shared" si="113"/>
        <v>0</v>
      </c>
    </row>
    <row r="731" spans="4:23" ht="15" customHeight="1">
      <c r="D731" s="85" t="str">
        <f xml:space="preserve"> '2.1 Model setup'!K78</f>
        <v>4.1 Omkostninger vedrørende nettab i transformerstationer</v>
      </c>
      <c r="K731" s="5" t="str">
        <f t="shared" si="111"/>
        <v>DKKt</v>
      </c>
      <c r="O731" s="202"/>
      <c r="P731" s="202"/>
      <c r="Q731" s="202"/>
      <c r="R731" s="1">
        <f t="shared" si="112"/>
        <v>0</v>
      </c>
      <c r="S731" s="1">
        <f t="shared" si="112"/>
        <v>0</v>
      </c>
      <c r="T731" s="1">
        <f t="shared" si="112"/>
        <v>0</v>
      </c>
      <c r="U731" s="1">
        <f t="shared" si="112"/>
        <v>0</v>
      </c>
      <c r="V731" s="1">
        <f t="shared" si="112"/>
        <v>0</v>
      </c>
      <c r="W731" s="4">
        <f t="shared" si="113"/>
        <v>0</v>
      </c>
    </row>
    <row r="732" spans="4:23" ht="15" customHeight="1">
      <c r="D732" s="85" t="str">
        <f xml:space="preserve"> '2.1 Model setup'!K79</f>
        <v>4.2 Omkostninger vedrørende nettab i ledningsnettet</v>
      </c>
      <c r="K732" s="5" t="str">
        <f t="shared" si="111"/>
        <v>DKKt</v>
      </c>
      <c r="O732" s="202"/>
      <c r="P732" s="202"/>
      <c r="Q732" s="202"/>
      <c r="R732" s="1">
        <f t="shared" si="112"/>
        <v>0</v>
      </c>
      <c r="S732" s="1">
        <f t="shared" si="112"/>
        <v>0</v>
      </c>
      <c r="T732" s="1">
        <f t="shared" si="112"/>
        <v>0</v>
      </c>
      <c r="U732" s="1">
        <f t="shared" si="112"/>
        <v>0</v>
      </c>
      <c r="V732" s="1">
        <f t="shared" si="112"/>
        <v>0</v>
      </c>
      <c r="W732" s="4">
        <f t="shared" si="113"/>
        <v>0</v>
      </c>
    </row>
    <row r="733" spans="4:23" ht="15" customHeight="1">
      <c r="D733" s="85" t="str">
        <f xml:space="preserve"> '2.1 Model setup'!K80</f>
        <v>5.1 Omkostninger til overliggende net ifm. forbrug</v>
      </c>
      <c r="K733" s="5" t="str">
        <f t="shared" si="111"/>
        <v>DKKt</v>
      </c>
      <c r="O733" s="202"/>
      <c r="P733" s="202"/>
      <c r="Q733" s="202"/>
      <c r="R733" s="1">
        <f t="shared" si="112"/>
        <v>0</v>
      </c>
      <c r="S733" s="1">
        <f t="shared" si="112"/>
        <v>0</v>
      </c>
      <c r="T733" s="1">
        <f t="shared" si="112"/>
        <v>0</v>
      </c>
      <c r="U733" s="1">
        <f t="shared" si="112"/>
        <v>0</v>
      </c>
      <c r="V733" s="1">
        <f t="shared" si="112"/>
        <v>0</v>
      </c>
      <c r="W733" s="4">
        <f xml:space="preserve"> SUM( R733:V733 )</f>
        <v>0</v>
      </c>
    </row>
    <row r="734" spans="4:23" ht="15" customHeight="1">
      <c r="D734" s="85" t="str">
        <f xml:space="preserve"> '2.1 Model setup'!K81</f>
        <v>5.2 Øvrige omkostninger</v>
      </c>
      <c r="K734" s="5" t="str">
        <f t="shared" si="111"/>
        <v>DKKt</v>
      </c>
      <c r="O734" s="202"/>
      <c r="P734" s="202"/>
      <c r="Q734" s="202"/>
      <c r="R734" s="1">
        <f xml:space="preserve"> R650 + R671</f>
        <v>0</v>
      </c>
      <c r="S734" s="1">
        <f xml:space="preserve"> S650 + S671</f>
        <v>0</v>
      </c>
      <c r="T734" s="1">
        <f xml:space="preserve"> T650 + T671</f>
        <v>0</v>
      </c>
      <c r="U734" s="1">
        <f xml:space="preserve"> U650 + U671</f>
        <v>0</v>
      </c>
      <c r="V734" s="1">
        <f xml:space="preserve"> V650 + V671</f>
        <v>0</v>
      </c>
      <c r="W734" s="4">
        <f t="shared" si="113"/>
        <v>0</v>
      </c>
    </row>
    <row r="735" spans="4:23" ht="15" customHeight="1">
      <c r="D735" s="85" t="str">
        <f xml:space="preserve"> '2.1 Model setup'!K82</f>
        <v>6.1 Afskrivninger på transformerstationer</v>
      </c>
      <c r="K735" s="5" t="str">
        <f t="shared" si="111"/>
        <v>DKKt</v>
      </c>
      <c r="O735" s="202"/>
      <c r="P735" s="202"/>
      <c r="Q735" s="202"/>
      <c r="R735" s="1">
        <f t="shared" ref="R735:V740" si="114" xml:space="preserve"> R651 + R672</f>
        <v>0</v>
      </c>
      <c r="S735" s="1">
        <f t="shared" si="114"/>
        <v>0</v>
      </c>
      <c r="T735" s="1">
        <f t="shared" si="114"/>
        <v>0</v>
      </c>
      <c r="U735" s="1">
        <f t="shared" si="114"/>
        <v>0</v>
      </c>
      <c r="V735" s="1">
        <f t="shared" si="114"/>
        <v>0</v>
      </c>
      <c r="W735" s="4">
        <f t="shared" si="113"/>
        <v>0</v>
      </c>
    </row>
    <row r="736" spans="4:23" ht="15" customHeight="1">
      <c r="D736" s="85" t="str">
        <f xml:space="preserve"> '2.1 Model setup'!K83</f>
        <v>6.2 Afskrivninger på netaktiver ekskl. målere og transformerstationer</v>
      </c>
      <c r="K736" s="5" t="str">
        <f t="shared" si="111"/>
        <v>DKKt</v>
      </c>
      <c r="O736" s="202"/>
      <c r="P736" s="202"/>
      <c r="Q736" s="202"/>
      <c r="R736" s="1">
        <f t="shared" si="114"/>
        <v>0</v>
      </c>
      <c r="S736" s="1">
        <f t="shared" si="114"/>
        <v>0</v>
      </c>
      <c r="T736" s="1">
        <f t="shared" si="114"/>
        <v>0</v>
      </c>
      <c r="U736" s="1">
        <f t="shared" si="114"/>
        <v>0</v>
      </c>
      <c r="V736" s="1">
        <f t="shared" si="114"/>
        <v>0</v>
      </c>
      <c r="W736" s="4">
        <f t="shared" si="113"/>
        <v>0</v>
      </c>
    </row>
    <row r="737" spans="4:23" ht="15" customHeight="1">
      <c r="D737" s="85" t="str">
        <f xml:space="preserve"> '2.1 Model setup'!K84</f>
        <v>6.3 Afskrivninger på målere</v>
      </c>
      <c r="K737" s="5" t="str">
        <f t="shared" si="111"/>
        <v>DKKt</v>
      </c>
      <c r="O737" s="202"/>
      <c r="P737" s="202"/>
      <c r="Q737" s="202"/>
      <c r="R737" s="1">
        <f t="shared" si="114"/>
        <v>0</v>
      </c>
      <c r="S737" s="1">
        <f t="shared" si="114"/>
        <v>0</v>
      </c>
      <c r="T737" s="1">
        <f t="shared" si="114"/>
        <v>0</v>
      </c>
      <c r="U737" s="1">
        <f t="shared" si="114"/>
        <v>0</v>
      </c>
      <c r="V737" s="1">
        <f t="shared" si="114"/>
        <v>0</v>
      </c>
      <c r="W737" s="4">
        <f t="shared" si="113"/>
        <v>0</v>
      </c>
    </row>
    <row r="738" spans="4:23" ht="15" customHeight="1">
      <c r="D738" s="85" t="str">
        <f xml:space="preserve"> '2.1 Model setup'!K85</f>
        <v>7.1 Transformerstationer (forrentning)</v>
      </c>
      <c r="K738" s="5" t="str">
        <f t="shared" si="111"/>
        <v>DKKt</v>
      </c>
      <c r="O738" s="202"/>
      <c r="P738" s="202"/>
      <c r="Q738" s="202"/>
      <c r="R738" s="1">
        <f t="shared" si="114"/>
        <v>0</v>
      </c>
      <c r="S738" s="1">
        <f t="shared" si="114"/>
        <v>0</v>
      </c>
      <c r="T738" s="1">
        <f t="shared" si="114"/>
        <v>0</v>
      </c>
      <c r="U738" s="1">
        <f t="shared" si="114"/>
        <v>0</v>
      </c>
      <c r="V738" s="1">
        <f t="shared" si="114"/>
        <v>0</v>
      </c>
      <c r="W738" s="4">
        <f t="shared" si="113"/>
        <v>0</v>
      </c>
    </row>
    <row r="739" spans="4:23" ht="15" customHeight="1">
      <c r="D739" s="85" t="str">
        <f xml:space="preserve"> '2.1 Model setup'!K86</f>
        <v>7.2 Netaktiver ekskl. målere og transformerstationer (forrentning)</v>
      </c>
      <c r="K739" s="5" t="str">
        <f t="shared" si="111"/>
        <v>DKKt</v>
      </c>
      <c r="O739" s="202"/>
      <c r="P739" s="202"/>
      <c r="Q739" s="202"/>
      <c r="R739" s="1">
        <f t="shared" si="114"/>
        <v>0</v>
      </c>
      <c r="S739" s="1">
        <f t="shared" si="114"/>
        <v>0</v>
      </c>
      <c r="T739" s="1">
        <f t="shared" si="114"/>
        <v>0</v>
      </c>
      <c r="U739" s="1">
        <f t="shared" si="114"/>
        <v>0</v>
      </c>
      <c r="V739" s="1">
        <f t="shared" si="114"/>
        <v>0</v>
      </c>
      <c r="W739" s="4">
        <f t="shared" si="113"/>
        <v>0</v>
      </c>
    </row>
    <row r="740" spans="4:23" ht="15" customHeight="1">
      <c r="D740" s="99" t="str">
        <f xml:space="preserve"> '2.1 Model setup'!K87</f>
        <v>7.3 Målere (forrentning)</v>
      </c>
      <c r="K740" s="5" t="str">
        <f t="shared" si="111"/>
        <v>DKKt</v>
      </c>
      <c r="O740" s="202"/>
      <c r="P740" s="202"/>
      <c r="Q740" s="202"/>
      <c r="R740" s="1">
        <f t="shared" si="114"/>
        <v>0</v>
      </c>
      <c r="S740" s="1">
        <f t="shared" si="114"/>
        <v>0</v>
      </c>
      <c r="T740" s="1">
        <f t="shared" si="114"/>
        <v>0</v>
      </c>
      <c r="U740" s="1">
        <f t="shared" si="114"/>
        <v>0</v>
      </c>
      <c r="V740" s="1">
        <f t="shared" si="114"/>
        <v>0</v>
      </c>
      <c r="W740" s="4">
        <f t="shared" si="113"/>
        <v>0</v>
      </c>
    </row>
    <row r="741" spans="4:23" ht="15" customHeight="1">
      <c r="D741" s="186" t="s">
        <v>16</v>
      </c>
      <c r="E741" s="33"/>
      <c r="F741" s="33"/>
      <c r="G741" s="33"/>
      <c r="H741" s="33"/>
      <c r="I741" s="33"/>
      <c r="J741" s="33"/>
      <c r="K741" s="187" t="str">
        <f t="shared" si="111"/>
        <v>DKKt</v>
      </c>
      <c r="L741" s="186"/>
      <c r="M741" s="186"/>
      <c r="N741" s="186"/>
      <c r="O741" s="388"/>
      <c r="P741" s="388"/>
      <c r="Q741" s="388"/>
      <c r="R741" s="186">
        <f t="shared" ref="R741:W741" si="115" xml:space="preserve"> SUM( R723:R740 )</f>
        <v>0</v>
      </c>
      <c r="S741" s="186">
        <f t="shared" si="115"/>
        <v>0</v>
      </c>
      <c r="T741" s="186">
        <f t="shared" si="115"/>
        <v>0</v>
      </c>
      <c r="U741" s="186">
        <f t="shared" si="115"/>
        <v>0</v>
      </c>
      <c r="V741" s="186">
        <f t="shared" si="115"/>
        <v>0</v>
      </c>
      <c r="W741" s="186">
        <f t="shared" si="115"/>
        <v>0</v>
      </c>
    </row>
    <row r="743" spans="4:23" ht="15" customHeight="1">
      <c r="D743" s="35" t="s">
        <v>452</v>
      </c>
      <c r="E743" s="27"/>
      <c r="F743" s="27"/>
      <c r="G743" s="27"/>
      <c r="H743" s="27"/>
      <c r="I743" s="27"/>
      <c r="J743" s="27"/>
      <c r="K743" s="32"/>
      <c r="L743" s="27"/>
      <c r="M743" s="27"/>
      <c r="N743" s="27"/>
      <c r="O743" s="27"/>
      <c r="P743" s="27"/>
      <c r="Q743" s="27"/>
      <c r="R743" s="27"/>
      <c r="S743" s="27"/>
      <c r="T743" s="27"/>
      <c r="U743" s="27"/>
      <c r="V743" s="27"/>
      <c r="W743" s="185" t="s">
        <v>16</v>
      </c>
    </row>
    <row r="744" spans="4:23" ht="15" customHeight="1">
      <c r="D744" s="85" t="str">
        <f xml:space="preserve"> '2.1 Model setup'!K70</f>
        <v>1.1 Drift og vedligeholdelse af transformerstationer</v>
      </c>
      <c r="K744" s="5" t="str">
        <f t="shared" ref="K744:K762" si="116" xml:space="preserve"> Model.Units</f>
        <v>DKKt</v>
      </c>
      <c r="O744" s="202"/>
      <c r="P744" s="202"/>
      <c r="Q744" s="202"/>
      <c r="R744" s="1">
        <f t="shared" ref="R744:V754" si="117" xml:space="preserve"> R681 + R702</f>
        <v>0</v>
      </c>
      <c r="S744" s="1">
        <f t="shared" si="117"/>
        <v>0</v>
      </c>
      <c r="T744" s="1">
        <f t="shared" si="117"/>
        <v>0</v>
      </c>
      <c r="U744" s="1">
        <f t="shared" si="117"/>
        <v>0</v>
      </c>
      <c r="V744" s="1">
        <f t="shared" si="117"/>
        <v>0</v>
      </c>
      <c r="W744" s="4">
        <f t="shared" ref="W744:W761" si="118" xml:space="preserve"> SUM( R744:V744 )</f>
        <v>0</v>
      </c>
    </row>
    <row r="745" spans="4:23" ht="15" customHeight="1">
      <c r="D745" s="85" t="str">
        <f xml:space="preserve"> '2.1 Model setup'!K71</f>
        <v>1.2 Drift og vedligeholdelse af ledningsnet</v>
      </c>
      <c r="K745" s="5" t="str">
        <f t="shared" si="116"/>
        <v>DKKt</v>
      </c>
      <c r="O745" s="202"/>
      <c r="P745" s="202"/>
      <c r="Q745" s="202"/>
      <c r="R745" s="1">
        <f t="shared" si="117"/>
        <v>0</v>
      </c>
      <c r="S745" s="1">
        <f t="shared" si="117"/>
        <v>0</v>
      </c>
      <c r="T745" s="1">
        <f t="shared" si="117"/>
        <v>0</v>
      </c>
      <c r="U745" s="1">
        <f t="shared" si="117"/>
        <v>0</v>
      </c>
      <c r="V745" s="1">
        <f t="shared" si="117"/>
        <v>0</v>
      </c>
      <c r="W745" s="4">
        <f t="shared" si="118"/>
        <v>0</v>
      </c>
    </row>
    <row r="746" spans="4:23" ht="15" customHeight="1">
      <c r="D746" s="85" t="str">
        <f xml:space="preserve"> '2.1 Model setup'!K72</f>
        <v>1.3 Øvrige omkostninger til drift, styring og kontrol af elnettet</v>
      </c>
      <c r="K746" s="5" t="str">
        <f t="shared" si="116"/>
        <v>DKKt</v>
      </c>
      <c r="O746" s="202"/>
      <c r="P746" s="202"/>
      <c r="Q746" s="202"/>
      <c r="R746" s="1">
        <f t="shared" si="117"/>
        <v>0</v>
      </c>
      <c r="S746" s="1">
        <f t="shared" si="117"/>
        <v>0</v>
      </c>
      <c r="T746" s="1">
        <f t="shared" si="117"/>
        <v>0</v>
      </c>
      <c r="U746" s="1">
        <f t="shared" si="117"/>
        <v>0</v>
      </c>
      <c r="V746" s="1">
        <f t="shared" si="117"/>
        <v>0</v>
      </c>
      <c r="W746" s="4">
        <f t="shared" si="118"/>
        <v>0</v>
      </c>
    </row>
    <row r="747" spans="4:23" ht="15" customHeight="1">
      <c r="D747" s="85" t="str">
        <f xml:space="preserve"> '2.1 Model setup'!K73</f>
        <v>1.4 Omkostninger vedrørende 132-150/30-60 kV-stationer</v>
      </c>
      <c r="K747" s="5" t="str">
        <f t="shared" si="116"/>
        <v>DKKt</v>
      </c>
      <c r="O747" s="202"/>
      <c r="P747" s="202"/>
      <c r="Q747" s="202"/>
      <c r="R747" s="1">
        <f t="shared" si="117"/>
        <v>0</v>
      </c>
      <c r="S747" s="1">
        <f t="shared" si="117"/>
        <v>0</v>
      </c>
      <c r="T747" s="1">
        <f t="shared" si="117"/>
        <v>0</v>
      </c>
      <c r="U747" s="1">
        <f t="shared" si="117"/>
        <v>0</v>
      </c>
      <c r="V747" s="1">
        <f t="shared" si="117"/>
        <v>0</v>
      </c>
      <c r="W747" s="4">
        <f xml:space="preserve"> SUM( R747:V747 )</f>
        <v>0</v>
      </c>
    </row>
    <row r="748" spans="4:23" ht="15" customHeight="1">
      <c r="D748" s="85" t="str">
        <f xml:space="preserve"> '2.1 Model setup'!K74</f>
        <v>2.1 Drift og vedligeholdelse af målere</v>
      </c>
      <c r="K748" s="5" t="str">
        <f t="shared" si="116"/>
        <v>DKKt</v>
      </c>
      <c r="O748" s="202"/>
      <c r="P748" s="202"/>
      <c r="Q748" s="202"/>
      <c r="R748" s="1">
        <f t="shared" si="117"/>
        <v>0</v>
      </c>
      <c r="S748" s="1">
        <f t="shared" si="117"/>
        <v>0</v>
      </c>
      <c r="T748" s="1">
        <f t="shared" si="117"/>
        <v>0</v>
      </c>
      <c r="U748" s="1">
        <f t="shared" si="117"/>
        <v>0</v>
      </c>
      <c r="V748" s="1">
        <f t="shared" si="117"/>
        <v>0</v>
      </c>
      <c r="W748" s="4">
        <f t="shared" si="118"/>
        <v>0</v>
      </c>
    </row>
    <row r="749" spans="4:23" ht="15" customHeight="1">
      <c r="D749" s="85" t="str">
        <f xml:space="preserve"> '2.1 Model setup'!K75</f>
        <v>2.2 Indhentning og validering af målerdata</v>
      </c>
      <c r="K749" s="5" t="str">
        <f t="shared" si="116"/>
        <v>DKKt</v>
      </c>
      <c r="O749" s="202"/>
      <c r="P749" s="202"/>
      <c r="Q749" s="202"/>
      <c r="R749" s="1">
        <f t="shared" si="117"/>
        <v>0</v>
      </c>
      <c r="S749" s="1">
        <f t="shared" si="117"/>
        <v>0</v>
      </c>
      <c r="T749" s="1">
        <f t="shared" si="117"/>
        <v>0</v>
      </c>
      <c r="U749" s="1">
        <f t="shared" si="117"/>
        <v>0</v>
      </c>
      <c r="V749" s="1">
        <f t="shared" si="117"/>
        <v>0</v>
      </c>
      <c r="W749" s="4">
        <f t="shared" si="118"/>
        <v>0</v>
      </c>
    </row>
    <row r="750" spans="4:23" ht="15" customHeight="1">
      <c r="D750" s="85" t="str">
        <f xml:space="preserve"> '2.1 Model setup'!K76</f>
        <v>2.3 Måleradministration og kundehåndtering</v>
      </c>
      <c r="K750" s="5" t="str">
        <f t="shared" si="116"/>
        <v>DKKt</v>
      </c>
      <c r="O750" s="202"/>
      <c r="P750" s="202"/>
      <c r="Q750" s="202"/>
      <c r="R750" s="1">
        <f t="shared" si="117"/>
        <v>0</v>
      </c>
      <c r="S750" s="1">
        <f t="shared" si="117"/>
        <v>0</v>
      </c>
      <c r="T750" s="1">
        <f t="shared" si="117"/>
        <v>0</v>
      </c>
      <c r="U750" s="1">
        <f t="shared" si="117"/>
        <v>0</v>
      </c>
      <c r="V750" s="1">
        <f t="shared" si="117"/>
        <v>0</v>
      </c>
      <c r="W750" s="4">
        <f t="shared" si="118"/>
        <v>0</v>
      </c>
    </row>
    <row r="751" spans="4:23" ht="15" customHeight="1">
      <c r="D751" s="85" t="str">
        <f xml:space="preserve"> '2.1 Model setup'!K77</f>
        <v>3.1 Generel administration</v>
      </c>
      <c r="K751" s="5" t="str">
        <f t="shared" si="116"/>
        <v>DKKt</v>
      </c>
      <c r="O751" s="202"/>
      <c r="P751" s="202"/>
      <c r="Q751" s="202"/>
      <c r="R751" s="1">
        <f t="shared" si="117"/>
        <v>0</v>
      </c>
      <c r="S751" s="1">
        <f t="shared" si="117"/>
        <v>0</v>
      </c>
      <c r="T751" s="1">
        <f t="shared" si="117"/>
        <v>0</v>
      </c>
      <c r="U751" s="1">
        <f t="shared" si="117"/>
        <v>0</v>
      </c>
      <c r="V751" s="1">
        <f t="shared" si="117"/>
        <v>0</v>
      </c>
      <c r="W751" s="4">
        <f t="shared" si="118"/>
        <v>0</v>
      </c>
    </row>
    <row r="752" spans="4:23" ht="15" customHeight="1">
      <c r="D752" s="85" t="str">
        <f xml:space="preserve"> '2.1 Model setup'!K78</f>
        <v>4.1 Omkostninger vedrørende nettab i transformerstationer</v>
      </c>
      <c r="K752" s="5" t="str">
        <f t="shared" si="116"/>
        <v>DKKt</v>
      </c>
      <c r="O752" s="202"/>
      <c r="P752" s="202"/>
      <c r="Q752" s="202"/>
      <c r="R752" s="1">
        <f t="shared" si="117"/>
        <v>0</v>
      </c>
      <c r="S752" s="1">
        <f t="shared" si="117"/>
        <v>0</v>
      </c>
      <c r="T752" s="1">
        <f t="shared" si="117"/>
        <v>0</v>
      </c>
      <c r="U752" s="1">
        <f t="shared" si="117"/>
        <v>0</v>
      </c>
      <c r="V752" s="1">
        <f t="shared" si="117"/>
        <v>0</v>
      </c>
      <c r="W752" s="4">
        <f t="shared" si="118"/>
        <v>0</v>
      </c>
    </row>
    <row r="753" spans="4:23" ht="15" customHeight="1">
      <c r="D753" s="85" t="str">
        <f xml:space="preserve"> '2.1 Model setup'!K79</f>
        <v>4.2 Omkostninger vedrørende nettab i ledningsnettet</v>
      </c>
      <c r="K753" s="5" t="str">
        <f t="shared" si="116"/>
        <v>DKKt</v>
      </c>
      <c r="O753" s="202"/>
      <c r="P753" s="202"/>
      <c r="Q753" s="202"/>
      <c r="R753" s="1">
        <f t="shared" si="117"/>
        <v>0</v>
      </c>
      <c r="S753" s="1">
        <f t="shared" si="117"/>
        <v>0</v>
      </c>
      <c r="T753" s="1">
        <f t="shared" si="117"/>
        <v>0</v>
      </c>
      <c r="U753" s="1">
        <f t="shared" si="117"/>
        <v>0</v>
      </c>
      <c r="V753" s="1">
        <f t="shared" si="117"/>
        <v>0</v>
      </c>
      <c r="W753" s="4">
        <f t="shared" si="118"/>
        <v>0</v>
      </c>
    </row>
    <row r="754" spans="4:23" ht="15" customHeight="1">
      <c r="D754" s="85" t="str">
        <f xml:space="preserve"> '2.1 Model setup'!K80</f>
        <v>5.1 Omkostninger til overliggende net ifm. forbrug</v>
      </c>
      <c r="K754" s="5" t="str">
        <f t="shared" si="116"/>
        <v>DKKt</v>
      </c>
      <c r="O754" s="202"/>
      <c r="P754" s="202"/>
      <c r="Q754" s="202"/>
      <c r="R754" s="1">
        <f t="shared" si="117"/>
        <v>0</v>
      </c>
      <c r="S754" s="1">
        <f t="shared" si="117"/>
        <v>0</v>
      </c>
      <c r="T754" s="1">
        <f t="shared" si="117"/>
        <v>0</v>
      </c>
      <c r="U754" s="1">
        <f t="shared" si="117"/>
        <v>0</v>
      </c>
      <c r="V754" s="1">
        <f t="shared" si="117"/>
        <v>0</v>
      </c>
      <c r="W754" s="4">
        <f xml:space="preserve"> SUM( R754:V754 )</f>
        <v>0</v>
      </c>
    </row>
    <row r="755" spans="4:23" ht="15" customHeight="1">
      <c r="D755" s="85" t="str">
        <f xml:space="preserve"> '2.1 Model setup'!K81</f>
        <v>5.2 Øvrige omkostninger</v>
      </c>
      <c r="K755" s="5" t="str">
        <f t="shared" si="116"/>
        <v>DKKt</v>
      </c>
      <c r="O755" s="202"/>
      <c r="P755" s="202"/>
      <c r="Q755" s="202"/>
      <c r="R755" s="1">
        <f xml:space="preserve"> R692 + R713</f>
        <v>0</v>
      </c>
      <c r="S755" s="1">
        <f xml:space="preserve"> S692 + S713</f>
        <v>0</v>
      </c>
      <c r="T755" s="1">
        <f xml:space="preserve"> T692 + T713</f>
        <v>0</v>
      </c>
      <c r="U755" s="1">
        <f xml:space="preserve"> U692 + U713</f>
        <v>0</v>
      </c>
      <c r="V755" s="1">
        <f xml:space="preserve"> V692 + V713</f>
        <v>0</v>
      </c>
      <c r="W755" s="4">
        <f t="shared" si="118"/>
        <v>0</v>
      </c>
    </row>
    <row r="756" spans="4:23" ht="15" customHeight="1">
      <c r="D756" s="85" t="str">
        <f xml:space="preserve"> '2.1 Model setup'!K82</f>
        <v>6.1 Afskrivninger på transformerstationer</v>
      </c>
      <c r="K756" s="5" t="str">
        <f t="shared" si="116"/>
        <v>DKKt</v>
      </c>
      <c r="O756" s="202"/>
      <c r="P756" s="202"/>
      <c r="Q756" s="202"/>
      <c r="R756" s="1">
        <f t="shared" ref="R756:V761" si="119" xml:space="preserve"> R693 + R714</f>
        <v>0</v>
      </c>
      <c r="S756" s="1">
        <f t="shared" si="119"/>
        <v>0</v>
      </c>
      <c r="T756" s="1">
        <f t="shared" si="119"/>
        <v>0</v>
      </c>
      <c r="U756" s="1">
        <f t="shared" si="119"/>
        <v>0</v>
      </c>
      <c r="V756" s="1">
        <f t="shared" si="119"/>
        <v>0</v>
      </c>
      <c r="W756" s="4">
        <f t="shared" si="118"/>
        <v>0</v>
      </c>
    </row>
    <row r="757" spans="4:23" ht="15" customHeight="1">
      <c r="D757" s="85" t="str">
        <f xml:space="preserve"> '2.1 Model setup'!K83</f>
        <v>6.2 Afskrivninger på netaktiver ekskl. målere og transformerstationer</v>
      </c>
      <c r="K757" s="5" t="str">
        <f t="shared" si="116"/>
        <v>DKKt</v>
      </c>
      <c r="O757" s="202"/>
      <c r="P757" s="202"/>
      <c r="Q757" s="202"/>
      <c r="R757" s="1">
        <f t="shared" si="119"/>
        <v>0</v>
      </c>
      <c r="S757" s="1">
        <f t="shared" si="119"/>
        <v>0</v>
      </c>
      <c r="T757" s="1">
        <f t="shared" si="119"/>
        <v>0</v>
      </c>
      <c r="U757" s="1">
        <f t="shared" si="119"/>
        <v>0</v>
      </c>
      <c r="V757" s="1">
        <f t="shared" si="119"/>
        <v>0</v>
      </c>
      <c r="W757" s="4">
        <f t="shared" si="118"/>
        <v>0</v>
      </c>
    </row>
    <row r="758" spans="4:23" ht="15" customHeight="1">
      <c r="D758" s="85" t="str">
        <f xml:space="preserve"> '2.1 Model setup'!K84</f>
        <v>6.3 Afskrivninger på målere</v>
      </c>
      <c r="K758" s="5" t="str">
        <f t="shared" si="116"/>
        <v>DKKt</v>
      </c>
      <c r="O758" s="202"/>
      <c r="P758" s="202"/>
      <c r="Q758" s="202"/>
      <c r="R758" s="1">
        <f t="shared" si="119"/>
        <v>0</v>
      </c>
      <c r="S758" s="1">
        <f t="shared" si="119"/>
        <v>0</v>
      </c>
      <c r="T758" s="1">
        <f t="shared" si="119"/>
        <v>0</v>
      </c>
      <c r="U758" s="1">
        <f t="shared" si="119"/>
        <v>0</v>
      </c>
      <c r="V758" s="1">
        <f t="shared" si="119"/>
        <v>0</v>
      </c>
      <c r="W758" s="4">
        <f t="shared" si="118"/>
        <v>0</v>
      </c>
    </row>
    <row r="759" spans="4:23" ht="15" customHeight="1">
      <c r="D759" s="85" t="str">
        <f xml:space="preserve"> '2.1 Model setup'!K85</f>
        <v>7.1 Transformerstationer (forrentning)</v>
      </c>
      <c r="K759" s="5" t="str">
        <f t="shared" si="116"/>
        <v>DKKt</v>
      </c>
      <c r="O759" s="202"/>
      <c r="P759" s="202"/>
      <c r="Q759" s="202"/>
      <c r="R759" s="1">
        <f t="shared" si="119"/>
        <v>0</v>
      </c>
      <c r="S759" s="1">
        <f t="shared" si="119"/>
        <v>0</v>
      </c>
      <c r="T759" s="1">
        <f t="shared" si="119"/>
        <v>0</v>
      </c>
      <c r="U759" s="1">
        <f t="shared" si="119"/>
        <v>0</v>
      </c>
      <c r="V759" s="1">
        <f t="shared" si="119"/>
        <v>0</v>
      </c>
      <c r="W759" s="4">
        <f t="shared" si="118"/>
        <v>0</v>
      </c>
    </row>
    <row r="760" spans="4:23" ht="15" customHeight="1">
      <c r="D760" s="85" t="str">
        <f xml:space="preserve"> '2.1 Model setup'!K86</f>
        <v>7.2 Netaktiver ekskl. målere og transformerstationer (forrentning)</v>
      </c>
      <c r="K760" s="5" t="str">
        <f t="shared" si="116"/>
        <v>DKKt</v>
      </c>
      <c r="O760" s="202"/>
      <c r="P760" s="202"/>
      <c r="Q760" s="202"/>
      <c r="R760" s="1">
        <f t="shared" si="119"/>
        <v>0</v>
      </c>
      <c r="S760" s="1">
        <f t="shared" si="119"/>
        <v>0</v>
      </c>
      <c r="T760" s="1">
        <f t="shared" si="119"/>
        <v>0</v>
      </c>
      <c r="U760" s="1">
        <f t="shared" si="119"/>
        <v>0</v>
      </c>
      <c r="V760" s="1">
        <f t="shared" si="119"/>
        <v>0</v>
      </c>
      <c r="W760" s="4">
        <f t="shared" si="118"/>
        <v>0</v>
      </c>
    </row>
    <row r="761" spans="4:23" ht="15" customHeight="1">
      <c r="D761" s="99" t="str">
        <f xml:space="preserve"> '2.1 Model setup'!K87</f>
        <v>7.3 Målere (forrentning)</v>
      </c>
      <c r="K761" s="5" t="str">
        <f t="shared" si="116"/>
        <v>DKKt</v>
      </c>
      <c r="O761" s="202"/>
      <c r="P761" s="202"/>
      <c r="Q761" s="202"/>
      <c r="R761" s="1">
        <f t="shared" si="119"/>
        <v>0</v>
      </c>
      <c r="S761" s="1">
        <f t="shared" si="119"/>
        <v>0</v>
      </c>
      <c r="T761" s="1">
        <f t="shared" si="119"/>
        <v>0</v>
      </c>
      <c r="U761" s="1">
        <f t="shared" si="119"/>
        <v>0</v>
      </c>
      <c r="V761" s="1">
        <f t="shared" si="119"/>
        <v>0</v>
      </c>
      <c r="W761" s="4">
        <f t="shared" si="118"/>
        <v>0</v>
      </c>
    </row>
    <row r="762" spans="4:23" ht="15" customHeight="1">
      <c r="D762" s="186" t="s">
        <v>16</v>
      </c>
      <c r="E762" s="33"/>
      <c r="F762" s="33"/>
      <c r="G762" s="33"/>
      <c r="H762" s="33"/>
      <c r="I762" s="33"/>
      <c r="J762" s="33"/>
      <c r="K762" s="187" t="str">
        <f t="shared" si="116"/>
        <v>DKKt</v>
      </c>
      <c r="L762" s="186"/>
      <c r="M762" s="186"/>
      <c r="N762" s="186"/>
      <c r="O762" s="388"/>
      <c r="P762" s="388"/>
      <c r="Q762" s="388"/>
      <c r="R762" s="186">
        <f t="shared" ref="R762:W762" si="120" xml:space="preserve"> SUM( R744:R761 )</f>
        <v>0</v>
      </c>
      <c r="S762" s="186">
        <f t="shared" si="120"/>
        <v>0</v>
      </c>
      <c r="T762" s="186">
        <f t="shared" si="120"/>
        <v>0</v>
      </c>
      <c r="U762" s="186">
        <f t="shared" si="120"/>
        <v>0</v>
      </c>
      <c r="V762" s="186">
        <f t="shared" si="120"/>
        <v>0</v>
      </c>
      <c r="W762" s="186">
        <f t="shared" si="120"/>
        <v>0</v>
      </c>
    </row>
    <row r="764" spans="4:23" ht="15" customHeight="1">
      <c r="D764" s="35" t="s">
        <v>298</v>
      </c>
      <c r="E764" s="27"/>
      <c r="F764" s="27"/>
      <c r="G764" s="27"/>
      <c r="H764" s="27"/>
      <c r="I764" s="27"/>
      <c r="J764" s="27"/>
      <c r="K764" s="32"/>
      <c r="L764" s="27"/>
      <c r="M764" s="27"/>
      <c r="N764" s="27"/>
      <c r="O764" s="27"/>
      <c r="P764" s="27"/>
      <c r="Q764" s="27"/>
      <c r="R764" s="27"/>
      <c r="S764" s="27"/>
      <c r="T764" s="27"/>
      <c r="U764" s="27"/>
      <c r="V764" s="27"/>
      <c r="W764" s="27"/>
    </row>
    <row r="765" spans="4:23" ht="15" customHeight="1">
      <c r="D765" s="1" t="s">
        <v>117</v>
      </c>
      <c r="K765" s="5" t="str">
        <f xml:space="preserve"> Model.Units</f>
        <v>DKKt</v>
      </c>
      <c r="O765" s="202"/>
      <c r="P765" s="202"/>
      <c r="Q765" s="202"/>
      <c r="R765" s="1">
        <f xml:space="preserve"> R741</f>
        <v>0</v>
      </c>
      <c r="S765" s="1">
        <f xml:space="preserve"> S741</f>
        <v>0</v>
      </c>
      <c r="T765" s="1">
        <f xml:space="preserve"> T741</f>
        <v>0</v>
      </c>
      <c r="U765" s="1">
        <f xml:space="preserve"> U741</f>
        <v>0</v>
      </c>
      <c r="V765" s="1">
        <f xml:space="preserve"> V741</f>
        <v>0</v>
      </c>
      <c r="W765" s="4">
        <f xml:space="preserve"> SUM( R765:V765 )</f>
        <v>0</v>
      </c>
    </row>
    <row r="766" spans="4:23" ht="15" customHeight="1">
      <c r="D766" s="1" t="s">
        <v>118</v>
      </c>
      <c r="K766" s="5" t="str">
        <f xml:space="preserve"> Model.Units</f>
        <v>DKKt</v>
      </c>
      <c r="O766" s="202"/>
      <c r="P766" s="202"/>
      <c r="Q766" s="202"/>
      <c r="R766" s="1">
        <f xml:space="preserve"> R762</f>
        <v>0</v>
      </c>
      <c r="S766" s="1">
        <f xml:space="preserve"> S762</f>
        <v>0</v>
      </c>
      <c r="T766" s="1">
        <f xml:space="preserve"> T762</f>
        <v>0</v>
      </c>
      <c r="U766" s="1">
        <f xml:space="preserve"> U762</f>
        <v>0</v>
      </c>
      <c r="V766" s="1">
        <f xml:space="preserve"> V762</f>
        <v>0</v>
      </c>
      <c r="W766" s="4">
        <f xml:space="preserve"> SUM( R766:V766 )</f>
        <v>0</v>
      </c>
    </row>
    <row r="767" spans="4:23" ht="15" customHeight="1">
      <c r="D767" s="186" t="s">
        <v>16</v>
      </c>
      <c r="E767" s="33"/>
      <c r="F767" s="33"/>
      <c r="G767" s="33"/>
      <c r="H767" s="33"/>
      <c r="I767" s="33"/>
      <c r="J767" s="33"/>
      <c r="K767" s="187" t="str">
        <f xml:space="preserve"> Model.Units</f>
        <v>DKKt</v>
      </c>
      <c r="L767" s="90" cm="1">
        <f t="array" ref="L767" xml:space="preserve"> -- ( SUMPRODUCT(-- ( ROUND( R767:W767, 5 ) &lt;&gt; ROUND( R508:W508, 5 ) ) ) &gt; 0 )</f>
        <v>0</v>
      </c>
      <c r="M767" s="33"/>
      <c r="N767" s="33"/>
      <c r="O767" s="271"/>
      <c r="P767" s="271"/>
      <c r="Q767" s="271"/>
      <c r="R767" s="186">
        <f t="shared" ref="R767:W767" si="121" xml:space="preserve"> SUM( R765:R766 )</f>
        <v>0</v>
      </c>
      <c r="S767" s="186">
        <f t="shared" si="121"/>
        <v>0</v>
      </c>
      <c r="T767" s="186">
        <f t="shared" si="121"/>
        <v>0</v>
      </c>
      <c r="U767" s="186">
        <f t="shared" si="121"/>
        <v>0</v>
      </c>
      <c r="V767" s="186">
        <f t="shared" si="121"/>
        <v>0</v>
      </c>
      <c r="W767" s="186">
        <f t="shared" si="121"/>
        <v>0</v>
      </c>
    </row>
    <row r="768" spans="4:23" ht="15" customHeight="1">
      <c r="D768" s="204"/>
    </row>
    <row r="769" spans="2:23" ht="15" customHeight="1">
      <c r="D769" s="204"/>
    </row>
    <row r="770" spans="2:23" ht="15" customHeight="1">
      <c r="D770" s="204"/>
    </row>
    <row r="771" spans="2:23" s="475" customFormat="1" ht="15" customHeight="1">
      <c r="B771" s="479" t="str">
        <f xml:space="preserve"> COUNTA(B$10:B756) &amp; ") Beregning af effektpriser"</f>
        <v>4) Beregning af effektpriser</v>
      </c>
      <c r="C771" s="477"/>
      <c r="D771" s="478"/>
      <c r="K771" s="472"/>
    </row>
    <row r="773" spans="2:23" ht="15" customHeight="1">
      <c r="D773" s="88" t="s">
        <v>47</v>
      </c>
      <c r="F773" s="107"/>
      <c r="G773" s="107"/>
      <c r="H773" s="107"/>
      <c r="I773" s="107"/>
      <c r="J773" s="107"/>
      <c r="K773" s="87"/>
      <c r="L773" s="85"/>
      <c r="M773" s="85"/>
      <c r="N773" s="107"/>
      <c r="O773" s="107"/>
      <c r="P773" s="107"/>
      <c r="Q773" s="107"/>
    </row>
    <row r="774" spans="2:23" ht="15" customHeight="1">
      <c r="D774" s="90" t="s">
        <v>48</v>
      </c>
      <c r="E774" s="33"/>
      <c r="F774" s="120"/>
      <c r="G774" s="120"/>
      <c r="H774" s="120"/>
      <c r="I774" s="120"/>
      <c r="J774" s="120"/>
      <c r="K774" s="92" t="s">
        <v>3</v>
      </c>
      <c r="L774" s="90"/>
      <c r="M774" s="90"/>
      <c r="N774" s="120"/>
      <c r="O774" s="371"/>
      <c r="P774" s="371"/>
      <c r="Q774" s="371"/>
      <c r="R774" s="183">
        <f xml:space="preserve"> '2.3 Selskabsspecifikke input'!R167</f>
        <v>0</v>
      </c>
      <c r="S774" s="183">
        <f xml:space="preserve"> '2.3 Selskabsspecifikke input'!S167</f>
        <v>0</v>
      </c>
      <c r="T774" s="183">
        <f xml:space="preserve"> '2.3 Selskabsspecifikke input'!T167</f>
        <v>0</v>
      </c>
      <c r="U774" s="183">
        <f xml:space="preserve"> '2.3 Selskabsspecifikke input'!U167</f>
        <v>0</v>
      </c>
      <c r="V774" s="183">
        <f xml:space="preserve"> '2.3 Selskabsspecifikke input'!V167</f>
        <v>0</v>
      </c>
      <c r="W774" s="33"/>
    </row>
    <row r="776" spans="2:23" ht="15" customHeight="1">
      <c r="D776" s="35" t="s">
        <v>267</v>
      </c>
      <c r="E776" s="27"/>
      <c r="F776" s="27"/>
      <c r="G776" s="27"/>
      <c r="H776" s="27"/>
      <c r="I776" s="27"/>
      <c r="J776" s="27"/>
      <c r="K776" s="32"/>
      <c r="L776" s="27"/>
      <c r="M776" s="27"/>
      <c r="N776" s="27"/>
      <c r="O776" s="27"/>
      <c r="P776" s="27"/>
      <c r="Q776" s="27"/>
      <c r="R776" s="27"/>
      <c r="S776" s="27"/>
      <c r="T776" s="27"/>
      <c r="U776" s="27"/>
      <c r="V776" s="27"/>
      <c r="W776" s="185"/>
    </row>
    <row r="777" spans="2:23" ht="15" customHeight="1">
      <c r="D777" s="85" t="str">
        <f xml:space="preserve"> '2.1 Model setup'!K70</f>
        <v>1.1 Drift og vedligeholdelse af transformerstationer</v>
      </c>
      <c r="K777" s="5" t="s">
        <v>134</v>
      </c>
      <c r="O777" s="202"/>
      <c r="P777" s="202"/>
      <c r="Q777" s="202"/>
      <c r="R777" s="1">
        <f t="shared" ref="R777:V786" si="122" xml:space="preserve"> IFERROR( R744 / R$774, 0 ) * tDKKtilDKK</f>
        <v>0</v>
      </c>
      <c r="S777" s="1">
        <f t="shared" si="122"/>
        <v>0</v>
      </c>
      <c r="T777" s="1">
        <f t="shared" si="122"/>
        <v>0</v>
      </c>
      <c r="U777" s="1">
        <f t="shared" si="122"/>
        <v>0</v>
      </c>
      <c r="V777" s="1">
        <f t="shared" si="122"/>
        <v>0</v>
      </c>
      <c r="W777" s="111"/>
    </row>
    <row r="778" spans="2:23" ht="15" customHeight="1">
      <c r="D778" s="85" t="str">
        <f xml:space="preserve"> '2.1 Model setup'!K71</f>
        <v>1.2 Drift og vedligeholdelse af ledningsnet</v>
      </c>
      <c r="K778" s="5" t="s">
        <v>134</v>
      </c>
      <c r="O778" s="202"/>
      <c r="P778" s="202"/>
      <c r="Q778" s="202"/>
      <c r="R778" s="1">
        <f t="shared" si="122"/>
        <v>0</v>
      </c>
      <c r="S778" s="1">
        <f t="shared" si="122"/>
        <v>0</v>
      </c>
      <c r="T778" s="1">
        <f t="shared" si="122"/>
        <v>0</v>
      </c>
      <c r="U778" s="1">
        <f t="shared" si="122"/>
        <v>0</v>
      </c>
      <c r="V778" s="1">
        <f t="shared" si="122"/>
        <v>0</v>
      </c>
      <c r="W778" s="111"/>
    </row>
    <row r="779" spans="2:23" ht="15" customHeight="1">
      <c r="D779" s="85" t="str">
        <f xml:space="preserve"> '2.1 Model setup'!K72</f>
        <v>1.3 Øvrige omkostninger til drift, styring og kontrol af elnettet</v>
      </c>
      <c r="K779" s="5" t="s">
        <v>134</v>
      </c>
      <c r="O779" s="202"/>
      <c r="P779" s="202"/>
      <c r="Q779" s="202"/>
      <c r="R779" s="1">
        <f t="shared" si="122"/>
        <v>0</v>
      </c>
      <c r="S779" s="1">
        <f t="shared" si="122"/>
        <v>0</v>
      </c>
      <c r="T779" s="1">
        <f t="shared" si="122"/>
        <v>0</v>
      </c>
      <c r="U779" s="1">
        <f t="shared" si="122"/>
        <v>0</v>
      </c>
      <c r="V779" s="1">
        <f t="shared" si="122"/>
        <v>0</v>
      </c>
      <c r="W779" s="111"/>
    </row>
    <row r="780" spans="2:23" ht="15" customHeight="1">
      <c r="D780" s="85" t="str">
        <f xml:space="preserve"> '2.1 Model setup'!K73</f>
        <v>1.4 Omkostninger vedrørende 132-150/30-60 kV-stationer</v>
      </c>
      <c r="K780" s="5" t="s">
        <v>134</v>
      </c>
      <c r="O780" s="202"/>
      <c r="P780" s="202"/>
      <c r="Q780" s="202"/>
      <c r="R780" s="1">
        <f t="shared" si="122"/>
        <v>0</v>
      </c>
      <c r="S780" s="1">
        <f t="shared" si="122"/>
        <v>0</v>
      </c>
      <c r="T780" s="1">
        <f t="shared" si="122"/>
        <v>0</v>
      </c>
      <c r="U780" s="1">
        <f t="shared" si="122"/>
        <v>0</v>
      </c>
      <c r="V780" s="1">
        <f t="shared" si="122"/>
        <v>0</v>
      </c>
      <c r="W780" s="111"/>
    </row>
    <row r="781" spans="2:23" ht="15" customHeight="1">
      <c r="D781" s="85" t="str">
        <f xml:space="preserve"> '2.1 Model setup'!K74</f>
        <v>2.1 Drift og vedligeholdelse af målere</v>
      </c>
      <c r="K781" s="5" t="s">
        <v>134</v>
      </c>
      <c r="O781" s="202"/>
      <c r="P781" s="202"/>
      <c r="Q781" s="202"/>
      <c r="R781" s="1">
        <f t="shared" si="122"/>
        <v>0</v>
      </c>
      <c r="S781" s="1">
        <f t="shared" si="122"/>
        <v>0</v>
      </c>
      <c r="T781" s="1">
        <f t="shared" si="122"/>
        <v>0</v>
      </c>
      <c r="U781" s="1">
        <f t="shared" si="122"/>
        <v>0</v>
      </c>
      <c r="V781" s="1">
        <f t="shared" si="122"/>
        <v>0</v>
      </c>
      <c r="W781" s="111"/>
    </row>
    <row r="782" spans="2:23" ht="15" customHeight="1">
      <c r="D782" s="85" t="str">
        <f xml:space="preserve"> '2.1 Model setup'!K75</f>
        <v>2.2 Indhentning og validering af målerdata</v>
      </c>
      <c r="K782" s="5" t="s">
        <v>134</v>
      </c>
      <c r="O782" s="202"/>
      <c r="P782" s="202"/>
      <c r="Q782" s="202"/>
      <c r="R782" s="1">
        <f t="shared" si="122"/>
        <v>0</v>
      </c>
      <c r="S782" s="1">
        <f t="shared" si="122"/>
        <v>0</v>
      </c>
      <c r="T782" s="1">
        <f t="shared" si="122"/>
        <v>0</v>
      </c>
      <c r="U782" s="1">
        <f t="shared" si="122"/>
        <v>0</v>
      </c>
      <c r="V782" s="1">
        <f t="shared" si="122"/>
        <v>0</v>
      </c>
      <c r="W782" s="111"/>
    </row>
    <row r="783" spans="2:23" ht="15" customHeight="1">
      <c r="D783" s="85" t="str">
        <f xml:space="preserve"> '2.1 Model setup'!K76</f>
        <v>2.3 Måleradministration og kundehåndtering</v>
      </c>
      <c r="K783" s="5" t="s">
        <v>134</v>
      </c>
      <c r="O783" s="202"/>
      <c r="P783" s="202"/>
      <c r="Q783" s="202"/>
      <c r="R783" s="1">
        <f t="shared" si="122"/>
        <v>0</v>
      </c>
      <c r="S783" s="1">
        <f t="shared" si="122"/>
        <v>0</v>
      </c>
      <c r="T783" s="1">
        <f t="shared" si="122"/>
        <v>0</v>
      </c>
      <c r="U783" s="1">
        <f t="shared" si="122"/>
        <v>0</v>
      </c>
      <c r="V783" s="1">
        <f t="shared" si="122"/>
        <v>0</v>
      </c>
      <c r="W783" s="111"/>
    </row>
    <row r="784" spans="2:23" ht="15" customHeight="1">
      <c r="D784" s="85" t="str">
        <f xml:space="preserve"> '2.1 Model setup'!K77</f>
        <v>3.1 Generel administration</v>
      </c>
      <c r="K784" s="5" t="s">
        <v>134</v>
      </c>
      <c r="O784" s="202"/>
      <c r="P784" s="202"/>
      <c r="Q784" s="202"/>
      <c r="R784" s="1">
        <f t="shared" si="122"/>
        <v>0</v>
      </c>
      <c r="S784" s="1">
        <f t="shared" si="122"/>
        <v>0</v>
      </c>
      <c r="T784" s="1">
        <f t="shared" si="122"/>
        <v>0</v>
      </c>
      <c r="U784" s="1">
        <f t="shared" si="122"/>
        <v>0</v>
      </c>
      <c r="V784" s="1">
        <f t="shared" si="122"/>
        <v>0</v>
      </c>
      <c r="W784" s="111"/>
    </row>
    <row r="785" spans="4:23" ht="15" customHeight="1">
      <c r="D785" s="85" t="str">
        <f xml:space="preserve"> '2.1 Model setup'!K78</f>
        <v>4.1 Omkostninger vedrørende nettab i transformerstationer</v>
      </c>
      <c r="K785" s="5" t="s">
        <v>134</v>
      </c>
      <c r="O785" s="202"/>
      <c r="P785" s="202"/>
      <c r="Q785" s="202"/>
      <c r="R785" s="1">
        <f t="shared" si="122"/>
        <v>0</v>
      </c>
      <c r="S785" s="1">
        <f t="shared" si="122"/>
        <v>0</v>
      </c>
      <c r="T785" s="1">
        <f t="shared" si="122"/>
        <v>0</v>
      </c>
      <c r="U785" s="1">
        <f t="shared" si="122"/>
        <v>0</v>
      </c>
      <c r="V785" s="1">
        <f t="shared" si="122"/>
        <v>0</v>
      </c>
      <c r="W785" s="111"/>
    </row>
    <row r="786" spans="4:23" ht="15" customHeight="1">
      <c r="D786" s="85" t="str">
        <f xml:space="preserve"> '2.1 Model setup'!K79</f>
        <v>4.2 Omkostninger vedrørende nettab i ledningsnettet</v>
      </c>
      <c r="K786" s="5" t="s">
        <v>134</v>
      </c>
      <c r="O786" s="202"/>
      <c r="P786" s="202"/>
      <c r="Q786" s="202"/>
      <c r="R786" s="1">
        <f t="shared" si="122"/>
        <v>0</v>
      </c>
      <c r="S786" s="1">
        <f t="shared" si="122"/>
        <v>0</v>
      </c>
      <c r="T786" s="1">
        <f t="shared" si="122"/>
        <v>0</v>
      </c>
      <c r="U786" s="1">
        <f t="shared" si="122"/>
        <v>0</v>
      </c>
      <c r="V786" s="1">
        <f t="shared" si="122"/>
        <v>0</v>
      </c>
      <c r="W786" s="111"/>
    </row>
    <row r="787" spans="4:23" ht="15" customHeight="1">
      <c r="D787" s="85" t="str">
        <f xml:space="preserve"> '2.1 Model setup'!K80</f>
        <v>5.1 Omkostninger til overliggende net ifm. forbrug</v>
      </c>
      <c r="K787" s="5" t="s">
        <v>134</v>
      </c>
      <c r="O787" s="202"/>
      <c r="P787" s="202"/>
      <c r="Q787" s="202"/>
      <c r="R787" s="1">
        <f t="shared" ref="R787:V794" si="123" xml:space="preserve"> IFERROR( R754 / R$774, 0 ) * tDKKtilDKK</f>
        <v>0</v>
      </c>
      <c r="S787" s="1">
        <f t="shared" si="123"/>
        <v>0</v>
      </c>
      <c r="T787" s="1">
        <f t="shared" si="123"/>
        <v>0</v>
      </c>
      <c r="U787" s="1">
        <f t="shared" si="123"/>
        <v>0</v>
      </c>
      <c r="V787" s="1">
        <f t="shared" si="123"/>
        <v>0</v>
      </c>
      <c r="W787" s="111"/>
    </row>
    <row r="788" spans="4:23" ht="15" customHeight="1">
      <c r="D788" s="85" t="str">
        <f xml:space="preserve"> '2.1 Model setup'!K81</f>
        <v>5.2 Øvrige omkostninger</v>
      </c>
      <c r="K788" s="5" t="s">
        <v>134</v>
      </c>
      <c r="O788" s="202"/>
      <c r="P788" s="202"/>
      <c r="Q788" s="202"/>
      <c r="R788" s="1">
        <f t="shared" si="123"/>
        <v>0</v>
      </c>
      <c r="S788" s="1">
        <f t="shared" si="123"/>
        <v>0</v>
      </c>
      <c r="T788" s="1">
        <f t="shared" si="123"/>
        <v>0</v>
      </c>
      <c r="U788" s="1">
        <f t="shared" si="123"/>
        <v>0</v>
      </c>
      <c r="V788" s="1">
        <f t="shared" si="123"/>
        <v>0</v>
      </c>
      <c r="W788" s="111"/>
    </row>
    <row r="789" spans="4:23" ht="15" customHeight="1">
      <c r="D789" s="85" t="str">
        <f xml:space="preserve"> '2.1 Model setup'!K82</f>
        <v>6.1 Afskrivninger på transformerstationer</v>
      </c>
      <c r="K789" s="5" t="s">
        <v>134</v>
      </c>
      <c r="O789" s="202"/>
      <c r="P789" s="202"/>
      <c r="Q789" s="202"/>
      <c r="R789" s="1">
        <f t="shared" si="123"/>
        <v>0</v>
      </c>
      <c r="S789" s="1">
        <f t="shared" si="123"/>
        <v>0</v>
      </c>
      <c r="T789" s="1">
        <f t="shared" si="123"/>
        <v>0</v>
      </c>
      <c r="U789" s="1">
        <f t="shared" si="123"/>
        <v>0</v>
      </c>
      <c r="V789" s="1">
        <f t="shared" si="123"/>
        <v>0</v>
      </c>
      <c r="W789" s="111"/>
    </row>
    <row r="790" spans="4:23" ht="15" customHeight="1">
      <c r="D790" s="85" t="str">
        <f xml:space="preserve"> '2.1 Model setup'!K83</f>
        <v>6.2 Afskrivninger på netaktiver ekskl. målere og transformerstationer</v>
      </c>
      <c r="K790" s="5" t="s">
        <v>134</v>
      </c>
      <c r="O790" s="202"/>
      <c r="P790" s="202"/>
      <c r="Q790" s="202"/>
      <c r="R790" s="1">
        <f t="shared" si="123"/>
        <v>0</v>
      </c>
      <c r="S790" s="1">
        <f t="shared" si="123"/>
        <v>0</v>
      </c>
      <c r="T790" s="1">
        <f t="shared" si="123"/>
        <v>0</v>
      </c>
      <c r="U790" s="1">
        <f t="shared" si="123"/>
        <v>0</v>
      </c>
      <c r="V790" s="1">
        <f t="shared" si="123"/>
        <v>0</v>
      </c>
      <c r="W790" s="111"/>
    </row>
    <row r="791" spans="4:23" ht="15" customHeight="1">
      <c r="D791" s="85" t="str">
        <f xml:space="preserve"> '2.1 Model setup'!K84</f>
        <v>6.3 Afskrivninger på målere</v>
      </c>
      <c r="K791" s="5" t="s">
        <v>134</v>
      </c>
      <c r="O791" s="202"/>
      <c r="P791" s="202"/>
      <c r="Q791" s="202"/>
      <c r="R791" s="1">
        <f t="shared" si="123"/>
        <v>0</v>
      </c>
      <c r="S791" s="1">
        <f t="shared" si="123"/>
        <v>0</v>
      </c>
      <c r="T791" s="1">
        <f t="shared" si="123"/>
        <v>0</v>
      </c>
      <c r="U791" s="1">
        <f t="shared" si="123"/>
        <v>0</v>
      </c>
      <c r="V791" s="1">
        <f t="shared" si="123"/>
        <v>0</v>
      </c>
      <c r="W791" s="111"/>
    </row>
    <row r="792" spans="4:23" ht="15" customHeight="1">
      <c r="D792" s="85" t="str">
        <f xml:space="preserve"> '2.1 Model setup'!K85</f>
        <v>7.1 Transformerstationer (forrentning)</v>
      </c>
      <c r="K792" s="5" t="s">
        <v>134</v>
      </c>
      <c r="O792" s="202"/>
      <c r="P792" s="202"/>
      <c r="Q792" s="202"/>
      <c r="R792" s="1">
        <f t="shared" si="123"/>
        <v>0</v>
      </c>
      <c r="S792" s="1">
        <f t="shared" si="123"/>
        <v>0</v>
      </c>
      <c r="T792" s="1">
        <f t="shared" si="123"/>
        <v>0</v>
      </c>
      <c r="U792" s="1">
        <f t="shared" si="123"/>
        <v>0</v>
      </c>
      <c r="V792" s="1">
        <f t="shared" si="123"/>
        <v>0</v>
      </c>
      <c r="W792" s="111"/>
    </row>
    <row r="793" spans="4:23" ht="15" customHeight="1">
      <c r="D793" s="85" t="str">
        <f xml:space="preserve"> '2.1 Model setup'!K86</f>
        <v>7.2 Netaktiver ekskl. målere og transformerstationer (forrentning)</v>
      </c>
      <c r="K793" s="5" t="s">
        <v>134</v>
      </c>
      <c r="O793" s="202"/>
      <c r="P793" s="202"/>
      <c r="Q793" s="202"/>
      <c r="R793" s="1">
        <f t="shared" si="123"/>
        <v>0</v>
      </c>
      <c r="S793" s="1">
        <f t="shared" si="123"/>
        <v>0</v>
      </c>
      <c r="T793" s="1">
        <f t="shared" si="123"/>
        <v>0</v>
      </c>
      <c r="U793" s="1">
        <f t="shared" si="123"/>
        <v>0</v>
      </c>
      <c r="V793" s="1">
        <f t="shared" si="123"/>
        <v>0</v>
      </c>
      <c r="W793" s="111"/>
    </row>
    <row r="794" spans="4:23" ht="15" customHeight="1">
      <c r="D794" s="99" t="str">
        <f xml:space="preserve"> '2.1 Model setup'!K87</f>
        <v>7.3 Målere (forrentning)</v>
      </c>
      <c r="K794" s="5" t="s">
        <v>134</v>
      </c>
      <c r="O794" s="202"/>
      <c r="P794" s="202"/>
      <c r="Q794" s="202"/>
      <c r="R794" s="1">
        <f t="shared" si="123"/>
        <v>0</v>
      </c>
      <c r="S794" s="1">
        <f t="shared" si="123"/>
        <v>0</v>
      </c>
      <c r="T794" s="1">
        <f t="shared" si="123"/>
        <v>0</v>
      </c>
      <c r="U794" s="1">
        <f t="shared" si="123"/>
        <v>0</v>
      </c>
      <c r="V794" s="1">
        <f t="shared" si="123"/>
        <v>0</v>
      </c>
      <c r="W794" s="111"/>
    </row>
    <row r="795" spans="4:23" ht="15" customHeight="1">
      <c r="D795" s="186" t="s">
        <v>16</v>
      </c>
      <c r="E795" s="33"/>
      <c r="F795" s="33"/>
      <c r="G795" s="33"/>
      <c r="H795" s="33"/>
      <c r="I795" s="33"/>
      <c r="J795" s="33"/>
      <c r="K795" s="187" t="s">
        <v>134</v>
      </c>
      <c r="L795" s="186"/>
      <c r="M795" s="186"/>
      <c r="N795" s="186"/>
      <c r="O795" s="388"/>
      <c r="P795" s="388"/>
      <c r="Q795" s="388"/>
      <c r="R795" s="186">
        <f xml:space="preserve"> SUM( R777:R794 )</f>
        <v>0</v>
      </c>
      <c r="S795" s="186">
        <f xml:space="preserve"> SUM( S777:S794 )</f>
        <v>0</v>
      </c>
      <c r="T795" s="186">
        <f xml:space="preserve"> SUM( T777:T794 )</f>
        <v>0</v>
      </c>
      <c r="U795" s="186">
        <f xml:space="preserve"> SUM( U777:U794 )</f>
        <v>0</v>
      </c>
      <c r="V795" s="186">
        <f xml:space="preserve"> SUM( V777:V794 )</f>
        <v>0</v>
      </c>
      <c r="W795" s="95"/>
    </row>
    <row r="797" spans="4:23" ht="15" customHeight="1">
      <c r="D797" s="4" t="s">
        <v>299</v>
      </c>
      <c r="W797" s="185" t="s">
        <v>16</v>
      </c>
    </row>
    <row r="798" spans="4:23" ht="15" customHeight="1">
      <c r="D798" s="33" t="s">
        <v>300</v>
      </c>
      <c r="E798" s="33"/>
      <c r="F798" s="33"/>
      <c r="G798" s="33"/>
      <c r="H798" s="33"/>
      <c r="I798" s="33"/>
      <c r="J798" s="33"/>
      <c r="K798" s="34" t="str">
        <f xml:space="preserve"> Model.Units</f>
        <v>DKKt</v>
      </c>
      <c r="L798" s="90" cm="1">
        <f t="array" ref="L798" xml:space="preserve"> -- ( SUMPRODUCT(-- ( ROUND( R798:W798, 5) &lt;&gt; ROUND( R762:W762, 5 ) ) ) &gt; 0 )</f>
        <v>0</v>
      </c>
      <c r="M798" s="33"/>
      <c r="N798" s="33"/>
      <c r="O798" s="271"/>
      <c r="P798" s="271"/>
      <c r="Q798" s="271"/>
      <c r="R798" s="33">
        <f xml:space="preserve"> R774 * R795 / tDKKtilDKK</f>
        <v>0</v>
      </c>
      <c r="S798" s="33">
        <f xml:space="preserve"> S774 * S795 / tDKKtilDKK</f>
        <v>0</v>
      </c>
      <c r="T798" s="33">
        <f xml:space="preserve"> T774 * T795 / tDKKtilDKK</f>
        <v>0</v>
      </c>
      <c r="U798" s="33">
        <f xml:space="preserve"> U774 * U795 / tDKKtilDKK</f>
        <v>0</v>
      </c>
      <c r="V798" s="33">
        <f xml:space="preserve"> V774 * V795 / tDKKtilDKK</f>
        <v>0</v>
      </c>
      <c r="W798" s="186">
        <f xml:space="preserve"> SUM( R798:V798 )</f>
        <v>0</v>
      </c>
    </row>
    <row r="802" spans="2:23" s="475" customFormat="1" ht="15" customHeight="1">
      <c r="B802" s="479" t="str">
        <f xml:space="preserve"> COUNTA(B$10:B799) &amp; ") Antal byggeklodser for hver omkostningsgruppe, pr. kundetype"</f>
        <v>5) Antal byggeklodser for hver omkostningsgruppe, pr. kundetype</v>
      </c>
      <c r="C802" s="477"/>
      <c r="D802" s="478"/>
      <c r="K802" s="472"/>
    </row>
    <row r="804" spans="2:23" ht="15" customHeight="1">
      <c r="D804" s="35" t="s">
        <v>265</v>
      </c>
      <c r="E804" s="27"/>
      <c r="F804" s="27"/>
      <c r="G804" s="27"/>
      <c r="H804" s="27"/>
      <c r="I804" s="27"/>
      <c r="J804" s="27"/>
      <c r="K804" s="32"/>
      <c r="L804" s="27"/>
      <c r="M804" s="27"/>
      <c r="N804" s="27"/>
    </row>
    <row r="805" spans="2:23" ht="15" customHeight="1">
      <c r="D805" s="85" t="str">
        <f xml:space="preserve"> '2.1 Model setup'!K70</f>
        <v>1.1 Drift og vedligeholdelse af transformerstationer</v>
      </c>
      <c r="K805" s="5" t="s">
        <v>3</v>
      </c>
      <c r="N805" s="15">
        <f xml:space="preserve"> '2.2 Generelle input'!N183</f>
        <v>1</v>
      </c>
      <c r="O805" s="274"/>
      <c r="P805" s="274"/>
      <c r="Q805" s="274"/>
      <c r="R805" s="274"/>
      <c r="S805" s="274"/>
      <c r="T805" s="274"/>
      <c r="U805" s="274"/>
      <c r="V805" s="274"/>
      <c r="W805" s="274"/>
    </row>
    <row r="806" spans="2:23" ht="15" customHeight="1">
      <c r="D806" s="85" t="str">
        <f xml:space="preserve"> '2.1 Model setup'!K71</f>
        <v>1.2 Drift og vedligeholdelse af ledningsnet</v>
      </c>
      <c r="K806" s="5" t="s">
        <v>3</v>
      </c>
      <c r="N806" s="1">
        <f xml:space="preserve"> '2.2 Generelle input'!N184</f>
        <v>1</v>
      </c>
      <c r="O806" s="202"/>
      <c r="P806" s="202"/>
      <c r="Q806" s="202"/>
      <c r="R806" s="202"/>
      <c r="S806" s="202"/>
      <c r="T806" s="202"/>
      <c r="U806" s="202"/>
      <c r="V806" s="202"/>
      <c r="W806" s="202"/>
    </row>
    <row r="807" spans="2:23" ht="15" customHeight="1">
      <c r="D807" s="85" t="str">
        <f xml:space="preserve"> '2.1 Model setup'!K72</f>
        <v>1.3 Øvrige omkostninger til drift, styring og kontrol af elnettet</v>
      </c>
      <c r="K807" s="5" t="s">
        <v>3</v>
      </c>
      <c r="N807" s="1">
        <f xml:space="preserve"> '2.2 Generelle input'!N185</f>
        <v>1</v>
      </c>
      <c r="O807" s="202"/>
      <c r="P807" s="202"/>
      <c r="Q807" s="202"/>
      <c r="R807" s="202"/>
      <c r="S807" s="202"/>
      <c r="T807" s="202"/>
      <c r="U807" s="202"/>
      <c r="V807" s="202"/>
      <c r="W807" s="202"/>
    </row>
    <row r="808" spans="2:23" ht="15" customHeight="1">
      <c r="D808" s="85" t="str">
        <f xml:space="preserve"> '2.1 Model setup'!K73</f>
        <v>1.4 Omkostninger vedrørende 132-150/30-60 kV-stationer</v>
      </c>
      <c r="K808" s="5" t="s">
        <v>3</v>
      </c>
      <c r="N808" s="1">
        <f xml:space="preserve"> '2.2 Generelle input'!N186</f>
        <v>0</v>
      </c>
      <c r="O808" s="202"/>
      <c r="P808" s="202"/>
      <c r="Q808" s="202"/>
      <c r="R808" s="202"/>
      <c r="S808" s="202"/>
      <c r="T808" s="202"/>
      <c r="U808" s="202"/>
      <c r="V808" s="202"/>
      <c r="W808" s="202"/>
    </row>
    <row r="809" spans="2:23" ht="15" customHeight="1">
      <c r="D809" s="85" t="str">
        <f xml:space="preserve"> '2.1 Model setup'!K74</f>
        <v>2.1 Drift og vedligeholdelse af målere</v>
      </c>
      <c r="K809" s="5" t="s">
        <v>3</v>
      </c>
      <c r="N809" s="1">
        <f xml:space="preserve"> '2.2 Generelle input'!N187</f>
        <v>1</v>
      </c>
      <c r="O809" s="202"/>
      <c r="P809" s="202"/>
      <c r="Q809" s="202"/>
      <c r="R809" s="202"/>
      <c r="S809" s="202"/>
      <c r="T809" s="202"/>
      <c r="U809" s="202"/>
      <c r="V809" s="202"/>
      <c r="W809" s="202"/>
    </row>
    <row r="810" spans="2:23" ht="15" customHeight="1">
      <c r="D810" s="85" t="str">
        <f xml:space="preserve"> '2.1 Model setup'!K75</f>
        <v>2.2 Indhentning og validering af målerdata</v>
      </c>
      <c r="K810" s="5" t="s">
        <v>3</v>
      </c>
      <c r="N810" s="1">
        <f xml:space="preserve"> '2.2 Generelle input'!N188</f>
        <v>1</v>
      </c>
      <c r="O810" s="202"/>
      <c r="P810" s="202"/>
      <c r="Q810" s="202"/>
      <c r="R810" s="202"/>
      <c r="S810" s="202"/>
      <c r="T810" s="202"/>
      <c r="U810" s="202"/>
      <c r="V810" s="202"/>
      <c r="W810" s="202"/>
    </row>
    <row r="811" spans="2:23" ht="15" customHeight="1">
      <c r="D811" s="85" t="str">
        <f xml:space="preserve"> '2.1 Model setup'!K76</f>
        <v>2.3 Måleradministration og kundehåndtering</v>
      </c>
      <c r="K811" s="5" t="s">
        <v>3</v>
      </c>
      <c r="N811" s="1">
        <f xml:space="preserve"> '2.2 Generelle input'!N189</f>
        <v>1</v>
      </c>
      <c r="O811" s="202"/>
      <c r="P811" s="202"/>
      <c r="Q811" s="202"/>
      <c r="R811" s="202"/>
      <c r="S811" s="202"/>
      <c r="T811" s="202"/>
      <c r="U811" s="202"/>
      <c r="V811" s="202"/>
      <c r="W811" s="202"/>
    </row>
    <row r="812" spans="2:23" ht="15" customHeight="1">
      <c r="D812" s="85" t="str">
        <f xml:space="preserve"> '2.1 Model setup'!K77</f>
        <v>3.1 Generel administration</v>
      </c>
      <c r="K812" s="5" t="s">
        <v>3</v>
      </c>
      <c r="N812" s="1">
        <f xml:space="preserve"> '2.2 Generelle input'!N190</f>
        <v>1</v>
      </c>
      <c r="O812" s="202"/>
      <c r="P812" s="202"/>
      <c r="Q812" s="202"/>
      <c r="R812" s="202"/>
      <c r="S812" s="202"/>
      <c r="T812" s="202"/>
      <c r="U812" s="202"/>
      <c r="V812" s="202"/>
      <c r="W812" s="202"/>
    </row>
    <row r="813" spans="2:23" ht="15" customHeight="1">
      <c r="D813" s="85" t="str">
        <f xml:space="preserve"> '2.1 Model setup'!K78</f>
        <v>4.1 Omkostninger vedrørende nettab i transformerstationer</v>
      </c>
      <c r="K813" s="5" t="s">
        <v>3</v>
      </c>
      <c r="N813" s="1">
        <f xml:space="preserve"> '2.2 Generelle input'!N191</f>
        <v>1</v>
      </c>
      <c r="O813" s="202"/>
      <c r="P813" s="202"/>
      <c r="Q813" s="202"/>
      <c r="R813" s="202"/>
      <c r="S813" s="202"/>
      <c r="T813" s="202"/>
      <c r="U813" s="202"/>
      <c r="V813" s="202"/>
      <c r="W813" s="202"/>
    </row>
    <row r="814" spans="2:23" ht="15" customHeight="1">
      <c r="D814" s="85" t="str">
        <f xml:space="preserve"> '2.1 Model setup'!K79</f>
        <v>4.2 Omkostninger vedrørende nettab i ledningsnettet</v>
      </c>
      <c r="K814" s="5" t="s">
        <v>3</v>
      </c>
      <c r="N814" s="1">
        <f xml:space="preserve"> '2.2 Generelle input'!N192</f>
        <v>1</v>
      </c>
      <c r="O814" s="202"/>
      <c r="P814" s="202"/>
      <c r="Q814" s="202"/>
      <c r="R814" s="202"/>
      <c r="S814" s="202"/>
      <c r="T814" s="202"/>
      <c r="U814" s="202"/>
      <c r="V814" s="202"/>
      <c r="W814" s="202"/>
    </row>
    <row r="815" spans="2:23" ht="15" customHeight="1">
      <c r="D815" s="85" t="str">
        <f xml:space="preserve"> '2.1 Model setup'!K80</f>
        <v>5.1 Omkostninger til overliggende net ifm. forbrug</v>
      </c>
      <c r="K815" s="5" t="s">
        <v>3</v>
      </c>
      <c r="N815" s="1">
        <f xml:space="preserve"> '2.2 Generelle input'!N193</f>
        <v>1</v>
      </c>
      <c r="O815" s="202"/>
      <c r="P815" s="202"/>
      <c r="Q815" s="202"/>
      <c r="R815" s="202"/>
      <c r="S815" s="202"/>
      <c r="T815" s="202"/>
      <c r="U815" s="202"/>
      <c r="V815" s="202"/>
      <c r="W815" s="202"/>
    </row>
    <row r="816" spans="2:23" ht="15" customHeight="1">
      <c r="D816" s="85" t="str">
        <f xml:space="preserve"> '2.1 Model setup'!K81</f>
        <v>5.2 Øvrige omkostninger</v>
      </c>
      <c r="K816" s="5" t="s">
        <v>3</v>
      </c>
      <c r="N816" s="1">
        <f xml:space="preserve"> '2.2 Generelle input'!N194</f>
        <v>1</v>
      </c>
      <c r="O816" s="202"/>
      <c r="P816" s="202"/>
      <c r="Q816" s="202"/>
      <c r="R816" s="202"/>
      <c r="S816" s="202"/>
      <c r="T816" s="202"/>
      <c r="U816" s="202"/>
      <c r="V816" s="202"/>
      <c r="W816" s="202"/>
    </row>
    <row r="817" spans="4:23" ht="15" customHeight="1">
      <c r="D817" s="85" t="str">
        <f xml:space="preserve"> '2.1 Model setup'!K82</f>
        <v>6.1 Afskrivninger på transformerstationer</v>
      </c>
      <c r="K817" s="5" t="s">
        <v>3</v>
      </c>
      <c r="N817" s="1">
        <f xml:space="preserve"> '2.2 Generelle input'!N195</f>
        <v>1</v>
      </c>
      <c r="O817" s="202"/>
      <c r="P817" s="202"/>
      <c r="Q817" s="202"/>
      <c r="R817" s="202"/>
      <c r="S817" s="202"/>
      <c r="T817" s="202"/>
      <c r="U817" s="202"/>
      <c r="V817" s="202"/>
      <c r="W817" s="202"/>
    </row>
    <row r="818" spans="4:23" ht="15" customHeight="1">
      <c r="D818" s="85" t="str">
        <f xml:space="preserve"> '2.1 Model setup'!K83</f>
        <v>6.2 Afskrivninger på netaktiver ekskl. målere og transformerstationer</v>
      </c>
      <c r="K818" s="5" t="s">
        <v>3</v>
      </c>
      <c r="N818" s="1">
        <f xml:space="preserve"> '2.2 Generelle input'!N196</f>
        <v>1</v>
      </c>
      <c r="O818" s="202"/>
      <c r="P818" s="202"/>
      <c r="Q818" s="202"/>
      <c r="R818" s="202"/>
      <c r="S818" s="202"/>
      <c r="T818" s="202"/>
      <c r="U818" s="202"/>
      <c r="V818" s="202"/>
      <c r="W818" s="202"/>
    </row>
    <row r="819" spans="4:23" ht="15" customHeight="1">
      <c r="D819" s="85" t="str">
        <f xml:space="preserve"> '2.1 Model setup'!K84</f>
        <v>6.3 Afskrivninger på målere</v>
      </c>
      <c r="K819" s="5" t="s">
        <v>3</v>
      </c>
      <c r="N819" s="1">
        <f xml:space="preserve"> '2.2 Generelle input'!N197</f>
        <v>1</v>
      </c>
      <c r="O819" s="202"/>
      <c r="P819" s="202"/>
      <c r="Q819" s="202"/>
      <c r="R819" s="202"/>
      <c r="S819" s="202"/>
      <c r="T819" s="202"/>
      <c r="U819" s="202"/>
      <c r="V819" s="202"/>
      <c r="W819" s="202"/>
    </row>
    <row r="820" spans="4:23" ht="15" customHeight="1">
      <c r="D820" s="85" t="str">
        <f xml:space="preserve"> '2.1 Model setup'!K85</f>
        <v>7.1 Transformerstationer (forrentning)</v>
      </c>
      <c r="K820" s="5" t="s">
        <v>3</v>
      </c>
      <c r="N820" s="1">
        <f xml:space="preserve"> '2.2 Generelle input'!N198</f>
        <v>1</v>
      </c>
      <c r="O820" s="202"/>
      <c r="P820" s="202"/>
      <c r="Q820" s="202"/>
      <c r="R820" s="202"/>
      <c r="S820" s="202"/>
      <c r="T820" s="202"/>
      <c r="U820" s="202"/>
      <c r="V820" s="202"/>
      <c r="W820" s="202"/>
    </row>
    <row r="821" spans="4:23" ht="15" customHeight="1">
      <c r="D821" s="85" t="str">
        <f xml:space="preserve"> '2.1 Model setup'!K86</f>
        <v>7.2 Netaktiver ekskl. målere og transformerstationer (forrentning)</v>
      </c>
      <c r="K821" s="5" t="s">
        <v>3</v>
      </c>
      <c r="N821" s="1">
        <f xml:space="preserve"> '2.2 Generelle input'!N199</f>
        <v>1</v>
      </c>
      <c r="O821" s="202"/>
      <c r="P821" s="202"/>
      <c r="Q821" s="202"/>
      <c r="R821" s="202"/>
      <c r="S821" s="202"/>
      <c r="T821" s="202"/>
      <c r="U821" s="202"/>
      <c r="V821" s="202"/>
      <c r="W821" s="202"/>
    </row>
    <row r="822" spans="4:23" ht="15" customHeight="1">
      <c r="D822" s="99" t="str">
        <f xml:space="preserve"> '2.1 Model setup'!K87</f>
        <v>7.3 Målere (forrentning)</v>
      </c>
      <c r="E822" s="27"/>
      <c r="F822" s="27"/>
      <c r="G822" s="27"/>
      <c r="H822" s="27"/>
      <c r="I822" s="27"/>
      <c r="J822" s="27"/>
      <c r="K822" s="32" t="s">
        <v>3</v>
      </c>
      <c r="L822" s="27"/>
      <c r="M822" s="27"/>
      <c r="N822" s="27">
        <f xml:space="preserve"> '2.2 Generelle input'!N200</f>
        <v>1</v>
      </c>
      <c r="O822" s="269"/>
      <c r="P822" s="269"/>
      <c r="Q822" s="269"/>
      <c r="R822" s="269"/>
      <c r="S822" s="269"/>
      <c r="T822" s="269"/>
      <c r="U822" s="269"/>
      <c r="V822" s="269"/>
      <c r="W822" s="269"/>
    </row>
    <row r="823" spans="4:23" ht="15" customHeight="1">
      <c r="D823" s="85"/>
      <c r="F823" s="86"/>
      <c r="G823" s="86"/>
      <c r="H823" s="86"/>
      <c r="I823" s="86"/>
      <c r="J823" s="86"/>
      <c r="K823" s="87"/>
      <c r="L823" s="85"/>
      <c r="M823" s="85"/>
      <c r="N823" s="86"/>
      <c r="O823" s="86"/>
      <c r="P823" s="86"/>
      <c r="Q823" s="86"/>
    </row>
    <row r="824" spans="4:23" ht="15" customHeight="1">
      <c r="D824" s="35" t="s">
        <v>266</v>
      </c>
      <c r="E824" s="27"/>
      <c r="F824" s="27"/>
      <c r="G824" s="27"/>
      <c r="H824" s="27"/>
      <c r="I824" s="27"/>
      <c r="J824" s="27"/>
      <c r="K824" s="32"/>
      <c r="L824" s="27"/>
      <c r="M824" s="27"/>
      <c r="N824" s="27"/>
    </row>
    <row r="825" spans="4:23" ht="15" customHeight="1">
      <c r="D825" s="85" t="str">
        <f xml:space="preserve"> '2.1 Model setup'!K70</f>
        <v>1.1 Drift og vedligeholdelse af transformerstationer</v>
      </c>
      <c r="K825" s="5" t="s">
        <v>3</v>
      </c>
      <c r="N825" s="15">
        <f xml:space="preserve"> '2.2 Generelle input'!N203</f>
        <v>1</v>
      </c>
      <c r="O825" s="274"/>
      <c r="P825" s="274"/>
      <c r="Q825" s="274"/>
      <c r="R825" s="274"/>
      <c r="S825" s="274"/>
      <c r="T825" s="274"/>
      <c r="U825" s="274"/>
      <c r="V825" s="274"/>
      <c r="W825" s="274"/>
    </row>
    <row r="826" spans="4:23" ht="15" customHeight="1">
      <c r="D826" s="85" t="str">
        <f xml:space="preserve"> '2.1 Model setup'!K71</f>
        <v>1.2 Drift og vedligeholdelse af ledningsnet</v>
      </c>
      <c r="K826" s="5" t="s">
        <v>3</v>
      </c>
      <c r="N826" s="1">
        <f xml:space="preserve"> '2.2 Generelle input'!N204</f>
        <v>1</v>
      </c>
      <c r="O826" s="202"/>
      <c r="P826" s="202"/>
      <c r="Q826" s="202"/>
      <c r="R826" s="202"/>
      <c r="S826" s="202"/>
      <c r="T826" s="202"/>
      <c r="U826" s="202"/>
      <c r="V826" s="202"/>
      <c r="W826" s="202"/>
    </row>
    <row r="827" spans="4:23" ht="15" customHeight="1">
      <c r="D827" s="85" t="str">
        <f xml:space="preserve"> '2.1 Model setup'!K72</f>
        <v>1.3 Øvrige omkostninger til drift, styring og kontrol af elnettet</v>
      </c>
      <c r="K827" s="5" t="s">
        <v>3</v>
      </c>
      <c r="N827" s="1">
        <f xml:space="preserve"> '2.2 Generelle input'!N205</f>
        <v>1</v>
      </c>
      <c r="O827" s="202"/>
      <c r="P827" s="202"/>
      <c r="Q827" s="202"/>
      <c r="R827" s="202"/>
      <c r="S827" s="202"/>
      <c r="T827" s="202"/>
      <c r="U827" s="202"/>
      <c r="V827" s="202"/>
      <c r="W827" s="202"/>
    </row>
    <row r="828" spans="4:23" ht="15" customHeight="1">
      <c r="D828" s="85" t="str">
        <f xml:space="preserve"> '2.1 Model setup'!K73</f>
        <v>1.4 Omkostninger vedrørende 132-150/30-60 kV-stationer</v>
      </c>
      <c r="K828" s="5" t="s">
        <v>3</v>
      </c>
      <c r="N828" s="1">
        <f xml:space="preserve"> '2.2 Generelle input'!N206</f>
        <v>0</v>
      </c>
      <c r="O828" s="202"/>
      <c r="P828" s="202"/>
      <c r="Q828" s="202"/>
      <c r="R828" s="202"/>
      <c r="S828" s="202"/>
      <c r="T828" s="202"/>
      <c r="U828" s="202"/>
      <c r="V828" s="202"/>
      <c r="W828" s="202"/>
    </row>
    <row r="829" spans="4:23" ht="15" customHeight="1">
      <c r="D829" s="85" t="str">
        <f xml:space="preserve"> '2.1 Model setup'!K74</f>
        <v>2.1 Drift og vedligeholdelse af målere</v>
      </c>
      <c r="K829" s="5" t="s">
        <v>3</v>
      </c>
      <c r="N829" s="1">
        <f xml:space="preserve"> '2.2 Generelle input'!N207</f>
        <v>1</v>
      </c>
      <c r="O829" s="202"/>
      <c r="P829" s="202"/>
      <c r="Q829" s="202"/>
      <c r="R829" s="202"/>
      <c r="S829" s="202"/>
      <c r="T829" s="202"/>
      <c r="U829" s="202"/>
      <c r="V829" s="202"/>
      <c r="W829" s="202"/>
    </row>
    <row r="830" spans="4:23" ht="15" customHeight="1">
      <c r="D830" s="85" t="str">
        <f xml:space="preserve"> '2.1 Model setup'!K75</f>
        <v>2.2 Indhentning og validering af målerdata</v>
      </c>
      <c r="K830" s="5" t="s">
        <v>3</v>
      </c>
      <c r="N830" s="1">
        <f xml:space="preserve"> '2.2 Generelle input'!N208</f>
        <v>1</v>
      </c>
      <c r="O830" s="202"/>
      <c r="P830" s="202"/>
      <c r="Q830" s="202"/>
      <c r="R830" s="202"/>
      <c r="S830" s="202"/>
      <c r="T830" s="202"/>
      <c r="U830" s="202"/>
      <c r="V830" s="202"/>
      <c r="W830" s="202"/>
    </row>
    <row r="831" spans="4:23" ht="15" customHeight="1">
      <c r="D831" s="85" t="str">
        <f xml:space="preserve"> '2.1 Model setup'!K76</f>
        <v>2.3 Måleradministration og kundehåndtering</v>
      </c>
      <c r="K831" s="5" t="s">
        <v>3</v>
      </c>
      <c r="N831" s="1">
        <f xml:space="preserve"> '2.2 Generelle input'!N209</f>
        <v>1</v>
      </c>
      <c r="O831" s="202"/>
      <c r="P831" s="202"/>
      <c r="Q831" s="202"/>
      <c r="R831" s="202"/>
      <c r="S831" s="202"/>
      <c r="T831" s="202"/>
      <c r="U831" s="202"/>
      <c r="V831" s="202"/>
      <c r="W831" s="202"/>
    </row>
    <row r="832" spans="4:23" ht="15" customHeight="1">
      <c r="D832" s="85" t="str">
        <f xml:space="preserve"> '2.1 Model setup'!K77</f>
        <v>3.1 Generel administration</v>
      </c>
      <c r="K832" s="5" t="s">
        <v>3</v>
      </c>
      <c r="N832" s="1">
        <f xml:space="preserve"> '2.2 Generelle input'!N210</f>
        <v>1</v>
      </c>
      <c r="O832" s="202"/>
      <c r="P832" s="202"/>
      <c r="Q832" s="202"/>
      <c r="R832" s="202"/>
      <c r="S832" s="202"/>
      <c r="T832" s="202"/>
      <c r="U832" s="202"/>
      <c r="V832" s="202"/>
      <c r="W832" s="202"/>
    </row>
    <row r="833" spans="2:23" ht="15" customHeight="1">
      <c r="D833" s="85" t="str">
        <f xml:space="preserve"> '2.1 Model setup'!K78</f>
        <v>4.1 Omkostninger vedrørende nettab i transformerstationer</v>
      </c>
      <c r="K833" s="5" t="s">
        <v>3</v>
      </c>
      <c r="N833" s="1">
        <f xml:space="preserve"> '2.2 Generelle input'!N211</f>
        <v>0</v>
      </c>
      <c r="O833" s="202"/>
      <c r="P833" s="202"/>
      <c r="Q833" s="202"/>
      <c r="R833" s="202"/>
      <c r="S833" s="202"/>
      <c r="T833" s="202"/>
      <c r="U833" s="202"/>
      <c r="V833" s="202"/>
      <c r="W833" s="202"/>
    </row>
    <row r="834" spans="2:23" ht="15" customHeight="1">
      <c r="D834" s="85" t="str">
        <f xml:space="preserve"> '2.1 Model setup'!K79</f>
        <v>4.2 Omkostninger vedrørende nettab i ledningsnettet</v>
      </c>
      <c r="K834" s="5" t="s">
        <v>3</v>
      </c>
      <c r="N834" s="1">
        <f xml:space="preserve"> '2.2 Generelle input'!N212</f>
        <v>0</v>
      </c>
      <c r="O834" s="202"/>
      <c r="P834" s="202"/>
      <c r="Q834" s="202"/>
      <c r="R834" s="202"/>
      <c r="S834" s="202"/>
      <c r="T834" s="202"/>
      <c r="U834" s="202"/>
      <c r="V834" s="202"/>
      <c r="W834" s="202"/>
    </row>
    <row r="835" spans="2:23" ht="15" customHeight="1">
      <c r="D835" s="85" t="str">
        <f xml:space="preserve"> '2.1 Model setup'!K80</f>
        <v>5.1 Omkostninger til overliggende net ifm. forbrug</v>
      </c>
      <c r="K835" s="5" t="s">
        <v>3</v>
      </c>
      <c r="N835" s="1">
        <f xml:space="preserve"> '2.2 Generelle input'!N213</f>
        <v>1</v>
      </c>
      <c r="O835" s="202"/>
      <c r="P835" s="202"/>
      <c r="Q835" s="202"/>
      <c r="R835" s="202"/>
      <c r="S835" s="202"/>
      <c r="T835" s="202"/>
      <c r="U835" s="202"/>
      <c r="V835" s="202"/>
      <c r="W835" s="202"/>
    </row>
    <row r="836" spans="2:23" ht="15" customHeight="1">
      <c r="D836" s="85" t="str">
        <f xml:space="preserve"> '2.1 Model setup'!K81</f>
        <v>5.2 Øvrige omkostninger</v>
      </c>
      <c r="K836" s="5" t="s">
        <v>3</v>
      </c>
      <c r="N836" s="1">
        <f xml:space="preserve"> '2.2 Generelle input'!N214</f>
        <v>1</v>
      </c>
      <c r="O836" s="202"/>
      <c r="P836" s="202"/>
      <c r="Q836" s="202"/>
      <c r="R836" s="202"/>
      <c r="S836" s="202"/>
      <c r="T836" s="202"/>
      <c r="U836" s="202"/>
      <c r="V836" s="202"/>
      <c r="W836" s="202"/>
    </row>
    <row r="837" spans="2:23" ht="15" customHeight="1">
      <c r="D837" s="85" t="str">
        <f xml:space="preserve"> '2.1 Model setup'!K82</f>
        <v>6.1 Afskrivninger på transformerstationer</v>
      </c>
      <c r="K837" s="5" t="s">
        <v>3</v>
      </c>
      <c r="N837" s="1">
        <f xml:space="preserve"> '2.2 Generelle input'!N215</f>
        <v>1</v>
      </c>
      <c r="O837" s="202"/>
      <c r="P837" s="202"/>
      <c r="Q837" s="202"/>
      <c r="R837" s="202"/>
      <c r="S837" s="202"/>
      <c r="T837" s="202"/>
      <c r="U837" s="202"/>
      <c r="V837" s="202"/>
      <c r="W837" s="202"/>
    </row>
    <row r="838" spans="2:23" ht="15" customHeight="1">
      <c r="D838" s="85" t="str">
        <f xml:space="preserve"> '2.1 Model setup'!K83</f>
        <v>6.2 Afskrivninger på netaktiver ekskl. målere og transformerstationer</v>
      </c>
      <c r="K838" s="5" t="s">
        <v>3</v>
      </c>
      <c r="N838" s="1">
        <f xml:space="preserve"> '2.2 Generelle input'!N216</f>
        <v>1</v>
      </c>
      <c r="O838" s="202"/>
      <c r="P838" s="202"/>
      <c r="Q838" s="202"/>
      <c r="R838" s="202"/>
      <c r="S838" s="202"/>
      <c r="T838" s="202"/>
      <c r="U838" s="202"/>
      <c r="V838" s="202"/>
      <c r="W838" s="202"/>
    </row>
    <row r="839" spans="2:23" ht="15" customHeight="1">
      <c r="D839" s="85" t="str">
        <f xml:space="preserve"> '2.1 Model setup'!K84</f>
        <v>6.3 Afskrivninger på målere</v>
      </c>
      <c r="K839" s="5" t="s">
        <v>3</v>
      </c>
      <c r="N839" s="1">
        <f xml:space="preserve"> '2.2 Generelle input'!N217</f>
        <v>1</v>
      </c>
      <c r="O839" s="202"/>
      <c r="P839" s="202"/>
      <c r="Q839" s="202"/>
      <c r="R839" s="202"/>
      <c r="S839" s="202"/>
      <c r="T839" s="202"/>
      <c r="U839" s="202"/>
      <c r="V839" s="202"/>
      <c r="W839" s="202"/>
    </row>
    <row r="840" spans="2:23" ht="15" customHeight="1">
      <c r="D840" s="85" t="str">
        <f xml:space="preserve"> '2.1 Model setup'!K85</f>
        <v>7.1 Transformerstationer (forrentning)</v>
      </c>
      <c r="K840" s="5" t="s">
        <v>3</v>
      </c>
      <c r="N840" s="1">
        <f xml:space="preserve"> '2.2 Generelle input'!N218</f>
        <v>1</v>
      </c>
      <c r="O840" s="202"/>
      <c r="P840" s="202"/>
      <c r="Q840" s="202"/>
      <c r="R840" s="202"/>
      <c r="S840" s="202"/>
      <c r="T840" s="202"/>
      <c r="U840" s="202"/>
      <c r="V840" s="202"/>
      <c r="W840" s="202"/>
    </row>
    <row r="841" spans="2:23" ht="15" customHeight="1">
      <c r="D841" s="85" t="str">
        <f xml:space="preserve"> '2.1 Model setup'!K86</f>
        <v>7.2 Netaktiver ekskl. målere og transformerstationer (forrentning)</v>
      </c>
      <c r="K841" s="5" t="s">
        <v>3</v>
      </c>
      <c r="N841" s="1">
        <f xml:space="preserve"> '2.2 Generelle input'!N219</f>
        <v>1</v>
      </c>
      <c r="O841" s="202"/>
      <c r="P841" s="202"/>
      <c r="Q841" s="202"/>
      <c r="R841" s="202"/>
      <c r="S841" s="202"/>
      <c r="T841" s="202"/>
      <c r="U841" s="202"/>
      <c r="V841" s="202"/>
      <c r="W841" s="202"/>
    </row>
    <row r="842" spans="2:23" ht="15" customHeight="1">
      <c r="D842" s="99" t="str">
        <f xml:space="preserve"> '2.1 Model setup'!K87</f>
        <v>7.3 Målere (forrentning)</v>
      </c>
      <c r="E842" s="27"/>
      <c r="F842" s="27"/>
      <c r="G842" s="27"/>
      <c r="H842" s="27"/>
      <c r="I842" s="27"/>
      <c r="J842" s="27"/>
      <c r="K842" s="32" t="s">
        <v>3</v>
      </c>
      <c r="L842" s="27"/>
      <c r="M842" s="27"/>
      <c r="N842" s="27">
        <f xml:space="preserve"> '2.2 Generelle input'!N220</f>
        <v>1</v>
      </c>
      <c r="O842" s="269"/>
      <c r="P842" s="269"/>
      <c r="Q842" s="269"/>
      <c r="R842" s="269"/>
      <c r="S842" s="269"/>
      <c r="T842" s="269"/>
      <c r="U842" s="269"/>
      <c r="V842" s="269"/>
      <c r="W842" s="269"/>
    </row>
    <row r="846" spans="2:23" s="475" customFormat="1" ht="15" customHeight="1">
      <c r="B846" s="479" t="str">
        <f xml:space="preserve"> COUNTA(B$10:B803) &amp; ") Byggeklodser"</f>
        <v>6) Byggeklodser</v>
      </c>
      <c r="C846" s="477"/>
      <c r="D846" s="478"/>
      <c r="K846" s="472"/>
    </row>
    <row r="848" spans="2:23" ht="15" customHeight="1">
      <c r="D848" s="88" t="s">
        <v>40</v>
      </c>
      <c r="E848" s="27"/>
      <c r="F848" s="27"/>
      <c r="G848" s="27"/>
      <c r="H848" s="27"/>
      <c r="I848" s="27"/>
      <c r="J848" s="27"/>
      <c r="K848" s="32"/>
      <c r="L848" s="27"/>
      <c r="M848" s="27"/>
      <c r="N848" s="27"/>
      <c r="O848" s="27"/>
      <c r="P848" s="27"/>
      <c r="Q848" s="27"/>
      <c r="R848" s="27"/>
      <c r="S848" s="27"/>
      <c r="T848" s="27"/>
      <c r="U848" s="27"/>
      <c r="V848" s="27"/>
      <c r="W848" s="185" t="s">
        <v>16</v>
      </c>
    </row>
    <row r="849" spans="4:23" ht="15" customHeight="1">
      <c r="D849" s="123" t="s">
        <v>508</v>
      </c>
      <c r="K849" s="5" t="str">
        <f>Model.Units2</f>
        <v>kWh</v>
      </c>
      <c r="O849" s="202"/>
      <c r="P849" s="202"/>
      <c r="Q849" s="202"/>
      <c r="R849" s="1">
        <f xml:space="preserve"> '2.3 Selskabsspecifikke input'!R298</f>
        <v>0</v>
      </c>
      <c r="S849" s="1">
        <f xml:space="preserve"> '2.3 Selskabsspecifikke input'!S298</f>
        <v>0</v>
      </c>
      <c r="T849" s="1">
        <f xml:space="preserve"> '2.3 Selskabsspecifikke input'!T298</f>
        <v>0</v>
      </c>
      <c r="U849" s="1">
        <f xml:space="preserve"> '2.3 Selskabsspecifikke input'!U298</f>
        <v>0</v>
      </c>
      <c r="V849" s="1">
        <f xml:space="preserve"> '2.3 Selskabsspecifikke input'!V298</f>
        <v>0</v>
      </c>
      <c r="W849" s="4">
        <f xml:space="preserve"> SUM( R849:V849 )</f>
        <v>0</v>
      </c>
    </row>
    <row r="850" spans="4:23" ht="15" customHeight="1">
      <c r="D850" s="99" t="s">
        <v>123</v>
      </c>
      <c r="K850" s="5" t="str">
        <f>Model.Units2</f>
        <v>kWh</v>
      </c>
      <c r="O850" s="202"/>
      <c r="P850" s="202"/>
      <c r="Q850" s="202"/>
      <c r="R850" s="1">
        <f xml:space="preserve"> '2.3 Selskabsspecifikke input'!R184</f>
        <v>0</v>
      </c>
      <c r="S850" s="1">
        <f xml:space="preserve"> '2.3 Selskabsspecifikke input'!S184</f>
        <v>0</v>
      </c>
      <c r="T850" s="1">
        <f xml:space="preserve"> '2.3 Selskabsspecifikke input'!T184</f>
        <v>0</v>
      </c>
      <c r="U850" s="1">
        <f xml:space="preserve"> '2.3 Selskabsspecifikke input'!U184</f>
        <v>0</v>
      </c>
      <c r="V850" s="1">
        <f xml:space="preserve"> '2.3 Selskabsspecifikke input'!V184</f>
        <v>0</v>
      </c>
      <c r="W850" s="4">
        <f xml:space="preserve"> SUM( R850:V850 )</f>
        <v>0</v>
      </c>
    </row>
    <row r="851" spans="4:23" ht="15" customHeight="1">
      <c r="D851" s="105" t="s">
        <v>16</v>
      </c>
      <c r="E851" s="33"/>
      <c r="F851" s="33"/>
      <c r="G851" s="33"/>
      <c r="H851" s="33"/>
      <c r="I851" s="33"/>
      <c r="J851" s="33"/>
      <c r="K851" s="187" t="str">
        <f>Model.Units2</f>
        <v>kWh</v>
      </c>
      <c r="L851" s="186"/>
      <c r="M851" s="186"/>
      <c r="N851" s="186"/>
      <c r="O851" s="388"/>
      <c r="P851" s="388"/>
      <c r="Q851" s="388"/>
      <c r="R851" s="186">
        <f t="shared" ref="R851:W851" si="124" xml:space="preserve"> SUM( R849:R850 )</f>
        <v>0</v>
      </c>
      <c r="S851" s="186">
        <f t="shared" si="124"/>
        <v>0</v>
      </c>
      <c r="T851" s="186">
        <f t="shared" si="124"/>
        <v>0</v>
      </c>
      <c r="U851" s="186">
        <f t="shared" si="124"/>
        <v>0</v>
      </c>
      <c r="V851" s="186">
        <f t="shared" si="124"/>
        <v>0</v>
      </c>
      <c r="W851" s="186">
        <f t="shared" si="124"/>
        <v>0</v>
      </c>
    </row>
    <row r="853" spans="4:23" ht="15" customHeight="1">
      <c r="D853" s="35" t="s">
        <v>476</v>
      </c>
      <c r="E853" s="27"/>
      <c r="F853" s="27"/>
      <c r="G853" s="27"/>
      <c r="H853" s="27"/>
      <c r="I853" s="27"/>
      <c r="J853" s="27"/>
      <c r="K853" s="32"/>
      <c r="L853" s="27"/>
      <c r="M853" s="27"/>
      <c r="N853" s="27"/>
    </row>
    <row r="854" spans="4:23" ht="15" customHeight="1">
      <c r="D854" s="85" t="str">
        <f xml:space="preserve"> '2.1 Model setup'!K70</f>
        <v>1.1 Drift og vedligeholdelse af transformerstationer</v>
      </c>
      <c r="K854" s="5" t="s">
        <v>216</v>
      </c>
      <c r="O854" s="274"/>
      <c r="P854" s="274"/>
      <c r="Q854" s="274"/>
      <c r="R854" s="348">
        <f t="shared" ref="R854:R871" si="125" xml:space="preserve"> IF(  ( $N805 * R$849 + $N825 * R$850 ) = 0, 0, ( R555 + R660 ) / ( $N805 * R$849 + $N825 * R$850 ) * tDKKtiløre )</f>
        <v>0</v>
      </c>
      <c r="S854" s="150">
        <f t="shared" ref="S854:V871" si="126" xml:space="preserve"> IF(  ( $N805 * S$849 + $N825 * S$850 ) = 0, 0, S555 / ( $N805 * S$849 + $N825 * S$850 ) * tDKKtiløre )</f>
        <v>0</v>
      </c>
      <c r="T854" s="150">
        <f t="shared" si="126"/>
        <v>0</v>
      </c>
      <c r="U854" s="150">
        <f t="shared" si="126"/>
        <v>0</v>
      </c>
      <c r="V854" s="150">
        <f t="shared" si="126"/>
        <v>0</v>
      </c>
      <c r="W854" s="15"/>
    </row>
    <row r="855" spans="4:23" ht="15" customHeight="1">
      <c r="D855" s="85" t="str">
        <f xml:space="preserve"> '2.1 Model setup'!K71</f>
        <v>1.2 Drift og vedligeholdelse af ledningsnet</v>
      </c>
      <c r="K855" s="5" t="s">
        <v>216</v>
      </c>
      <c r="O855" s="202"/>
      <c r="P855" s="202"/>
      <c r="Q855" s="202"/>
      <c r="R855" s="349">
        <f t="shared" si="125"/>
        <v>0</v>
      </c>
      <c r="S855" s="121">
        <f t="shared" si="126"/>
        <v>0</v>
      </c>
      <c r="T855" s="121">
        <f t="shared" si="126"/>
        <v>0</v>
      </c>
      <c r="U855" s="121">
        <f t="shared" si="126"/>
        <v>0</v>
      </c>
      <c r="V855" s="121">
        <f t="shared" si="126"/>
        <v>0</v>
      </c>
    </row>
    <row r="856" spans="4:23" ht="15" customHeight="1">
      <c r="D856" s="85" t="str">
        <f xml:space="preserve"> '2.1 Model setup'!K72</f>
        <v>1.3 Øvrige omkostninger til drift, styring og kontrol af elnettet</v>
      </c>
      <c r="K856" s="5" t="s">
        <v>216</v>
      </c>
      <c r="O856" s="202"/>
      <c r="P856" s="202"/>
      <c r="Q856" s="202"/>
      <c r="R856" s="349">
        <f t="shared" si="125"/>
        <v>0</v>
      </c>
      <c r="S856" s="121">
        <f t="shared" si="126"/>
        <v>0</v>
      </c>
      <c r="T856" s="121">
        <f t="shared" si="126"/>
        <v>0</v>
      </c>
      <c r="U856" s="121">
        <f t="shared" si="126"/>
        <v>0</v>
      </c>
      <c r="V856" s="121">
        <f t="shared" si="126"/>
        <v>0</v>
      </c>
    </row>
    <row r="857" spans="4:23" ht="15" customHeight="1">
      <c r="D857" s="85" t="str">
        <f xml:space="preserve"> '2.1 Model setup'!K73</f>
        <v>1.4 Omkostninger vedrørende 132-150/30-60 kV-stationer</v>
      </c>
      <c r="K857" s="5" t="s">
        <v>216</v>
      </c>
      <c r="O857" s="202"/>
      <c r="P857" s="202"/>
      <c r="Q857" s="202"/>
      <c r="R857" s="349">
        <f t="shared" si="125"/>
        <v>0</v>
      </c>
      <c r="S857" s="121">
        <f t="shared" si="126"/>
        <v>0</v>
      </c>
      <c r="T857" s="121">
        <f t="shared" si="126"/>
        <v>0</v>
      </c>
      <c r="U857" s="121">
        <f t="shared" si="126"/>
        <v>0</v>
      </c>
      <c r="V857" s="121">
        <f t="shared" si="126"/>
        <v>0</v>
      </c>
    </row>
    <row r="858" spans="4:23" ht="15" customHeight="1">
      <c r="D858" s="85" t="str">
        <f xml:space="preserve"> '2.1 Model setup'!K74</f>
        <v>2.1 Drift og vedligeholdelse af målere</v>
      </c>
      <c r="K858" s="5" t="s">
        <v>216</v>
      </c>
      <c r="O858" s="202"/>
      <c r="P858" s="202"/>
      <c r="Q858" s="202"/>
      <c r="R858" s="349">
        <f t="shared" si="125"/>
        <v>0</v>
      </c>
      <c r="S858" s="121">
        <f t="shared" si="126"/>
        <v>0</v>
      </c>
      <c r="T858" s="121">
        <f t="shared" si="126"/>
        <v>0</v>
      </c>
      <c r="U858" s="121">
        <f t="shared" si="126"/>
        <v>0</v>
      </c>
      <c r="V858" s="121">
        <f t="shared" si="126"/>
        <v>0</v>
      </c>
    </row>
    <row r="859" spans="4:23" ht="15" customHeight="1">
      <c r="D859" s="85" t="str">
        <f xml:space="preserve"> '2.1 Model setup'!K75</f>
        <v>2.2 Indhentning og validering af målerdata</v>
      </c>
      <c r="K859" s="5" t="s">
        <v>216</v>
      </c>
      <c r="O859" s="202"/>
      <c r="P859" s="202"/>
      <c r="Q859" s="202"/>
      <c r="R859" s="349">
        <f t="shared" si="125"/>
        <v>0</v>
      </c>
      <c r="S859" s="121">
        <f t="shared" si="126"/>
        <v>0</v>
      </c>
      <c r="T859" s="121">
        <f t="shared" si="126"/>
        <v>0</v>
      </c>
      <c r="U859" s="121">
        <f t="shared" si="126"/>
        <v>0</v>
      </c>
      <c r="V859" s="121">
        <f t="shared" si="126"/>
        <v>0</v>
      </c>
    </row>
    <row r="860" spans="4:23" ht="15" customHeight="1">
      <c r="D860" s="85" t="str">
        <f xml:space="preserve"> '2.1 Model setup'!K76</f>
        <v>2.3 Måleradministration og kundehåndtering</v>
      </c>
      <c r="K860" s="5" t="s">
        <v>216</v>
      </c>
      <c r="O860" s="202"/>
      <c r="P860" s="202"/>
      <c r="Q860" s="202"/>
      <c r="R860" s="349">
        <f t="shared" si="125"/>
        <v>0</v>
      </c>
      <c r="S860" s="121">
        <f t="shared" si="126"/>
        <v>0</v>
      </c>
      <c r="T860" s="121">
        <f t="shared" si="126"/>
        <v>0</v>
      </c>
      <c r="U860" s="121">
        <f t="shared" si="126"/>
        <v>0</v>
      </c>
      <c r="V860" s="121">
        <f t="shared" si="126"/>
        <v>0</v>
      </c>
    </row>
    <row r="861" spans="4:23" ht="15" customHeight="1">
      <c r="D861" s="85" t="str">
        <f xml:space="preserve"> '2.1 Model setup'!K77</f>
        <v>3.1 Generel administration</v>
      </c>
      <c r="K861" s="5" t="s">
        <v>216</v>
      </c>
      <c r="O861" s="202"/>
      <c r="P861" s="202"/>
      <c r="Q861" s="202"/>
      <c r="R861" s="349">
        <f t="shared" si="125"/>
        <v>0</v>
      </c>
      <c r="S861" s="121">
        <f t="shared" si="126"/>
        <v>0</v>
      </c>
      <c r="T861" s="121">
        <f t="shared" si="126"/>
        <v>0</v>
      </c>
      <c r="U861" s="121">
        <f t="shared" si="126"/>
        <v>0</v>
      </c>
      <c r="V861" s="121">
        <f t="shared" si="126"/>
        <v>0</v>
      </c>
    </row>
    <row r="862" spans="4:23" ht="15" customHeight="1">
      <c r="D862" s="85" t="str">
        <f xml:space="preserve"> '2.1 Model setup'!K78</f>
        <v>4.1 Omkostninger vedrørende nettab i transformerstationer</v>
      </c>
      <c r="K862" s="5" t="s">
        <v>216</v>
      </c>
      <c r="O862" s="202"/>
      <c r="P862" s="202"/>
      <c r="Q862" s="202"/>
      <c r="R862" s="349">
        <f t="shared" si="125"/>
        <v>0</v>
      </c>
      <c r="S862" s="121">
        <f t="shared" si="126"/>
        <v>0</v>
      </c>
      <c r="T862" s="121">
        <f t="shared" si="126"/>
        <v>0</v>
      </c>
      <c r="U862" s="121">
        <f t="shared" si="126"/>
        <v>0</v>
      </c>
      <c r="V862" s="121">
        <f t="shared" si="126"/>
        <v>0</v>
      </c>
    </row>
    <row r="863" spans="4:23" ht="15" customHeight="1">
      <c r="D863" s="85" t="str">
        <f xml:space="preserve"> '2.1 Model setup'!K79</f>
        <v>4.2 Omkostninger vedrørende nettab i ledningsnettet</v>
      </c>
      <c r="K863" s="5" t="s">
        <v>216</v>
      </c>
      <c r="O863" s="202"/>
      <c r="P863" s="202"/>
      <c r="Q863" s="202"/>
      <c r="R863" s="349">
        <f t="shared" si="125"/>
        <v>0</v>
      </c>
      <c r="S863" s="121">
        <f t="shared" si="126"/>
        <v>0</v>
      </c>
      <c r="T863" s="121">
        <f t="shared" si="126"/>
        <v>0</v>
      </c>
      <c r="U863" s="121">
        <f t="shared" si="126"/>
        <v>0</v>
      </c>
      <c r="V863" s="121">
        <f t="shared" si="126"/>
        <v>0</v>
      </c>
    </row>
    <row r="864" spans="4:23" ht="15" customHeight="1">
      <c r="D864" s="85" t="str">
        <f xml:space="preserve"> '2.1 Model setup'!K80</f>
        <v>5.1 Omkostninger til overliggende net ifm. forbrug</v>
      </c>
      <c r="K864" s="5" t="s">
        <v>216</v>
      </c>
      <c r="O864" s="202"/>
      <c r="P864" s="202"/>
      <c r="Q864" s="202"/>
      <c r="R864" s="349">
        <f t="shared" si="125"/>
        <v>0</v>
      </c>
      <c r="S864" s="121">
        <f t="shared" si="126"/>
        <v>0</v>
      </c>
      <c r="T864" s="121">
        <f t="shared" si="126"/>
        <v>0</v>
      </c>
      <c r="U864" s="121">
        <f t="shared" si="126"/>
        <v>0</v>
      </c>
      <c r="V864" s="121">
        <f t="shared" si="126"/>
        <v>0</v>
      </c>
    </row>
    <row r="865" spans="4:23" ht="15" customHeight="1">
      <c r="D865" s="85" t="str">
        <f xml:space="preserve"> '2.1 Model setup'!K81</f>
        <v>5.2 Øvrige omkostninger</v>
      </c>
      <c r="K865" s="5" t="s">
        <v>216</v>
      </c>
      <c r="O865" s="202"/>
      <c r="P865" s="202"/>
      <c r="Q865" s="202"/>
      <c r="R865" s="349">
        <f t="shared" si="125"/>
        <v>0</v>
      </c>
      <c r="S865" s="121">
        <f t="shared" si="126"/>
        <v>0</v>
      </c>
      <c r="T865" s="121">
        <f t="shared" si="126"/>
        <v>0</v>
      </c>
      <c r="U865" s="121">
        <f t="shared" si="126"/>
        <v>0</v>
      </c>
      <c r="V865" s="121">
        <f t="shared" si="126"/>
        <v>0</v>
      </c>
    </row>
    <row r="866" spans="4:23" ht="15" customHeight="1">
      <c r="D866" s="85" t="str">
        <f xml:space="preserve"> '2.1 Model setup'!K82</f>
        <v>6.1 Afskrivninger på transformerstationer</v>
      </c>
      <c r="K866" s="5" t="s">
        <v>216</v>
      </c>
      <c r="O866" s="202"/>
      <c r="P866" s="202"/>
      <c r="Q866" s="202"/>
      <c r="R866" s="349">
        <f t="shared" si="125"/>
        <v>0</v>
      </c>
      <c r="S866" s="121">
        <f t="shared" si="126"/>
        <v>0</v>
      </c>
      <c r="T866" s="121">
        <f t="shared" si="126"/>
        <v>0</v>
      </c>
      <c r="U866" s="121">
        <f t="shared" si="126"/>
        <v>0</v>
      </c>
      <c r="V866" s="121">
        <f t="shared" si="126"/>
        <v>0</v>
      </c>
    </row>
    <row r="867" spans="4:23" ht="15" customHeight="1">
      <c r="D867" s="85" t="str">
        <f xml:space="preserve"> '2.1 Model setup'!K83</f>
        <v>6.2 Afskrivninger på netaktiver ekskl. målere og transformerstationer</v>
      </c>
      <c r="K867" s="5" t="s">
        <v>216</v>
      </c>
      <c r="O867" s="202"/>
      <c r="P867" s="202"/>
      <c r="Q867" s="202"/>
      <c r="R867" s="349">
        <f t="shared" si="125"/>
        <v>0</v>
      </c>
      <c r="S867" s="121">
        <f t="shared" si="126"/>
        <v>0</v>
      </c>
      <c r="T867" s="121">
        <f t="shared" si="126"/>
        <v>0</v>
      </c>
      <c r="U867" s="121">
        <f t="shared" si="126"/>
        <v>0</v>
      </c>
      <c r="V867" s="121">
        <f t="shared" si="126"/>
        <v>0</v>
      </c>
    </row>
    <row r="868" spans="4:23" ht="15" customHeight="1">
      <c r="D868" s="85" t="str">
        <f xml:space="preserve"> '2.1 Model setup'!K84</f>
        <v>6.3 Afskrivninger på målere</v>
      </c>
      <c r="K868" s="5" t="s">
        <v>216</v>
      </c>
      <c r="O868" s="202"/>
      <c r="P868" s="202"/>
      <c r="Q868" s="202"/>
      <c r="R868" s="349">
        <f t="shared" si="125"/>
        <v>0</v>
      </c>
      <c r="S868" s="121">
        <f t="shared" si="126"/>
        <v>0</v>
      </c>
      <c r="T868" s="121">
        <f t="shared" si="126"/>
        <v>0</v>
      </c>
      <c r="U868" s="121">
        <f t="shared" si="126"/>
        <v>0</v>
      </c>
      <c r="V868" s="121">
        <f t="shared" si="126"/>
        <v>0</v>
      </c>
    </row>
    <row r="869" spans="4:23" ht="15" customHeight="1">
      <c r="D869" s="85" t="str">
        <f xml:space="preserve"> '2.1 Model setup'!K85</f>
        <v>7.1 Transformerstationer (forrentning)</v>
      </c>
      <c r="K869" s="5" t="s">
        <v>216</v>
      </c>
      <c r="O869" s="202"/>
      <c r="P869" s="202"/>
      <c r="Q869" s="202"/>
      <c r="R869" s="349">
        <f t="shared" si="125"/>
        <v>0</v>
      </c>
      <c r="S869" s="121">
        <f t="shared" si="126"/>
        <v>0</v>
      </c>
      <c r="T869" s="121">
        <f t="shared" si="126"/>
        <v>0</v>
      </c>
      <c r="U869" s="121">
        <f t="shared" si="126"/>
        <v>0</v>
      </c>
      <c r="V869" s="121">
        <f t="shared" si="126"/>
        <v>0</v>
      </c>
    </row>
    <row r="870" spans="4:23" ht="15" customHeight="1">
      <c r="D870" s="85" t="str">
        <f xml:space="preserve"> '2.1 Model setup'!K86</f>
        <v>7.2 Netaktiver ekskl. målere og transformerstationer (forrentning)</v>
      </c>
      <c r="K870" s="5" t="s">
        <v>216</v>
      </c>
      <c r="O870" s="202"/>
      <c r="P870" s="202"/>
      <c r="Q870" s="202"/>
      <c r="R870" s="349">
        <f t="shared" si="125"/>
        <v>0</v>
      </c>
      <c r="S870" s="121">
        <f t="shared" si="126"/>
        <v>0</v>
      </c>
      <c r="T870" s="121">
        <f t="shared" si="126"/>
        <v>0</v>
      </c>
      <c r="U870" s="121">
        <f t="shared" si="126"/>
        <v>0</v>
      </c>
      <c r="V870" s="121">
        <f t="shared" si="126"/>
        <v>0</v>
      </c>
    </row>
    <row r="871" spans="4:23" ht="15" customHeight="1">
      <c r="D871" s="99" t="str">
        <f xml:space="preserve"> '2.1 Model setup'!K87</f>
        <v>7.3 Målere (forrentning)</v>
      </c>
      <c r="E871" s="27"/>
      <c r="F871" s="27"/>
      <c r="G871" s="27"/>
      <c r="H871" s="27"/>
      <c r="I871" s="27"/>
      <c r="J871" s="27"/>
      <c r="K871" s="32" t="s">
        <v>216</v>
      </c>
      <c r="L871" s="27"/>
      <c r="M871" s="27"/>
      <c r="N871" s="27"/>
      <c r="O871" s="269"/>
      <c r="P871" s="269"/>
      <c r="Q871" s="269"/>
      <c r="R871" s="350">
        <f t="shared" si="125"/>
        <v>0</v>
      </c>
      <c r="S871" s="131">
        <f t="shared" si="126"/>
        <v>0</v>
      </c>
      <c r="T871" s="131">
        <f t="shared" si="126"/>
        <v>0</v>
      </c>
      <c r="U871" s="131">
        <f t="shared" si="126"/>
        <v>0</v>
      </c>
      <c r="V871" s="131">
        <f t="shared" si="126"/>
        <v>0</v>
      </c>
      <c r="W871" s="27"/>
    </row>
    <row r="873" spans="4:23" ht="15" customHeight="1">
      <c r="D873" s="35" t="s">
        <v>477</v>
      </c>
      <c r="E873" s="27"/>
      <c r="F873" s="27"/>
      <c r="G873" s="27"/>
      <c r="H873" s="27"/>
      <c r="I873" s="27"/>
      <c r="J873" s="27"/>
      <c r="K873" s="32"/>
      <c r="L873" s="27"/>
      <c r="M873" s="27"/>
      <c r="N873" s="27"/>
    </row>
    <row r="874" spans="4:23" ht="15" customHeight="1">
      <c r="D874" s="85" t="str">
        <f xml:space="preserve"> '2.1 Model setup'!K70</f>
        <v>1.1 Drift og vedligeholdelse af transformerstationer</v>
      </c>
      <c r="K874" s="5" t="s">
        <v>216</v>
      </c>
      <c r="O874" s="274"/>
      <c r="P874" s="274"/>
      <c r="Q874" s="274"/>
      <c r="R874" s="150">
        <v>0</v>
      </c>
      <c r="S874" s="345">
        <f t="shared" ref="S874:S891" si="127" xml:space="preserve"> IF(  ( $N805 * S$849 + $N825 * S$850 ) = 0, 0, ( S576 + S660 ) / ( $N805 * S$849 + $N825 * S$850 ) * tDKKtiløre )</f>
        <v>0</v>
      </c>
      <c r="T874" s="150">
        <f t="shared" ref="T874:V891" si="128" xml:space="preserve"> IF(  ( $N805 * T$849 + $N825 * T$850 ) = 0, 0, T576 / ( $N805 * T$849 + $N825 * T$850 ) * tDKKtiløre )</f>
        <v>0</v>
      </c>
      <c r="U874" s="150">
        <f t="shared" si="128"/>
        <v>0</v>
      </c>
      <c r="V874" s="150">
        <f t="shared" si="128"/>
        <v>0</v>
      </c>
      <c r="W874" s="15"/>
    </row>
    <row r="875" spans="4:23" ht="15" customHeight="1">
      <c r="D875" s="85" t="str">
        <f xml:space="preserve"> '2.1 Model setup'!K71</f>
        <v>1.2 Drift og vedligeholdelse af ledningsnet</v>
      </c>
      <c r="K875" s="5" t="s">
        <v>216</v>
      </c>
      <c r="O875" s="202"/>
      <c r="P875" s="202"/>
      <c r="Q875" s="202"/>
      <c r="R875" s="121">
        <v>0</v>
      </c>
      <c r="S875" s="346">
        <f t="shared" si="127"/>
        <v>0</v>
      </c>
      <c r="T875" s="121">
        <f t="shared" si="128"/>
        <v>0</v>
      </c>
      <c r="U875" s="121">
        <f t="shared" si="128"/>
        <v>0</v>
      </c>
      <c r="V875" s="121">
        <f t="shared" si="128"/>
        <v>0</v>
      </c>
    </row>
    <row r="876" spans="4:23" ht="15" customHeight="1">
      <c r="D876" s="85" t="str">
        <f xml:space="preserve"> '2.1 Model setup'!K72</f>
        <v>1.3 Øvrige omkostninger til drift, styring og kontrol af elnettet</v>
      </c>
      <c r="K876" s="5" t="s">
        <v>216</v>
      </c>
      <c r="O876" s="202"/>
      <c r="P876" s="202"/>
      <c r="Q876" s="202"/>
      <c r="R876" s="121">
        <v>0</v>
      </c>
      <c r="S876" s="346">
        <f t="shared" si="127"/>
        <v>0</v>
      </c>
      <c r="T876" s="121">
        <f t="shared" si="128"/>
        <v>0</v>
      </c>
      <c r="U876" s="121">
        <f t="shared" si="128"/>
        <v>0</v>
      </c>
      <c r="V876" s="121">
        <f t="shared" si="128"/>
        <v>0</v>
      </c>
    </row>
    <row r="877" spans="4:23" ht="15" customHeight="1">
      <c r="D877" s="85" t="str">
        <f xml:space="preserve"> '2.1 Model setup'!K73</f>
        <v>1.4 Omkostninger vedrørende 132-150/30-60 kV-stationer</v>
      </c>
      <c r="K877" s="5" t="s">
        <v>216</v>
      </c>
      <c r="O877" s="202"/>
      <c r="P877" s="202"/>
      <c r="Q877" s="202"/>
      <c r="R877" s="121">
        <v>0</v>
      </c>
      <c r="S877" s="346">
        <f t="shared" si="127"/>
        <v>0</v>
      </c>
      <c r="T877" s="121">
        <f t="shared" si="128"/>
        <v>0</v>
      </c>
      <c r="U877" s="121">
        <f t="shared" si="128"/>
        <v>0</v>
      </c>
      <c r="V877" s="121">
        <f t="shared" si="128"/>
        <v>0</v>
      </c>
    </row>
    <row r="878" spans="4:23" ht="15" customHeight="1">
      <c r="D878" s="85" t="str">
        <f xml:space="preserve"> '2.1 Model setup'!K74</f>
        <v>2.1 Drift og vedligeholdelse af målere</v>
      </c>
      <c r="K878" s="5" t="s">
        <v>216</v>
      </c>
      <c r="O878" s="202"/>
      <c r="P878" s="202"/>
      <c r="Q878" s="202"/>
      <c r="R878" s="121">
        <v>0</v>
      </c>
      <c r="S878" s="346">
        <f t="shared" si="127"/>
        <v>0</v>
      </c>
      <c r="T878" s="121">
        <f t="shared" si="128"/>
        <v>0</v>
      </c>
      <c r="U878" s="121">
        <f t="shared" si="128"/>
        <v>0</v>
      </c>
      <c r="V878" s="121">
        <f t="shared" si="128"/>
        <v>0</v>
      </c>
    </row>
    <row r="879" spans="4:23" ht="15" customHeight="1">
      <c r="D879" s="85" t="str">
        <f xml:space="preserve"> '2.1 Model setup'!K75</f>
        <v>2.2 Indhentning og validering af målerdata</v>
      </c>
      <c r="K879" s="5" t="s">
        <v>216</v>
      </c>
      <c r="O879" s="202"/>
      <c r="P879" s="202"/>
      <c r="Q879" s="202"/>
      <c r="R879" s="121">
        <v>0</v>
      </c>
      <c r="S879" s="346">
        <f t="shared" si="127"/>
        <v>0</v>
      </c>
      <c r="T879" s="121">
        <f t="shared" si="128"/>
        <v>0</v>
      </c>
      <c r="U879" s="121">
        <f t="shared" si="128"/>
        <v>0</v>
      </c>
      <c r="V879" s="121">
        <f t="shared" si="128"/>
        <v>0</v>
      </c>
    </row>
    <row r="880" spans="4:23" ht="15" customHeight="1">
      <c r="D880" s="85" t="str">
        <f xml:space="preserve"> '2.1 Model setup'!K76</f>
        <v>2.3 Måleradministration og kundehåndtering</v>
      </c>
      <c r="K880" s="5" t="s">
        <v>216</v>
      </c>
      <c r="O880" s="202"/>
      <c r="P880" s="202"/>
      <c r="Q880" s="202"/>
      <c r="R880" s="121">
        <v>0</v>
      </c>
      <c r="S880" s="346">
        <f t="shared" si="127"/>
        <v>0</v>
      </c>
      <c r="T880" s="121">
        <f t="shared" si="128"/>
        <v>0</v>
      </c>
      <c r="U880" s="121">
        <f t="shared" si="128"/>
        <v>0</v>
      </c>
      <c r="V880" s="121">
        <f t="shared" si="128"/>
        <v>0</v>
      </c>
    </row>
    <row r="881" spans="4:23" ht="15" customHeight="1">
      <c r="D881" s="85" t="str">
        <f xml:space="preserve"> '2.1 Model setup'!K77</f>
        <v>3.1 Generel administration</v>
      </c>
      <c r="K881" s="5" t="s">
        <v>216</v>
      </c>
      <c r="O881" s="202"/>
      <c r="P881" s="202"/>
      <c r="Q881" s="202"/>
      <c r="R881" s="121">
        <v>0</v>
      </c>
      <c r="S881" s="346">
        <f t="shared" si="127"/>
        <v>0</v>
      </c>
      <c r="T881" s="121">
        <f t="shared" si="128"/>
        <v>0</v>
      </c>
      <c r="U881" s="121">
        <f t="shared" si="128"/>
        <v>0</v>
      </c>
      <c r="V881" s="121">
        <f t="shared" si="128"/>
        <v>0</v>
      </c>
    </row>
    <row r="882" spans="4:23" ht="15" customHeight="1">
      <c r="D882" s="85" t="str">
        <f xml:space="preserve"> '2.1 Model setup'!K78</f>
        <v>4.1 Omkostninger vedrørende nettab i transformerstationer</v>
      </c>
      <c r="K882" s="5" t="s">
        <v>216</v>
      </c>
      <c r="O882" s="202"/>
      <c r="P882" s="202"/>
      <c r="Q882" s="202"/>
      <c r="R882" s="121">
        <v>0</v>
      </c>
      <c r="S882" s="346">
        <f t="shared" si="127"/>
        <v>0</v>
      </c>
      <c r="T882" s="121">
        <f t="shared" si="128"/>
        <v>0</v>
      </c>
      <c r="U882" s="121">
        <f t="shared" si="128"/>
        <v>0</v>
      </c>
      <c r="V882" s="121">
        <f t="shared" si="128"/>
        <v>0</v>
      </c>
    </row>
    <row r="883" spans="4:23" ht="15" customHeight="1">
      <c r="D883" s="85" t="str">
        <f xml:space="preserve"> '2.1 Model setup'!K79</f>
        <v>4.2 Omkostninger vedrørende nettab i ledningsnettet</v>
      </c>
      <c r="K883" s="5" t="s">
        <v>216</v>
      </c>
      <c r="O883" s="202"/>
      <c r="P883" s="202"/>
      <c r="Q883" s="202"/>
      <c r="R883" s="121">
        <v>0</v>
      </c>
      <c r="S883" s="346">
        <f t="shared" si="127"/>
        <v>0</v>
      </c>
      <c r="T883" s="121">
        <f t="shared" si="128"/>
        <v>0</v>
      </c>
      <c r="U883" s="121">
        <f t="shared" si="128"/>
        <v>0</v>
      </c>
      <c r="V883" s="121">
        <f t="shared" si="128"/>
        <v>0</v>
      </c>
    </row>
    <row r="884" spans="4:23" ht="15" customHeight="1">
      <c r="D884" s="85" t="str">
        <f xml:space="preserve"> '2.1 Model setup'!K80</f>
        <v>5.1 Omkostninger til overliggende net ifm. forbrug</v>
      </c>
      <c r="K884" s="5" t="s">
        <v>216</v>
      </c>
      <c r="O884" s="202"/>
      <c r="P884" s="202"/>
      <c r="Q884" s="202"/>
      <c r="R884" s="121">
        <v>0</v>
      </c>
      <c r="S884" s="346">
        <f t="shared" si="127"/>
        <v>0</v>
      </c>
      <c r="T884" s="121">
        <f t="shared" si="128"/>
        <v>0</v>
      </c>
      <c r="U884" s="121">
        <f t="shared" si="128"/>
        <v>0</v>
      </c>
      <c r="V884" s="121">
        <f t="shared" si="128"/>
        <v>0</v>
      </c>
    </row>
    <row r="885" spans="4:23" ht="15" customHeight="1">
      <c r="D885" s="85" t="str">
        <f xml:space="preserve"> '2.1 Model setup'!K81</f>
        <v>5.2 Øvrige omkostninger</v>
      </c>
      <c r="K885" s="5" t="s">
        <v>216</v>
      </c>
      <c r="O885" s="202"/>
      <c r="P885" s="202"/>
      <c r="Q885" s="202"/>
      <c r="R885" s="121">
        <v>0</v>
      </c>
      <c r="S885" s="346">
        <f t="shared" si="127"/>
        <v>0</v>
      </c>
      <c r="T885" s="121">
        <f t="shared" si="128"/>
        <v>0</v>
      </c>
      <c r="U885" s="121">
        <f t="shared" si="128"/>
        <v>0</v>
      </c>
      <c r="V885" s="121">
        <f t="shared" si="128"/>
        <v>0</v>
      </c>
    </row>
    <row r="886" spans="4:23" ht="15" customHeight="1">
      <c r="D886" s="85" t="str">
        <f xml:space="preserve"> '2.1 Model setup'!K82</f>
        <v>6.1 Afskrivninger på transformerstationer</v>
      </c>
      <c r="K886" s="5" t="s">
        <v>216</v>
      </c>
      <c r="O886" s="202"/>
      <c r="P886" s="202"/>
      <c r="Q886" s="202"/>
      <c r="R886" s="121">
        <v>0</v>
      </c>
      <c r="S886" s="346">
        <f t="shared" si="127"/>
        <v>0</v>
      </c>
      <c r="T886" s="121">
        <f t="shared" si="128"/>
        <v>0</v>
      </c>
      <c r="U886" s="121">
        <f t="shared" si="128"/>
        <v>0</v>
      </c>
      <c r="V886" s="121">
        <f t="shared" si="128"/>
        <v>0</v>
      </c>
    </row>
    <row r="887" spans="4:23" ht="15" customHeight="1">
      <c r="D887" s="85" t="str">
        <f xml:space="preserve"> '2.1 Model setup'!K83</f>
        <v>6.2 Afskrivninger på netaktiver ekskl. målere og transformerstationer</v>
      </c>
      <c r="K887" s="5" t="s">
        <v>216</v>
      </c>
      <c r="O887" s="202"/>
      <c r="P887" s="202"/>
      <c r="Q887" s="202"/>
      <c r="R887" s="121">
        <v>0</v>
      </c>
      <c r="S887" s="346">
        <f t="shared" si="127"/>
        <v>0</v>
      </c>
      <c r="T887" s="121">
        <f t="shared" si="128"/>
        <v>0</v>
      </c>
      <c r="U887" s="121">
        <f t="shared" si="128"/>
        <v>0</v>
      </c>
      <c r="V887" s="121">
        <f t="shared" si="128"/>
        <v>0</v>
      </c>
    </row>
    <row r="888" spans="4:23" ht="15" customHeight="1">
      <c r="D888" s="85" t="str">
        <f xml:space="preserve"> '2.1 Model setup'!K84</f>
        <v>6.3 Afskrivninger på målere</v>
      </c>
      <c r="K888" s="5" t="s">
        <v>216</v>
      </c>
      <c r="O888" s="202"/>
      <c r="P888" s="202"/>
      <c r="Q888" s="202"/>
      <c r="R888" s="121">
        <v>0</v>
      </c>
      <c r="S888" s="346">
        <f t="shared" si="127"/>
        <v>0</v>
      </c>
      <c r="T888" s="121">
        <f t="shared" si="128"/>
        <v>0</v>
      </c>
      <c r="U888" s="121">
        <f t="shared" si="128"/>
        <v>0</v>
      </c>
      <c r="V888" s="121">
        <f t="shared" si="128"/>
        <v>0</v>
      </c>
    </row>
    <row r="889" spans="4:23" ht="15" customHeight="1">
      <c r="D889" s="85" t="str">
        <f xml:space="preserve"> '2.1 Model setup'!K85</f>
        <v>7.1 Transformerstationer (forrentning)</v>
      </c>
      <c r="K889" s="5" t="s">
        <v>216</v>
      </c>
      <c r="O889" s="202"/>
      <c r="P889" s="202"/>
      <c r="Q889" s="202"/>
      <c r="R889" s="121">
        <v>0</v>
      </c>
      <c r="S889" s="346">
        <f t="shared" si="127"/>
        <v>0</v>
      </c>
      <c r="T889" s="121">
        <f t="shared" si="128"/>
        <v>0</v>
      </c>
      <c r="U889" s="121">
        <f t="shared" si="128"/>
        <v>0</v>
      </c>
      <c r="V889" s="121">
        <f t="shared" si="128"/>
        <v>0</v>
      </c>
    </row>
    <row r="890" spans="4:23" ht="15" customHeight="1">
      <c r="D890" s="85" t="str">
        <f xml:space="preserve"> '2.1 Model setup'!K86</f>
        <v>7.2 Netaktiver ekskl. målere og transformerstationer (forrentning)</v>
      </c>
      <c r="K890" s="5" t="s">
        <v>216</v>
      </c>
      <c r="O890" s="202"/>
      <c r="P890" s="202"/>
      <c r="Q890" s="202"/>
      <c r="R890" s="121">
        <v>0</v>
      </c>
      <c r="S890" s="346">
        <f t="shared" si="127"/>
        <v>0</v>
      </c>
      <c r="T890" s="121">
        <f t="shared" si="128"/>
        <v>0</v>
      </c>
      <c r="U890" s="121">
        <f t="shared" si="128"/>
        <v>0</v>
      </c>
      <c r="V890" s="121">
        <f t="shared" si="128"/>
        <v>0</v>
      </c>
    </row>
    <row r="891" spans="4:23" ht="15" customHeight="1">
      <c r="D891" s="99" t="str">
        <f xml:space="preserve"> '2.1 Model setup'!K87</f>
        <v>7.3 Målere (forrentning)</v>
      </c>
      <c r="E891" s="27"/>
      <c r="F891" s="27"/>
      <c r="G891" s="27"/>
      <c r="H891" s="27"/>
      <c r="I891" s="27"/>
      <c r="J891" s="27"/>
      <c r="K891" s="32" t="s">
        <v>216</v>
      </c>
      <c r="L891" s="27"/>
      <c r="M891" s="27"/>
      <c r="N891" s="27"/>
      <c r="O891" s="269"/>
      <c r="P891" s="269"/>
      <c r="Q891" s="269"/>
      <c r="R891" s="131">
        <v>0</v>
      </c>
      <c r="S891" s="347">
        <f t="shared" si="127"/>
        <v>0</v>
      </c>
      <c r="T891" s="131">
        <f t="shared" si="128"/>
        <v>0</v>
      </c>
      <c r="U891" s="131">
        <f t="shared" si="128"/>
        <v>0</v>
      </c>
      <c r="V891" s="131">
        <f t="shared" si="128"/>
        <v>0</v>
      </c>
      <c r="W891" s="27"/>
    </row>
    <row r="893" spans="4:23" ht="15" customHeight="1">
      <c r="D893" s="35" t="s">
        <v>478</v>
      </c>
      <c r="E893" s="27"/>
      <c r="F893" s="27"/>
      <c r="G893" s="27"/>
      <c r="H893" s="27"/>
      <c r="I893" s="27"/>
      <c r="J893" s="27"/>
      <c r="K893" s="32"/>
      <c r="L893" s="27"/>
      <c r="M893" s="27"/>
      <c r="N893" s="27"/>
    </row>
    <row r="894" spans="4:23" ht="15" customHeight="1">
      <c r="D894" s="85" t="str">
        <f xml:space="preserve"> '2.1 Model setup'!K70</f>
        <v>1.1 Drift og vedligeholdelse af transformerstationer</v>
      </c>
      <c r="K894" s="5" t="s">
        <v>216</v>
      </c>
      <c r="O894" s="274"/>
      <c r="P894" s="274"/>
      <c r="Q894" s="274"/>
      <c r="R894" s="150">
        <v>0</v>
      </c>
      <c r="S894" s="150">
        <v>0</v>
      </c>
      <c r="T894" s="345">
        <f t="shared" ref="T894:T911" si="129" xml:space="preserve"> IF(  ( $N805 * T$849 + $N825 * T$850 ) = 0, 0, ( T597 + T660 ) / ( $N805 * T$849 + $N825 * T$850 ) * tDKKtiløre )</f>
        <v>0</v>
      </c>
      <c r="U894" s="150">
        <f t="shared" ref="U894:V911" si="130" xml:space="preserve"> IF(  ( $N805 * U$849 + $N825 * U$850 ) = 0, 0, U597 / ( $N805 * U$849 + $N825 * U$850 ) * tDKKtiløre )</f>
        <v>0</v>
      </c>
      <c r="V894" s="150">
        <f t="shared" si="130"/>
        <v>0</v>
      </c>
      <c r="W894" s="15"/>
    </row>
    <row r="895" spans="4:23" ht="15" customHeight="1">
      <c r="D895" s="85" t="str">
        <f xml:space="preserve"> '2.1 Model setup'!K71</f>
        <v>1.2 Drift og vedligeholdelse af ledningsnet</v>
      </c>
      <c r="K895" s="5" t="s">
        <v>216</v>
      </c>
      <c r="O895" s="202"/>
      <c r="P895" s="202"/>
      <c r="Q895" s="202"/>
      <c r="R895" s="121">
        <v>0</v>
      </c>
      <c r="S895" s="121">
        <v>0</v>
      </c>
      <c r="T895" s="346">
        <f t="shared" si="129"/>
        <v>0</v>
      </c>
      <c r="U895" s="121">
        <f t="shared" si="130"/>
        <v>0</v>
      </c>
      <c r="V895" s="121">
        <f t="shared" si="130"/>
        <v>0</v>
      </c>
    </row>
    <row r="896" spans="4:23" ht="15" customHeight="1">
      <c r="D896" s="85" t="str">
        <f xml:space="preserve"> '2.1 Model setup'!K72</f>
        <v>1.3 Øvrige omkostninger til drift, styring og kontrol af elnettet</v>
      </c>
      <c r="K896" s="5" t="s">
        <v>216</v>
      </c>
      <c r="O896" s="202"/>
      <c r="P896" s="202"/>
      <c r="Q896" s="202"/>
      <c r="R896" s="121">
        <v>0</v>
      </c>
      <c r="S896" s="121">
        <v>0</v>
      </c>
      <c r="T896" s="346">
        <f t="shared" si="129"/>
        <v>0</v>
      </c>
      <c r="U896" s="121">
        <f t="shared" si="130"/>
        <v>0</v>
      </c>
      <c r="V896" s="121">
        <f t="shared" si="130"/>
        <v>0</v>
      </c>
    </row>
    <row r="897" spans="4:23" ht="15" customHeight="1">
      <c r="D897" s="85" t="str">
        <f xml:space="preserve"> '2.1 Model setup'!K73</f>
        <v>1.4 Omkostninger vedrørende 132-150/30-60 kV-stationer</v>
      </c>
      <c r="K897" s="5" t="s">
        <v>216</v>
      </c>
      <c r="O897" s="202"/>
      <c r="P897" s="202"/>
      <c r="Q897" s="202"/>
      <c r="R897" s="121">
        <v>0</v>
      </c>
      <c r="S897" s="121">
        <v>0</v>
      </c>
      <c r="T897" s="346">
        <f t="shared" si="129"/>
        <v>0</v>
      </c>
      <c r="U897" s="121">
        <f t="shared" si="130"/>
        <v>0</v>
      </c>
      <c r="V897" s="121">
        <f t="shared" si="130"/>
        <v>0</v>
      </c>
    </row>
    <row r="898" spans="4:23" ht="15" customHeight="1">
      <c r="D898" s="85" t="str">
        <f xml:space="preserve"> '2.1 Model setup'!K74</f>
        <v>2.1 Drift og vedligeholdelse af målere</v>
      </c>
      <c r="K898" s="5" t="s">
        <v>216</v>
      </c>
      <c r="O898" s="202"/>
      <c r="P898" s="202"/>
      <c r="Q898" s="202"/>
      <c r="R898" s="121">
        <v>0</v>
      </c>
      <c r="S898" s="121">
        <v>0</v>
      </c>
      <c r="T898" s="346">
        <f t="shared" si="129"/>
        <v>0</v>
      </c>
      <c r="U898" s="121">
        <f t="shared" si="130"/>
        <v>0</v>
      </c>
      <c r="V898" s="121">
        <f t="shared" si="130"/>
        <v>0</v>
      </c>
    </row>
    <row r="899" spans="4:23" ht="15" customHeight="1">
      <c r="D899" s="85" t="str">
        <f xml:space="preserve"> '2.1 Model setup'!K75</f>
        <v>2.2 Indhentning og validering af målerdata</v>
      </c>
      <c r="K899" s="5" t="s">
        <v>216</v>
      </c>
      <c r="O899" s="202"/>
      <c r="P899" s="202"/>
      <c r="Q899" s="202"/>
      <c r="R899" s="121">
        <v>0</v>
      </c>
      <c r="S899" s="121">
        <v>0</v>
      </c>
      <c r="T899" s="346">
        <f t="shared" si="129"/>
        <v>0</v>
      </c>
      <c r="U899" s="121">
        <f t="shared" si="130"/>
        <v>0</v>
      </c>
      <c r="V899" s="121">
        <f t="shared" si="130"/>
        <v>0</v>
      </c>
    </row>
    <row r="900" spans="4:23" ht="15" customHeight="1">
      <c r="D900" s="85" t="str">
        <f xml:space="preserve"> '2.1 Model setup'!K76</f>
        <v>2.3 Måleradministration og kundehåndtering</v>
      </c>
      <c r="K900" s="5" t="s">
        <v>216</v>
      </c>
      <c r="O900" s="202"/>
      <c r="P900" s="202"/>
      <c r="Q900" s="202"/>
      <c r="R900" s="121">
        <v>0</v>
      </c>
      <c r="S900" s="121">
        <v>0</v>
      </c>
      <c r="T900" s="346">
        <f t="shared" si="129"/>
        <v>0</v>
      </c>
      <c r="U900" s="121">
        <f t="shared" si="130"/>
        <v>0</v>
      </c>
      <c r="V900" s="121">
        <f t="shared" si="130"/>
        <v>0</v>
      </c>
    </row>
    <row r="901" spans="4:23" ht="15" customHeight="1">
      <c r="D901" s="85" t="str">
        <f xml:space="preserve"> '2.1 Model setup'!K77</f>
        <v>3.1 Generel administration</v>
      </c>
      <c r="K901" s="5" t="s">
        <v>216</v>
      </c>
      <c r="O901" s="202"/>
      <c r="P901" s="202"/>
      <c r="Q901" s="202"/>
      <c r="R901" s="121">
        <v>0</v>
      </c>
      <c r="S901" s="121">
        <v>0</v>
      </c>
      <c r="T901" s="346">
        <f t="shared" si="129"/>
        <v>0</v>
      </c>
      <c r="U901" s="121">
        <f t="shared" si="130"/>
        <v>0</v>
      </c>
      <c r="V901" s="121">
        <f t="shared" si="130"/>
        <v>0</v>
      </c>
    </row>
    <row r="902" spans="4:23" ht="15" customHeight="1">
      <c r="D902" s="85" t="str">
        <f xml:space="preserve"> '2.1 Model setup'!K78</f>
        <v>4.1 Omkostninger vedrørende nettab i transformerstationer</v>
      </c>
      <c r="K902" s="5" t="s">
        <v>216</v>
      </c>
      <c r="O902" s="202"/>
      <c r="P902" s="202"/>
      <c r="Q902" s="202"/>
      <c r="R902" s="121">
        <v>0</v>
      </c>
      <c r="S902" s="121">
        <v>0</v>
      </c>
      <c r="T902" s="346">
        <f t="shared" si="129"/>
        <v>0</v>
      </c>
      <c r="U902" s="121">
        <f t="shared" si="130"/>
        <v>0</v>
      </c>
      <c r="V902" s="121">
        <f t="shared" si="130"/>
        <v>0</v>
      </c>
    </row>
    <row r="903" spans="4:23" ht="15" customHeight="1">
      <c r="D903" s="85" t="str">
        <f xml:space="preserve"> '2.1 Model setup'!K79</f>
        <v>4.2 Omkostninger vedrørende nettab i ledningsnettet</v>
      </c>
      <c r="K903" s="5" t="s">
        <v>216</v>
      </c>
      <c r="O903" s="202"/>
      <c r="P903" s="202"/>
      <c r="Q903" s="202"/>
      <c r="R903" s="121">
        <v>0</v>
      </c>
      <c r="S903" s="121">
        <v>0</v>
      </c>
      <c r="T903" s="346">
        <f t="shared" si="129"/>
        <v>0</v>
      </c>
      <c r="U903" s="121">
        <f t="shared" si="130"/>
        <v>0</v>
      </c>
      <c r="V903" s="121">
        <f t="shared" si="130"/>
        <v>0</v>
      </c>
    </row>
    <row r="904" spans="4:23" ht="15" customHeight="1">
      <c r="D904" s="85" t="str">
        <f xml:space="preserve"> '2.1 Model setup'!K80</f>
        <v>5.1 Omkostninger til overliggende net ifm. forbrug</v>
      </c>
      <c r="K904" s="5" t="s">
        <v>216</v>
      </c>
      <c r="O904" s="202"/>
      <c r="P904" s="202"/>
      <c r="Q904" s="202"/>
      <c r="R904" s="121">
        <v>0</v>
      </c>
      <c r="S904" s="121">
        <v>0</v>
      </c>
      <c r="T904" s="346">
        <f t="shared" si="129"/>
        <v>0</v>
      </c>
      <c r="U904" s="121">
        <f t="shared" si="130"/>
        <v>0</v>
      </c>
      <c r="V904" s="121">
        <f t="shared" si="130"/>
        <v>0</v>
      </c>
    </row>
    <row r="905" spans="4:23" ht="15" customHeight="1">
      <c r="D905" s="85" t="str">
        <f xml:space="preserve"> '2.1 Model setup'!K81</f>
        <v>5.2 Øvrige omkostninger</v>
      </c>
      <c r="K905" s="5" t="s">
        <v>216</v>
      </c>
      <c r="O905" s="202"/>
      <c r="P905" s="202"/>
      <c r="Q905" s="202"/>
      <c r="R905" s="121">
        <v>0</v>
      </c>
      <c r="S905" s="121">
        <v>0</v>
      </c>
      <c r="T905" s="346">
        <f t="shared" si="129"/>
        <v>0</v>
      </c>
      <c r="U905" s="121">
        <f t="shared" si="130"/>
        <v>0</v>
      </c>
      <c r="V905" s="121">
        <f t="shared" si="130"/>
        <v>0</v>
      </c>
    </row>
    <row r="906" spans="4:23" ht="15" customHeight="1">
      <c r="D906" s="85" t="str">
        <f xml:space="preserve"> '2.1 Model setup'!K82</f>
        <v>6.1 Afskrivninger på transformerstationer</v>
      </c>
      <c r="K906" s="5" t="s">
        <v>216</v>
      </c>
      <c r="O906" s="202"/>
      <c r="P906" s="202"/>
      <c r="Q906" s="202"/>
      <c r="R906" s="121">
        <v>0</v>
      </c>
      <c r="S906" s="121">
        <v>0</v>
      </c>
      <c r="T906" s="346">
        <f t="shared" si="129"/>
        <v>0</v>
      </c>
      <c r="U906" s="121">
        <f t="shared" si="130"/>
        <v>0</v>
      </c>
      <c r="V906" s="121">
        <f t="shared" si="130"/>
        <v>0</v>
      </c>
    </row>
    <row r="907" spans="4:23" ht="15" customHeight="1">
      <c r="D907" s="85" t="str">
        <f xml:space="preserve"> '2.1 Model setup'!K83</f>
        <v>6.2 Afskrivninger på netaktiver ekskl. målere og transformerstationer</v>
      </c>
      <c r="K907" s="5" t="s">
        <v>216</v>
      </c>
      <c r="O907" s="202"/>
      <c r="P907" s="202"/>
      <c r="Q907" s="202"/>
      <c r="R907" s="121">
        <v>0</v>
      </c>
      <c r="S907" s="121">
        <v>0</v>
      </c>
      <c r="T907" s="346">
        <f t="shared" si="129"/>
        <v>0</v>
      </c>
      <c r="U907" s="121">
        <f t="shared" si="130"/>
        <v>0</v>
      </c>
      <c r="V907" s="121">
        <f t="shared" si="130"/>
        <v>0</v>
      </c>
    </row>
    <row r="908" spans="4:23" ht="15" customHeight="1">
      <c r="D908" s="85" t="str">
        <f xml:space="preserve"> '2.1 Model setup'!K84</f>
        <v>6.3 Afskrivninger på målere</v>
      </c>
      <c r="K908" s="5" t="s">
        <v>216</v>
      </c>
      <c r="O908" s="202"/>
      <c r="P908" s="202"/>
      <c r="Q908" s="202"/>
      <c r="R908" s="121">
        <v>0</v>
      </c>
      <c r="S908" s="121">
        <v>0</v>
      </c>
      <c r="T908" s="346">
        <f t="shared" si="129"/>
        <v>0</v>
      </c>
      <c r="U908" s="121">
        <f t="shared" si="130"/>
        <v>0</v>
      </c>
      <c r="V908" s="121">
        <f t="shared" si="130"/>
        <v>0</v>
      </c>
    </row>
    <row r="909" spans="4:23" ht="15" customHeight="1">
      <c r="D909" s="85" t="str">
        <f xml:space="preserve"> '2.1 Model setup'!K85</f>
        <v>7.1 Transformerstationer (forrentning)</v>
      </c>
      <c r="K909" s="5" t="s">
        <v>216</v>
      </c>
      <c r="O909" s="202"/>
      <c r="P909" s="202"/>
      <c r="Q909" s="202"/>
      <c r="R909" s="121">
        <v>0</v>
      </c>
      <c r="S909" s="121">
        <v>0</v>
      </c>
      <c r="T909" s="346">
        <f t="shared" si="129"/>
        <v>0</v>
      </c>
      <c r="U909" s="121">
        <f t="shared" si="130"/>
        <v>0</v>
      </c>
      <c r="V909" s="121">
        <f t="shared" si="130"/>
        <v>0</v>
      </c>
    </row>
    <row r="910" spans="4:23" ht="15" customHeight="1">
      <c r="D910" s="85" t="str">
        <f xml:space="preserve"> '2.1 Model setup'!K86</f>
        <v>7.2 Netaktiver ekskl. målere og transformerstationer (forrentning)</v>
      </c>
      <c r="K910" s="5" t="s">
        <v>216</v>
      </c>
      <c r="O910" s="202"/>
      <c r="P910" s="202"/>
      <c r="Q910" s="202"/>
      <c r="R910" s="121">
        <v>0</v>
      </c>
      <c r="S910" s="121">
        <v>0</v>
      </c>
      <c r="T910" s="346">
        <f t="shared" si="129"/>
        <v>0</v>
      </c>
      <c r="U910" s="121">
        <f t="shared" si="130"/>
        <v>0</v>
      </c>
      <c r="V910" s="121">
        <f t="shared" si="130"/>
        <v>0</v>
      </c>
    </row>
    <row r="911" spans="4:23" ht="15" customHeight="1">
      <c r="D911" s="99" t="str">
        <f xml:space="preserve"> '2.1 Model setup'!K87</f>
        <v>7.3 Målere (forrentning)</v>
      </c>
      <c r="E911" s="27"/>
      <c r="F911" s="27"/>
      <c r="G911" s="27"/>
      <c r="H911" s="27"/>
      <c r="I911" s="27"/>
      <c r="J911" s="27"/>
      <c r="K911" s="32" t="s">
        <v>216</v>
      </c>
      <c r="L911" s="27"/>
      <c r="M911" s="27"/>
      <c r="N911" s="27"/>
      <c r="O911" s="269"/>
      <c r="P911" s="269"/>
      <c r="Q911" s="269"/>
      <c r="R911" s="131">
        <v>0</v>
      </c>
      <c r="S911" s="131">
        <v>0</v>
      </c>
      <c r="T911" s="347">
        <f t="shared" si="129"/>
        <v>0</v>
      </c>
      <c r="U911" s="131">
        <f t="shared" si="130"/>
        <v>0</v>
      </c>
      <c r="V911" s="131">
        <f t="shared" si="130"/>
        <v>0</v>
      </c>
      <c r="W911" s="27"/>
    </row>
    <row r="913" spans="4:23" ht="15" customHeight="1">
      <c r="D913" s="35" t="s">
        <v>479</v>
      </c>
      <c r="E913" s="27"/>
      <c r="F913" s="27"/>
      <c r="G913" s="27"/>
      <c r="H913" s="27"/>
      <c r="I913" s="27"/>
      <c r="J913" s="27"/>
      <c r="K913" s="32"/>
      <c r="L913" s="27"/>
      <c r="M913" s="27"/>
      <c r="N913" s="27"/>
    </row>
    <row r="914" spans="4:23" ht="15" customHeight="1">
      <c r="D914" s="85" t="str">
        <f xml:space="preserve"> '2.1 Model setup'!K70</f>
        <v>1.1 Drift og vedligeholdelse af transformerstationer</v>
      </c>
      <c r="K914" s="5" t="s">
        <v>216</v>
      </c>
      <c r="O914" s="274"/>
      <c r="P914" s="274"/>
      <c r="Q914" s="274"/>
      <c r="R914" s="150">
        <v>0</v>
      </c>
      <c r="S914" s="150">
        <v>0</v>
      </c>
      <c r="T914" s="150">
        <v>0</v>
      </c>
      <c r="U914" s="345">
        <f t="shared" ref="U914:U931" si="131" xml:space="preserve"> IF(  ( $N805 * U$849 + $N825 * U$850 ) = 0, 0, ( U618 + U660 ) / ( $N805 * U$849 + $N825 * U$850 ) * tDKKtiløre )</f>
        <v>0</v>
      </c>
      <c r="V914" s="150">
        <f t="shared" ref="V914:V931" si="132" xml:space="preserve"> IF(  ( $N805 * V$849 + $N825 * V$850 ) = 0, 0, V618 / ( $N805 * V$849 + $N825 * V$850 ) * tDKKtiløre )</f>
        <v>0</v>
      </c>
      <c r="W914" s="15"/>
    </row>
    <row r="915" spans="4:23" ht="15" customHeight="1">
      <c r="D915" s="85" t="str">
        <f xml:space="preserve"> '2.1 Model setup'!K71</f>
        <v>1.2 Drift og vedligeholdelse af ledningsnet</v>
      </c>
      <c r="K915" s="5" t="s">
        <v>216</v>
      </c>
      <c r="O915" s="202"/>
      <c r="P915" s="202"/>
      <c r="Q915" s="202"/>
      <c r="R915" s="121">
        <v>0</v>
      </c>
      <c r="S915" s="121">
        <v>0</v>
      </c>
      <c r="T915" s="121">
        <v>0</v>
      </c>
      <c r="U915" s="346">
        <f t="shared" si="131"/>
        <v>0</v>
      </c>
      <c r="V915" s="121">
        <f t="shared" si="132"/>
        <v>0</v>
      </c>
    </row>
    <row r="916" spans="4:23" ht="15" customHeight="1">
      <c r="D916" s="85" t="str">
        <f xml:space="preserve"> '2.1 Model setup'!K72</f>
        <v>1.3 Øvrige omkostninger til drift, styring og kontrol af elnettet</v>
      </c>
      <c r="K916" s="5" t="s">
        <v>216</v>
      </c>
      <c r="O916" s="202"/>
      <c r="P916" s="202"/>
      <c r="Q916" s="202"/>
      <c r="R916" s="121">
        <v>0</v>
      </c>
      <c r="S916" s="121">
        <v>0</v>
      </c>
      <c r="T916" s="121">
        <v>0</v>
      </c>
      <c r="U916" s="346">
        <f t="shared" si="131"/>
        <v>0</v>
      </c>
      <c r="V916" s="121">
        <f t="shared" si="132"/>
        <v>0</v>
      </c>
    </row>
    <row r="917" spans="4:23" ht="15" customHeight="1">
      <c r="D917" s="85" t="str">
        <f xml:space="preserve"> '2.1 Model setup'!K73</f>
        <v>1.4 Omkostninger vedrørende 132-150/30-60 kV-stationer</v>
      </c>
      <c r="K917" s="5" t="s">
        <v>216</v>
      </c>
      <c r="O917" s="202"/>
      <c r="P917" s="202"/>
      <c r="Q917" s="202"/>
      <c r="R917" s="121">
        <v>0</v>
      </c>
      <c r="S917" s="121">
        <v>0</v>
      </c>
      <c r="T917" s="121">
        <v>0</v>
      </c>
      <c r="U917" s="346">
        <f t="shared" si="131"/>
        <v>0</v>
      </c>
      <c r="V917" s="121">
        <f t="shared" si="132"/>
        <v>0</v>
      </c>
    </row>
    <row r="918" spans="4:23" ht="15" customHeight="1">
      <c r="D918" s="85" t="str">
        <f xml:space="preserve"> '2.1 Model setup'!K74</f>
        <v>2.1 Drift og vedligeholdelse af målere</v>
      </c>
      <c r="K918" s="5" t="s">
        <v>216</v>
      </c>
      <c r="O918" s="202"/>
      <c r="P918" s="202"/>
      <c r="Q918" s="202"/>
      <c r="R918" s="121">
        <v>0</v>
      </c>
      <c r="S918" s="121">
        <v>0</v>
      </c>
      <c r="T918" s="121">
        <v>0</v>
      </c>
      <c r="U918" s="346">
        <f t="shared" si="131"/>
        <v>0</v>
      </c>
      <c r="V918" s="121">
        <f t="shared" si="132"/>
        <v>0</v>
      </c>
    </row>
    <row r="919" spans="4:23" ht="15" customHeight="1">
      <c r="D919" s="85" t="str">
        <f xml:space="preserve"> '2.1 Model setup'!K75</f>
        <v>2.2 Indhentning og validering af målerdata</v>
      </c>
      <c r="K919" s="5" t="s">
        <v>216</v>
      </c>
      <c r="O919" s="202"/>
      <c r="P919" s="202"/>
      <c r="Q919" s="202"/>
      <c r="R919" s="121">
        <v>0</v>
      </c>
      <c r="S919" s="121">
        <v>0</v>
      </c>
      <c r="T919" s="121">
        <v>0</v>
      </c>
      <c r="U919" s="346">
        <f t="shared" si="131"/>
        <v>0</v>
      </c>
      <c r="V919" s="121">
        <f t="shared" si="132"/>
        <v>0</v>
      </c>
    </row>
    <row r="920" spans="4:23" ht="15" customHeight="1">
      <c r="D920" s="85" t="str">
        <f xml:space="preserve"> '2.1 Model setup'!K76</f>
        <v>2.3 Måleradministration og kundehåndtering</v>
      </c>
      <c r="K920" s="5" t="s">
        <v>216</v>
      </c>
      <c r="O920" s="202"/>
      <c r="P920" s="202"/>
      <c r="Q920" s="202"/>
      <c r="R920" s="121">
        <v>0</v>
      </c>
      <c r="S920" s="121">
        <v>0</v>
      </c>
      <c r="T920" s="121">
        <v>0</v>
      </c>
      <c r="U920" s="346">
        <f t="shared" si="131"/>
        <v>0</v>
      </c>
      <c r="V920" s="121">
        <f t="shared" si="132"/>
        <v>0</v>
      </c>
    </row>
    <row r="921" spans="4:23" ht="15" customHeight="1">
      <c r="D921" s="85" t="str">
        <f xml:space="preserve"> '2.1 Model setup'!K77</f>
        <v>3.1 Generel administration</v>
      </c>
      <c r="K921" s="5" t="s">
        <v>216</v>
      </c>
      <c r="O921" s="202"/>
      <c r="P921" s="202"/>
      <c r="Q921" s="202"/>
      <c r="R921" s="121">
        <v>0</v>
      </c>
      <c r="S921" s="121">
        <v>0</v>
      </c>
      <c r="T921" s="121">
        <v>0</v>
      </c>
      <c r="U921" s="346">
        <f t="shared" si="131"/>
        <v>0</v>
      </c>
      <c r="V921" s="121">
        <f t="shared" si="132"/>
        <v>0</v>
      </c>
    </row>
    <row r="922" spans="4:23" ht="15" customHeight="1">
      <c r="D922" s="85" t="str">
        <f xml:space="preserve"> '2.1 Model setup'!K78</f>
        <v>4.1 Omkostninger vedrørende nettab i transformerstationer</v>
      </c>
      <c r="K922" s="5" t="s">
        <v>216</v>
      </c>
      <c r="O922" s="202"/>
      <c r="P922" s="202"/>
      <c r="Q922" s="202"/>
      <c r="R922" s="121">
        <v>0</v>
      </c>
      <c r="S922" s="121">
        <v>0</v>
      </c>
      <c r="T922" s="121">
        <v>0</v>
      </c>
      <c r="U922" s="346">
        <f t="shared" si="131"/>
        <v>0</v>
      </c>
      <c r="V922" s="121">
        <f t="shared" si="132"/>
        <v>0</v>
      </c>
    </row>
    <row r="923" spans="4:23" ht="15" customHeight="1">
      <c r="D923" s="85" t="str">
        <f xml:space="preserve"> '2.1 Model setup'!K79</f>
        <v>4.2 Omkostninger vedrørende nettab i ledningsnettet</v>
      </c>
      <c r="K923" s="5" t="s">
        <v>216</v>
      </c>
      <c r="O923" s="202"/>
      <c r="P923" s="202"/>
      <c r="Q923" s="202"/>
      <c r="R923" s="121">
        <v>0</v>
      </c>
      <c r="S923" s="121">
        <v>0</v>
      </c>
      <c r="T923" s="121">
        <v>0</v>
      </c>
      <c r="U923" s="346">
        <f t="shared" si="131"/>
        <v>0</v>
      </c>
      <c r="V923" s="121">
        <f t="shared" si="132"/>
        <v>0</v>
      </c>
    </row>
    <row r="924" spans="4:23" ht="15" customHeight="1">
      <c r="D924" s="85" t="str">
        <f xml:space="preserve"> '2.1 Model setup'!K80</f>
        <v>5.1 Omkostninger til overliggende net ifm. forbrug</v>
      </c>
      <c r="K924" s="5" t="s">
        <v>216</v>
      </c>
      <c r="O924" s="202"/>
      <c r="P924" s="202"/>
      <c r="Q924" s="202"/>
      <c r="R924" s="121">
        <v>0</v>
      </c>
      <c r="S924" s="121">
        <v>0</v>
      </c>
      <c r="T924" s="121">
        <v>0</v>
      </c>
      <c r="U924" s="346">
        <f t="shared" si="131"/>
        <v>0</v>
      </c>
      <c r="V924" s="121">
        <f t="shared" si="132"/>
        <v>0</v>
      </c>
    </row>
    <row r="925" spans="4:23" ht="15" customHeight="1">
      <c r="D925" s="85" t="str">
        <f xml:space="preserve"> '2.1 Model setup'!K81</f>
        <v>5.2 Øvrige omkostninger</v>
      </c>
      <c r="K925" s="5" t="s">
        <v>216</v>
      </c>
      <c r="O925" s="202"/>
      <c r="P925" s="202"/>
      <c r="Q925" s="202"/>
      <c r="R925" s="121">
        <v>0</v>
      </c>
      <c r="S925" s="121">
        <v>0</v>
      </c>
      <c r="T925" s="121">
        <v>0</v>
      </c>
      <c r="U925" s="346">
        <f t="shared" si="131"/>
        <v>0</v>
      </c>
      <c r="V925" s="121">
        <f t="shared" si="132"/>
        <v>0</v>
      </c>
    </row>
    <row r="926" spans="4:23" ht="15" customHeight="1">
      <c r="D926" s="85" t="str">
        <f xml:space="preserve"> '2.1 Model setup'!K82</f>
        <v>6.1 Afskrivninger på transformerstationer</v>
      </c>
      <c r="K926" s="5" t="s">
        <v>216</v>
      </c>
      <c r="O926" s="202"/>
      <c r="P926" s="202"/>
      <c r="Q926" s="202"/>
      <c r="R926" s="121">
        <v>0</v>
      </c>
      <c r="S926" s="121">
        <v>0</v>
      </c>
      <c r="T926" s="121">
        <v>0</v>
      </c>
      <c r="U926" s="346">
        <f t="shared" si="131"/>
        <v>0</v>
      </c>
      <c r="V926" s="121">
        <f t="shared" si="132"/>
        <v>0</v>
      </c>
    </row>
    <row r="927" spans="4:23" ht="15" customHeight="1">
      <c r="D927" s="85" t="str">
        <f xml:space="preserve"> '2.1 Model setup'!K83</f>
        <v>6.2 Afskrivninger på netaktiver ekskl. målere og transformerstationer</v>
      </c>
      <c r="K927" s="5" t="s">
        <v>216</v>
      </c>
      <c r="O927" s="202"/>
      <c r="P927" s="202"/>
      <c r="Q927" s="202"/>
      <c r="R927" s="121">
        <v>0</v>
      </c>
      <c r="S927" s="121">
        <v>0</v>
      </c>
      <c r="T927" s="121">
        <v>0</v>
      </c>
      <c r="U927" s="346">
        <f t="shared" si="131"/>
        <v>0</v>
      </c>
      <c r="V927" s="121">
        <f t="shared" si="132"/>
        <v>0</v>
      </c>
    </row>
    <row r="928" spans="4:23" ht="15" customHeight="1">
      <c r="D928" s="85" t="str">
        <f xml:space="preserve"> '2.1 Model setup'!K84</f>
        <v>6.3 Afskrivninger på målere</v>
      </c>
      <c r="K928" s="5" t="s">
        <v>216</v>
      </c>
      <c r="O928" s="202"/>
      <c r="P928" s="202"/>
      <c r="Q928" s="202"/>
      <c r="R928" s="121">
        <v>0</v>
      </c>
      <c r="S928" s="121">
        <v>0</v>
      </c>
      <c r="T928" s="121">
        <v>0</v>
      </c>
      <c r="U928" s="346">
        <f t="shared" si="131"/>
        <v>0</v>
      </c>
      <c r="V928" s="121">
        <f t="shared" si="132"/>
        <v>0</v>
      </c>
    </row>
    <row r="929" spans="4:23" ht="15" customHeight="1">
      <c r="D929" s="85" t="str">
        <f xml:space="preserve"> '2.1 Model setup'!K85</f>
        <v>7.1 Transformerstationer (forrentning)</v>
      </c>
      <c r="K929" s="5" t="s">
        <v>216</v>
      </c>
      <c r="O929" s="202"/>
      <c r="P929" s="202"/>
      <c r="Q929" s="202"/>
      <c r="R929" s="121">
        <v>0</v>
      </c>
      <c r="S929" s="121">
        <v>0</v>
      </c>
      <c r="T929" s="121">
        <v>0</v>
      </c>
      <c r="U929" s="346">
        <f t="shared" si="131"/>
        <v>0</v>
      </c>
      <c r="V929" s="121">
        <f t="shared" si="132"/>
        <v>0</v>
      </c>
    </row>
    <row r="930" spans="4:23" ht="15" customHeight="1">
      <c r="D930" s="85" t="str">
        <f xml:space="preserve"> '2.1 Model setup'!K86</f>
        <v>7.2 Netaktiver ekskl. målere og transformerstationer (forrentning)</v>
      </c>
      <c r="K930" s="5" t="s">
        <v>216</v>
      </c>
      <c r="O930" s="202"/>
      <c r="P930" s="202"/>
      <c r="Q930" s="202"/>
      <c r="R930" s="121">
        <v>0</v>
      </c>
      <c r="S930" s="121">
        <v>0</v>
      </c>
      <c r="T930" s="121">
        <v>0</v>
      </c>
      <c r="U930" s="346">
        <f t="shared" si="131"/>
        <v>0</v>
      </c>
      <c r="V930" s="121">
        <f t="shared" si="132"/>
        <v>0</v>
      </c>
    </row>
    <row r="931" spans="4:23" ht="15" customHeight="1">
      <c r="D931" s="99" t="str">
        <f xml:space="preserve"> '2.1 Model setup'!K87</f>
        <v>7.3 Målere (forrentning)</v>
      </c>
      <c r="E931" s="27"/>
      <c r="F931" s="27"/>
      <c r="G931" s="27"/>
      <c r="H931" s="27"/>
      <c r="I931" s="27"/>
      <c r="J931" s="27"/>
      <c r="K931" s="32" t="s">
        <v>216</v>
      </c>
      <c r="L931" s="27"/>
      <c r="M931" s="27"/>
      <c r="N931" s="27"/>
      <c r="O931" s="269"/>
      <c r="P931" s="269"/>
      <c r="Q931" s="269"/>
      <c r="R931" s="131">
        <v>0</v>
      </c>
      <c r="S931" s="131">
        <v>0</v>
      </c>
      <c r="T931" s="131">
        <v>0</v>
      </c>
      <c r="U931" s="347">
        <f t="shared" si="131"/>
        <v>0</v>
      </c>
      <c r="V931" s="131">
        <f t="shared" si="132"/>
        <v>0</v>
      </c>
      <c r="W931" s="27"/>
    </row>
    <row r="933" spans="4:23" ht="15" customHeight="1">
      <c r="D933" s="35" t="s">
        <v>480</v>
      </c>
      <c r="E933" s="27"/>
      <c r="F933" s="27"/>
      <c r="G933" s="27"/>
      <c r="H933" s="27"/>
      <c r="I933" s="27"/>
      <c r="J933" s="27"/>
      <c r="K933" s="32"/>
      <c r="L933" s="27"/>
      <c r="M933" s="27"/>
      <c r="N933" s="27"/>
    </row>
    <row r="934" spans="4:23" ht="15" customHeight="1">
      <c r="D934" s="85" t="str">
        <f xml:space="preserve"> '2.1 Model setup'!K70</f>
        <v>1.1 Drift og vedligeholdelse af transformerstationer</v>
      </c>
      <c r="K934" s="5" t="s">
        <v>216</v>
      </c>
      <c r="O934" s="274"/>
      <c r="P934" s="274"/>
      <c r="Q934" s="274"/>
      <c r="R934" s="150">
        <v>0</v>
      </c>
      <c r="S934" s="150">
        <v>0</v>
      </c>
      <c r="T934" s="150">
        <v>0</v>
      </c>
      <c r="U934" s="150">
        <v>0</v>
      </c>
      <c r="V934" s="356">
        <f t="shared" ref="V934:V951" si="133" xml:space="preserve"> IF(  ( $N805 * V$849 + $N825 * V$850 ) = 0, 0, V660 / ( $N805 * V$849 + $N825 * V$850 ) * tDKKtiløre )</f>
        <v>0</v>
      </c>
      <c r="W934" s="15"/>
    </row>
    <row r="935" spans="4:23" ht="15" customHeight="1">
      <c r="D935" s="85" t="str">
        <f xml:space="preserve"> '2.1 Model setup'!K71</f>
        <v>1.2 Drift og vedligeholdelse af ledningsnet</v>
      </c>
      <c r="K935" s="5" t="s">
        <v>216</v>
      </c>
      <c r="O935" s="202"/>
      <c r="P935" s="202"/>
      <c r="Q935" s="202"/>
      <c r="R935" s="121">
        <v>0</v>
      </c>
      <c r="S935" s="121">
        <v>0</v>
      </c>
      <c r="T935" s="121">
        <v>0</v>
      </c>
      <c r="U935" s="121">
        <v>0</v>
      </c>
      <c r="V935" s="351">
        <f t="shared" si="133"/>
        <v>0</v>
      </c>
    </row>
    <row r="936" spans="4:23" ht="15" customHeight="1">
      <c r="D936" s="85" t="str">
        <f xml:space="preserve"> '2.1 Model setup'!K72</f>
        <v>1.3 Øvrige omkostninger til drift, styring og kontrol af elnettet</v>
      </c>
      <c r="K936" s="5" t="s">
        <v>216</v>
      </c>
      <c r="O936" s="202"/>
      <c r="P936" s="202"/>
      <c r="Q936" s="202"/>
      <c r="R936" s="121">
        <v>0</v>
      </c>
      <c r="S936" s="121">
        <v>0</v>
      </c>
      <c r="T936" s="121">
        <v>0</v>
      </c>
      <c r="U936" s="121">
        <v>0</v>
      </c>
      <c r="V936" s="351">
        <f t="shared" si="133"/>
        <v>0</v>
      </c>
    </row>
    <row r="937" spans="4:23" ht="15" customHeight="1">
      <c r="D937" s="85" t="str">
        <f xml:space="preserve"> '2.1 Model setup'!K73</f>
        <v>1.4 Omkostninger vedrørende 132-150/30-60 kV-stationer</v>
      </c>
      <c r="K937" s="5" t="s">
        <v>216</v>
      </c>
      <c r="O937" s="202"/>
      <c r="P937" s="202"/>
      <c r="Q937" s="202"/>
      <c r="R937" s="121">
        <v>0</v>
      </c>
      <c r="S937" s="121">
        <v>0</v>
      </c>
      <c r="T937" s="121">
        <v>0</v>
      </c>
      <c r="U937" s="121">
        <v>0</v>
      </c>
      <c r="V937" s="351">
        <f t="shared" si="133"/>
        <v>0</v>
      </c>
    </row>
    <row r="938" spans="4:23" ht="15" customHeight="1">
      <c r="D938" s="85" t="str">
        <f xml:space="preserve"> '2.1 Model setup'!K74</f>
        <v>2.1 Drift og vedligeholdelse af målere</v>
      </c>
      <c r="K938" s="5" t="s">
        <v>216</v>
      </c>
      <c r="O938" s="202"/>
      <c r="P938" s="202"/>
      <c r="Q938" s="202"/>
      <c r="R938" s="121">
        <v>0</v>
      </c>
      <c r="S938" s="121">
        <v>0</v>
      </c>
      <c r="T938" s="121">
        <v>0</v>
      </c>
      <c r="U938" s="121">
        <v>0</v>
      </c>
      <c r="V938" s="351">
        <f t="shared" si="133"/>
        <v>0</v>
      </c>
    </row>
    <row r="939" spans="4:23" ht="15" customHeight="1">
      <c r="D939" s="85" t="str">
        <f xml:space="preserve"> '2.1 Model setup'!K75</f>
        <v>2.2 Indhentning og validering af målerdata</v>
      </c>
      <c r="K939" s="5" t="s">
        <v>216</v>
      </c>
      <c r="O939" s="202"/>
      <c r="P939" s="202"/>
      <c r="Q939" s="202"/>
      <c r="R939" s="121">
        <v>0</v>
      </c>
      <c r="S939" s="121">
        <v>0</v>
      </c>
      <c r="T939" s="121">
        <v>0</v>
      </c>
      <c r="U939" s="121">
        <v>0</v>
      </c>
      <c r="V939" s="351">
        <f t="shared" si="133"/>
        <v>0</v>
      </c>
    </row>
    <row r="940" spans="4:23" ht="15" customHeight="1">
      <c r="D940" s="85" t="str">
        <f xml:space="preserve"> '2.1 Model setup'!K76</f>
        <v>2.3 Måleradministration og kundehåndtering</v>
      </c>
      <c r="K940" s="5" t="s">
        <v>216</v>
      </c>
      <c r="O940" s="202"/>
      <c r="P940" s="202"/>
      <c r="Q940" s="202"/>
      <c r="R940" s="121">
        <v>0</v>
      </c>
      <c r="S940" s="121">
        <v>0</v>
      </c>
      <c r="T940" s="121">
        <v>0</v>
      </c>
      <c r="U940" s="121">
        <v>0</v>
      </c>
      <c r="V940" s="351">
        <f t="shared" si="133"/>
        <v>0</v>
      </c>
    </row>
    <row r="941" spans="4:23" ht="15" customHeight="1">
      <c r="D941" s="85" t="str">
        <f xml:space="preserve"> '2.1 Model setup'!K77</f>
        <v>3.1 Generel administration</v>
      </c>
      <c r="K941" s="5" t="s">
        <v>216</v>
      </c>
      <c r="O941" s="202"/>
      <c r="P941" s="202"/>
      <c r="Q941" s="202"/>
      <c r="R941" s="121">
        <v>0</v>
      </c>
      <c r="S941" s="121">
        <v>0</v>
      </c>
      <c r="T941" s="121">
        <v>0</v>
      </c>
      <c r="U941" s="121">
        <v>0</v>
      </c>
      <c r="V941" s="351">
        <f t="shared" si="133"/>
        <v>0</v>
      </c>
    </row>
    <row r="942" spans="4:23" ht="15" customHeight="1">
      <c r="D942" s="85" t="str">
        <f xml:space="preserve"> '2.1 Model setup'!K78</f>
        <v>4.1 Omkostninger vedrørende nettab i transformerstationer</v>
      </c>
      <c r="K942" s="5" t="s">
        <v>216</v>
      </c>
      <c r="O942" s="202"/>
      <c r="P942" s="202"/>
      <c r="Q942" s="202"/>
      <c r="R942" s="121">
        <v>0</v>
      </c>
      <c r="S942" s="121">
        <v>0</v>
      </c>
      <c r="T942" s="121">
        <v>0</v>
      </c>
      <c r="U942" s="121">
        <v>0</v>
      </c>
      <c r="V942" s="351">
        <f t="shared" si="133"/>
        <v>0</v>
      </c>
    </row>
    <row r="943" spans="4:23" ht="15" customHeight="1">
      <c r="D943" s="85" t="str">
        <f xml:space="preserve"> '2.1 Model setup'!K79</f>
        <v>4.2 Omkostninger vedrørende nettab i ledningsnettet</v>
      </c>
      <c r="K943" s="5" t="s">
        <v>216</v>
      </c>
      <c r="O943" s="202"/>
      <c r="P943" s="202"/>
      <c r="Q943" s="202"/>
      <c r="R943" s="121">
        <v>0</v>
      </c>
      <c r="S943" s="121">
        <v>0</v>
      </c>
      <c r="T943" s="121">
        <v>0</v>
      </c>
      <c r="U943" s="121">
        <v>0</v>
      </c>
      <c r="V943" s="351">
        <f t="shared" si="133"/>
        <v>0</v>
      </c>
    </row>
    <row r="944" spans="4:23" ht="15" customHeight="1">
      <c r="D944" s="85" t="str">
        <f xml:space="preserve"> '2.1 Model setup'!K80</f>
        <v>5.1 Omkostninger til overliggende net ifm. forbrug</v>
      </c>
      <c r="K944" s="5" t="s">
        <v>216</v>
      </c>
      <c r="O944" s="202"/>
      <c r="P944" s="202"/>
      <c r="Q944" s="202"/>
      <c r="R944" s="121">
        <v>0</v>
      </c>
      <c r="S944" s="121">
        <v>0</v>
      </c>
      <c r="T944" s="121">
        <v>0</v>
      </c>
      <c r="U944" s="121">
        <v>0</v>
      </c>
      <c r="V944" s="351">
        <f t="shared" si="133"/>
        <v>0</v>
      </c>
    </row>
    <row r="945" spans="4:23" ht="15" customHeight="1">
      <c r="D945" s="85" t="str">
        <f xml:space="preserve"> '2.1 Model setup'!K81</f>
        <v>5.2 Øvrige omkostninger</v>
      </c>
      <c r="K945" s="5" t="s">
        <v>216</v>
      </c>
      <c r="O945" s="202"/>
      <c r="P945" s="202"/>
      <c r="Q945" s="202"/>
      <c r="R945" s="121">
        <v>0</v>
      </c>
      <c r="S945" s="121">
        <v>0</v>
      </c>
      <c r="T945" s="121">
        <v>0</v>
      </c>
      <c r="U945" s="121">
        <v>0</v>
      </c>
      <c r="V945" s="351">
        <f t="shared" si="133"/>
        <v>0</v>
      </c>
    </row>
    <row r="946" spans="4:23" ht="15" customHeight="1">
      <c r="D946" s="85" t="str">
        <f xml:space="preserve"> '2.1 Model setup'!K82</f>
        <v>6.1 Afskrivninger på transformerstationer</v>
      </c>
      <c r="K946" s="5" t="s">
        <v>216</v>
      </c>
      <c r="O946" s="202"/>
      <c r="P946" s="202"/>
      <c r="Q946" s="202"/>
      <c r="R946" s="121">
        <v>0</v>
      </c>
      <c r="S946" s="121">
        <v>0</v>
      </c>
      <c r="T946" s="121">
        <v>0</v>
      </c>
      <c r="U946" s="121">
        <v>0</v>
      </c>
      <c r="V946" s="351">
        <f t="shared" si="133"/>
        <v>0</v>
      </c>
    </row>
    <row r="947" spans="4:23" ht="15" customHeight="1">
      <c r="D947" s="85" t="str">
        <f xml:space="preserve"> '2.1 Model setup'!K83</f>
        <v>6.2 Afskrivninger på netaktiver ekskl. målere og transformerstationer</v>
      </c>
      <c r="K947" s="5" t="s">
        <v>216</v>
      </c>
      <c r="O947" s="202"/>
      <c r="P947" s="202"/>
      <c r="Q947" s="202"/>
      <c r="R947" s="121">
        <v>0</v>
      </c>
      <c r="S947" s="121">
        <v>0</v>
      </c>
      <c r="T947" s="121">
        <v>0</v>
      </c>
      <c r="U947" s="121">
        <v>0</v>
      </c>
      <c r="V947" s="351">
        <f t="shared" si="133"/>
        <v>0</v>
      </c>
    </row>
    <row r="948" spans="4:23" ht="15" customHeight="1">
      <c r="D948" s="85" t="str">
        <f xml:space="preserve"> '2.1 Model setup'!K84</f>
        <v>6.3 Afskrivninger på målere</v>
      </c>
      <c r="K948" s="5" t="s">
        <v>216</v>
      </c>
      <c r="O948" s="202"/>
      <c r="P948" s="202"/>
      <c r="Q948" s="202"/>
      <c r="R948" s="121">
        <v>0</v>
      </c>
      <c r="S948" s="121">
        <v>0</v>
      </c>
      <c r="T948" s="121">
        <v>0</v>
      </c>
      <c r="U948" s="121">
        <v>0</v>
      </c>
      <c r="V948" s="351">
        <f t="shared" si="133"/>
        <v>0</v>
      </c>
    </row>
    <row r="949" spans="4:23" ht="15" customHeight="1">
      <c r="D949" s="85" t="str">
        <f xml:space="preserve"> '2.1 Model setup'!K85</f>
        <v>7.1 Transformerstationer (forrentning)</v>
      </c>
      <c r="K949" s="5" t="s">
        <v>216</v>
      </c>
      <c r="O949" s="202"/>
      <c r="P949" s="202"/>
      <c r="Q949" s="202"/>
      <c r="R949" s="121">
        <v>0</v>
      </c>
      <c r="S949" s="121">
        <v>0</v>
      </c>
      <c r="T949" s="121">
        <v>0</v>
      </c>
      <c r="U949" s="121">
        <v>0</v>
      </c>
      <c r="V949" s="351">
        <f t="shared" si="133"/>
        <v>0</v>
      </c>
    </row>
    <row r="950" spans="4:23" ht="15" customHeight="1">
      <c r="D950" s="85" t="str">
        <f xml:space="preserve"> '2.1 Model setup'!K86</f>
        <v>7.2 Netaktiver ekskl. målere og transformerstationer (forrentning)</v>
      </c>
      <c r="K950" s="5" t="s">
        <v>216</v>
      </c>
      <c r="O950" s="202"/>
      <c r="P950" s="202"/>
      <c r="Q950" s="202"/>
      <c r="R950" s="121">
        <v>0</v>
      </c>
      <c r="S950" s="121">
        <v>0</v>
      </c>
      <c r="T950" s="121">
        <v>0</v>
      </c>
      <c r="U950" s="121">
        <v>0</v>
      </c>
      <c r="V950" s="351">
        <f t="shared" si="133"/>
        <v>0</v>
      </c>
    </row>
    <row r="951" spans="4:23" ht="15" customHeight="1">
      <c r="D951" s="99" t="str">
        <f xml:space="preserve"> '2.1 Model setup'!K87</f>
        <v>7.3 Målere (forrentning)</v>
      </c>
      <c r="E951" s="27"/>
      <c r="F951" s="27"/>
      <c r="G951" s="27"/>
      <c r="H951" s="27"/>
      <c r="I951" s="27"/>
      <c r="J951" s="27"/>
      <c r="K951" s="32" t="s">
        <v>216</v>
      </c>
      <c r="L951" s="27"/>
      <c r="M951" s="27"/>
      <c r="N951" s="27"/>
      <c r="O951" s="269"/>
      <c r="P951" s="269"/>
      <c r="Q951" s="269"/>
      <c r="R951" s="131">
        <v>0</v>
      </c>
      <c r="S951" s="131">
        <v>0</v>
      </c>
      <c r="T951" s="131">
        <v>0</v>
      </c>
      <c r="U951" s="131">
        <v>0</v>
      </c>
      <c r="V951" s="352">
        <f t="shared" si="133"/>
        <v>0</v>
      </c>
      <c r="W951" s="27"/>
    </row>
    <row r="953" spans="4:23" ht="15" customHeight="1">
      <c r="D953" s="35" t="s">
        <v>430</v>
      </c>
      <c r="E953" s="27"/>
      <c r="F953" s="27"/>
      <c r="G953" s="27"/>
      <c r="H953" s="27"/>
      <c r="I953" s="27"/>
      <c r="J953" s="27"/>
      <c r="K953" s="32"/>
      <c r="M953" s="27"/>
      <c r="N953" s="27"/>
    </row>
    <row r="954" spans="4:23" ht="15" customHeight="1">
      <c r="D954" s="85" t="str">
        <f xml:space="preserve"> '2.1 Model setup'!K70</f>
        <v>1.1 Drift og vedligeholdelse af transformerstationer</v>
      </c>
      <c r="K954" s="5" t="s">
        <v>216</v>
      </c>
      <c r="L954" s="123" cm="1">
        <f t="array" ref="L954" xml:space="preserve"> -- ( SUMPRODUCT( -- ( ROUND( R954:V954, 10 ) &lt;&gt; ROUND( (R854:V854 + R874:V874 + R894:V894 + R914:V914 + R934:V934 ), 10 ) ) ) &gt; 0 )</f>
        <v>0</v>
      </c>
      <c r="O954" s="274"/>
      <c r="P954" s="274"/>
      <c r="Q954" s="274"/>
      <c r="R954" s="150">
        <f t="shared" ref="R954:V963" si="134" xml:space="preserve"> IF(  ( $N805 * R$849 + $N825 * R$850 ) = 0, 0, R723 / ( $N805 * R$849 + $N825 * R$850 ) * tDKKtiløre )</f>
        <v>0</v>
      </c>
      <c r="S954" s="150">
        <f t="shared" si="134"/>
        <v>0</v>
      </c>
      <c r="T954" s="150">
        <f t="shared" si="134"/>
        <v>0</v>
      </c>
      <c r="U954" s="150">
        <f t="shared" si="134"/>
        <v>0</v>
      </c>
      <c r="V954" s="150">
        <f t="shared" si="134"/>
        <v>0</v>
      </c>
      <c r="W954" s="15"/>
    </row>
    <row r="955" spans="4:23" ht="15" customHeight="1">
      <c r="D955" s="85" t="str">
        <f xml:space="preserve"> '2.1 Model setup'!K71</f>
        <v>1.2 Drift og vedligeholdelse af ledningsnet</v>
      </c>
      <c r="K955" s="5" t="s">
        <v>216</v>
      </c>
      <c r="L955" s="85" cm="1">
        <f t="array" ref="L955" xml:space="preserve"> -- ( SUMPRODUCT( -- ( ROUND( R955:V955, 10 ) &lt;&gt; ROUND( (R855:V855 + R875:V875 + R895:V895 + R915:V915 + R935:V935 ), 10 ) ) ) &gt; 0 )</f>
        <v>0</v>
      </c>
      <c r="O955" s="202"/>
      <c r="P955" s="202"/>
      <c r="Q955" s="202"/>
      <c r="R955" s="121">
        <f t="shared" si="134"/>
        <v>0</v>
      </c>
      <c r="S955" s="121">
        <f t="shared" si="134"/>
        <v>0</v>
      </c>
      <c r="T955" s="121">
        <f t="shared" si="134"/>
        <v>0</v>
      </c>
      <c r="U955" s="121">
        <f t="shared" si="134"/>
        <v>0</v>
      </c>
      <c r="V955" s="121">
        <f t="shared" si="134"/>
        <v>0</v>
      </c>
    </row>
    <row r="956" spans="4:23" ht="15" customHeight="1">
      <c r="D956" s="85" t="str">
        <f xml:space="preserve"> '2.1 Model setup'!K72</f>
        <v>1.3 Øvrige omkostninger til drift, styring og kontrol af elnettet</v>
      </c>
      <c r="K956" s="5" t="s">
        <v>216</v>
      </c>
      <c r="L956" s="85" cm="1">
        <f t="array" ref="L956" xml:space="preserve"> -- ( SUMPRODUCT( -- ( ROUND( R956:V956, 10 ) &lt;&gt; ROUND( (R856:V856 + R876:V876 + R896:V896 + R916:V916 + R936:V936 ), 10 ) ) ) &gt; 0 )</f>
        <v>0</v>
      </c>
      <c r="O956" s="202"/>
      <c r="P956" s="202"/>
      <c r="Q956" s="202"/>
      <c r="R956" s="121">
        <f t="shared" si="134"/>
        <v>0</v>
      </c>
      <c r="S956" s="121">
        <f t="shared" si="134"/>
        <v>0</v>
      </c>
      <c r="T956" s="121">
        <f t="shared" si="134"/>
        <v>0</v>
      </c>
      <c r="U956" s="121">
        <f t="shared" si="134"/>
        <v>0</v>
      </c>
      <c r="V956" s="121">
        <f t="shared" si="134"/>
        <v>0</v>
      </c>
    </row>
    <row r="957" spans="4:23" ht="15" customHeight="1">
      <c r="D957" s="85" t="str">
        <f xml:space="preserve"> '2.1 Model setup'!K73</f>
        <v>1.4 Omkostninger vedrørende 132-150/30-60 kV-stationer</v>
      </c>
      <c r="K957" s="5" t="s">
        <v>216</v>
      </c>
      <c r="L957" s="85" cm="1">
        <f t="array" ref="L957" xml:space="preserve"> -- ( SUMPRODUCT( -- ( ROUND( R957:V957, 10 ) &lt;&gt; ROUND( (R857:V857 + R877:V877 + R897:V897 + R917:V917 + R937:V937 ), 10 ) ) ) &gt; 0 )</f>
        <v>0</v>
      </c>
      <c r="O957" s="202"/>
      <c r="P957" s="202"/>
      <c r="Q957" s="202"/>
      <c r="R957" s="121">
        <f t="shared" si="134"/>
        <v>0</v>
      </c>
      <c r="S957" s="121">
        <f t="shared" si="134"/>
        <v>0</v>
      </c>
      <c r="T957" s="121">
        <f t="shared" si="134"/>
        <v>0</v>
      </c>
      <c r="U957" s="121">
        <f t="shared" si="134"/>
        <v>0</v>
      </c>
      <c r="V957" s="121">
        <f t="shared" si="134"/>
        <v>0</v>
      </c>
    </row>
    <row r="958" spans="4:23" ht="15" customHeight="1">
      <c r="D958" s="85" t="str">
        <f xml:space="preserve"> '2.1 Model setup'!K74</f>
        <v>2.1 Drift og vedligeholdelse af målere</v>
      </c>
      <c r="K958" s="5" t="s">
        <v>216</v>
      </c>
      <c r="L958" s="85" cm="1">
        <f t="array" ref="L958" xml:space="preserve"> -- ( SUMPRODUCT( -- ( ROUND( R958:V958, 10 ) &lt;&gt; ROUND( (R858:V858 + R878:V878 + R898:V898 + R918:V918 + R938:V938 ), 10 ) ) ) &gt; 0 )</f>
        <v>0</v>
      </c>
      <c r="O958" s="202"/>
      <c r="P958" s="202"/>
      <c r="Q958" s="202"/>
      <c r="R958" s="121">
        <f t="shared" si="134"/>
        <v>0</v>
      </c>
      <c r="S958" s="121">
        <f t="shared" si="134"/>
        <v>0</v>
      </c>
      <c r="T958" s="121">
        <f t="shared" si="134"/>
        <v>0</v>
      </c>
      <c r="U958" s="121">
        <f t="shared" si="134"/>
        <v>0</v>
      </c>
      <c r="V958" s="121">
        <f t="shared" si="134"/>
        <v>0</v>
      </c>
    </row>
    <row r="959" spans="4:23" ht="15" customHeight="1">
      <c r="D959" s="85" t="str">
        <f xml:space="preserve"> '2.1 Model setup'!K75</f>
        <v>2.2 Indhentning og validering af målerdata</v>
      </c>
      <c r="K959" s="5" t="s">
        <v>216</v>
      </c>
      <c r="L959" s="85" cm="1">
        <f t="array" ref="L959" xml:space="preserve"> -- ( SUMPRODUCT( -- ( ROUND( R959:V959, 10 ) &lt;&gt; ROUND( (R859:V859 + R879:V879 + R899:V899 + R919:V919 + R939:V939 ), 10 ) ) ) &gt; 0 )</f>
        <v>0</v>
      </c>
      <c r="O959" s="202"/>
      <c r="P959" s="202"/>
      <c r="Q959" s="202"/>
      <c r="R959" s="121">
        <f t="shared" si="134"/>
        <v>0</v>
      </c>
      <c r="S959" s="121">
        <f t="shared" si="134"/>
        <v>0</v>
      </c>
      <c r="T959" s="121">
        <f t="shared" si="134"/>
        <v>0</v>
      </c>
      <c r="U959" s="121">
        <f t="shared" si="134"/>
        <v>0</v>
      </c>
      <c r="V959" s="121">
        <f t="shared" si="134"/>
        <v>0</v>
      </c>
    </row>
    <row r="960" spans="4:23" ht="15" customHeight="1">
      <c r="D960" s="85" t="str">
        <f xml:space="preserve"> '2.1 Model setup'!K76</f>
        <v>2.3 Måleradministration og kundehåndtering</v>
      </c>
      <c r="K960" s="5" t="s">
        <v>216</v>
      </c>
      <c r="L960" s="85" cm="1">
        <f t="array" ref="L960" xml:space="preserve"> -- ( SUMPRODUCT( -- ( ROUND( R960:V960, 10 ) &lt;&gt; ROUND( (R860:V860 + R880:V880 + R900:V900 + R920:V920 + R940:V940 ), 10 ) ) ) &gt; 0 )</f>
        <v>0</v>
      </c>
      <c r="O960" s="202"/>
      <c r="P960" s="202"/>
      <c r="Q960" s="202"/>
      <c r="R960" s="121">
        <f t="shared" si="134"/>
        <v>0</v>
      </c>
      <c r="S960" s="121">
        <f t="shared" si="134"/>
        <v>0</v>
      </c>
      <c r="T960" s="121">
        <f t="shared" si="134"/>
        <v>0</v>
      </c>
      <c r="U960" s="121">
        <f t="shared" si="134"/>
        <v>0</v>
      </c>
      <c r="V960" s="121">
        <f t="shared" si="134"/>
        <v>0</v>
      </c>
    </row>
    <row r="961" spans="2:23" ht="15" customHeight="1">
      <c r="D961" s="85" t="str">
        <f xml:space="preserve"> '2.1 Model setup'!K77</f>
        <v>3.1 Generel administration</v>
      </c>
      <c r="K961" s="5" t="s">
        <v>216</v>
      </c>
      <c r="L961" s="85" cm="1">
        <f t="array" ref="L961" xml:space="preserve"> -- ( SUMPRODUCT( -- ( ROUND( R961:V961, 10 ) &lt;&gt; ROUND( (R861:V861 + R881:V881 + R901:V901 + R921:V921 + R941:V941 ), 10 ) ) ) &gt; 0 )</f>
        <v>0</v>
      </c>
      <c r="O961" s="202"/>
      <c r="P961" s="202"/>
      <c r="Q961" s="202"/>
      <c r="R961" s="121">
        <f t="shared" si="134"/>
        <v>0</v>
      </c>
      <c r="S961" s="121">
        <f t="shared" si="134"/>
        <v>0</v>
      </c>
      <c r="T961" s="121">
        <f t="shared" si="134"/>
        <v>0</v>
      </c>
      <c r="U961" s="121">
        <f t="shared" si="134"/>
        <v>0</v>
      </c>
      <c r="V961" s="121">
        <f t="shared" si="134"/>
        <v>0</v>
      </c>
    </row>
    <row r="962" spans="2:23" ht="15" customHeight="1">
      <c r="D962" s="85" t="str">
        <f xml:space="preserve"> '2.1 Model setup'!K78</f>
        <v>4.1 Omkostninger vedrørende nettab i transformerstationer</v>
      </c>
      <c r="K962" s="5" t="s">
        <v>216</v>
      </c>
      <c r="L962" s="85" cm="1">
        <f t="array" ref="L962" xml:space="preserve"> -- ( SUMPRODUCT( -- ( ROUND( R962:V962, 10 ) &lt;&gt; ROUND( (R862:V862 + R882:V882 + R902:V902 + R922:V922 + R942:V942 ), 10 ) ) ) &gt; 0 )</f>
        <v>0</v>
      </c>
      <c r="O962" s="202"/>
      <c r="P962" s="202"/>
      <c r="Q962" s="202"/>
      <c r="R962" s="121">
        <f t="shared" si="134"/>
        <v>0</v>
      </c>
      <c r="S962" s="121">
        <f t="shared" si="134"/>
        <v>0</v>
      </c>
      <c r="T962" s="121">
        <f t="shared" si="134"/>
        <v>0</v>
      </c>
      <c r="U962" s="121">
        <f t="shared" si="134"/>
        <v>0</v>
      </c>
      <c r="V962" s="121">
        <f t="shared" si="134"/>
        <v>0</v>
      </c>
    </row>
    <row r="963" spans="2:23" ht="15" customHeight="1">
      <c r="D963" s="85" t="str">
        <f xml:space="preserve"> '2.1 Model setup'!K79</f>
        <v>4.2 Omkostninger vedrørende nettab i ledningsnettet</v>
      </c>
      <c r="K963" s="5" t="s">
        <v>216</v>
      </c>
      <c r="L963" s="85" cm="1">
        <f t="array" ref="L963" xml:space="preserve"> -- ( SUMPRODUCT( -- ( ROUND( R963:V963, 10 ) &lt;&gt; ROUND( (R863:V863 + R883:V883 + R903:V903 + R923:V923 + R943:V943 ), 10 ) ) ) &gt; 0 )</f>
        <v>0</v>
      </c>
      <c r="O963" s="202"/>
      <c r="P963" s="202"/>
      <c r="Q963" s="202"/>
      <c r="R963" s="121">
        <f t="shared" si="134"/>
        <v>0</v>
      </c>
      <c r="S963" s="121">
        <f t="shared" si="134"/>
        <v>0</v>
      </c>
      <c r="T963" s="121">
        <f t="shared" si="134"/>
        <v>0</v>
      </c>
      <c r="U963" s="121">
        <f t="shared" si="134"/>
        <v>0</v>
      </c>
      <c r="V963" s="121">
        <f xml:space="preserve"> IF(  ( $N814 * V$849 + $N834 * V$850 ) = 0, 0, V732 / ( $N814 * V$849 + $N834 * V$850 ) * tDKKtiløre )</f>
        <v>0</v>
      </c>
    </row>
    <row r="964" spans="2:23" ht="15" customHeight="1">
      <c r="D964" s="85" t="str">
        <f xml:space="preserve"> '2.1 Model setup'!K80</f>
        <v>5.1 Omkostninger til overliggende net ifm. forbrug</v>
      </c>
      <c r="K964" s="5" t="s">
        <v>216</v>
      </c>
      <c r="L964" s="85" cm="1">
        <f t="array" ref="L964" xml:space="preserve"> -- ( SUMPRODUCT( -- ( ROUND( R964:V964, 10 ) &lt;&gt; ROUND( (R864:V864 + R884:V884 + R904:V904 + R924:V924 + R944:V944 ), 10 ) ) ) &gt; 0 )</f>
        <v>0</v>
      </c>
      <c r="O964" s="202"/>
      <c r="P964" s="202"/>
      <c r="Q964" s="202"/>
      <c r="R964" s="121">
        <f t="shared" ref="R964:V971" si="135" xml:space="preserve"> IF(  ( $N815 * R$849 + $N835 * R$850 ) = 0, 0, R733 / ( $N815 * R$849 + $N835 * R$850 ) * tDKKtiløre )</f>
        <v>0</v>
      </c>
      <c r="S964" s="121">
        <f t="shared" si="135"/>
        <v>0</v>
      </c>
      <c r="T964" s="121">
        <f t="shared" si="135"/>
        <v>0</v>
      </c>
      <c r="U964" s="121">
        <f t="shared" si="135"/>
        <v>0</v>
      </c>
      <c r="V964" s="121">
        <f t="shared" si="135"/>
        <v>0</v>
      </c>
    </row>
    <row r="965" spans="2:23" ht="15" customHeight="1">
      <c r="D965" s="85" t="str">
        <f xml:space="preserve"> '2.1 Model setup'!K81</f>
        <v>5.2 Øvrige omkostninger</v>
      </c>
      <c r="K965" s="5" t="s">
        <v>216</v>
      </c>
      <c r="L965" s="85" cm="1">
        <f t="array" ref="L965" xml:space="preserve"> -- ( SUMPRODUCT( -- ( ROUND( R965:V965, 10 ) &lt;&gt; ROUND( (R865:V865 + R885:V885 + R905:V905 + R925:V925 + R945:V945 ), 10 ) ) ) &gt; 0 )</f>
        <v>0</v>
      </c>
      <c r="O965" s="202"/>
      <c r="P965" s="202"/>
      <c r="Q965" s="202"/>
      <c r="R965" s="121">
        <f t="shared" si="135"/>
        <v>0</v>
      </c>
      <c r="S965" s="121">
        <f t="shared" si="135"/>
        <v>0</v>
      </c>
      <c r="T965" s="121">
        <f t="shared" si="135"/>
        <v>0</v>
      </c>
      <c r="U965" s="121">
        <f t="shared" si="135"/>
        <v>0</v>
      </c>
      <c r="V965" s="121">
        <f t="shared" si="135"/>
        <v>0</v>
      </c>
    </row>
    <row r="966" spans="2:23" ht="15" customHeight="1">
      <c r="D966" s="85" t="str">
        <f xml:space="preserve"> '2.1 Model setup'!K82</f>
        <v>6.1 Afskrivninger på transformerstationer</v>
      </c>
      <c r="K966" s="5" t="s">
        <v>216</v>
      </c>
      <c r="L966" s="85" cm="1">
        <f t="array" ref="L966" xml:space="preserve"> -- ( SUMPRODUCT( -- ( ROUND( R966:V966, 10 ) &lt;&gt; ROUND( (R866:V866 + R886:V886 + R906:V906 + R926:V926 + R946:V946 ), 10 ) ) ) &gt; 0 )</f>
        <v>0</v>
      </c>
      <c r="O966" s="202"/>
      <c r="P966" s="202"/>
      <c r="Q966" s="202"/>
      <c r="R966" s="121">
        <f t="shared" si="135"/>
        <v>0</v>
      </c>
      <c r="S966" s="121">
        <f t="shared" si="135"/>
        <v>0</v>
      </c>
      <c r="T966" s="121">
        <f t="shared" si="135"/>
        <v>0</v>
      </c>
      <c r="U966" s="121">
        <f t="shared" si="135"/>
        <v>0</v>
      </c>
      <c r="V966" s="121">
        <f t="shared" si="135"/>
        <v>0</v>
      </c>
    </row>
    <row r="967" spans="2:23" ht="15" customHeight="1">
      <c r="D967" s="85" t="str">
        <f xml:space="preserve"> '2.1 Model setup'!K83</f>
        <v>6.2 Afskrivninger på netaktiver ekskl. målere og transformerstationer</v>
      </c>
      <c r="K967" s="5" t="s">
        <v>216</v>
      </c>
      <c r="L967" s="85" cm="1">
        <f t="array" ref="L967" xml:space="preserve"> -- ( SUMPRODUCT( -- ( ROUND( R967:V967, 10 ) &lt;&gt; ROUND( (R867:V867 + R887:V887 + R907:V907 + R927:V927 + R947:V947 ), 10 ) ) ) &gt; 0 )</f>
        <v>0</v>
      </c>
      <c r="O967" s="202"/>
      <c r="P967" s="202"/>
      <c r="Q967" s="202"/>
      <c r="R967" s="121">
        <f t="shared" si="135"/>
        <v>0</v>
      </c>
      <c r="S967" s="121">
        <f t="shared" si="135"/>
        <v>0</v>
      </c>
      <c r="T967" s="121">
        <f t="shared" si="135"/>
        <v>0</v>
      </c>
      <c r="U967" s="121">
        <f t="shared" si="135"/>
        <v>0</v>
      </c>
      <c r="V967" s="121">
        <f t="shared" si="135"/>
        <v>0</v>
      </c>
    </row>
    <row r="968" spans="2:23" ht="15" customHeight="1">
      <c r="D968" s="85" t="str">
        <f xml:space="preserve"> '2.1 Model setup'!K84</f>
        <v>6.3 Afskrivninger på målere</v>
      </c>
      <c r="K968" s="5" t="s">
        <v>216</v>
      </c>
      <c r="L968" s="85" cm="1">
        <f t="array" ref="L968" xml:space="preserve"> -- ( SUMPRODUCT( -- ( ROUND( R968:V968, 10 ) &lt;&gt; ROUND( (R868:V868 + R888:V888 + R908:V908 + R928:V928 + R948:V948 ), 10 ) ) ) &gt; 0 )</f>
        <v>0</v>
      </c>
      <c r="O968" s="202"/>
      <c r="P968" s="202"/>
      <c r="Q968" s="202"/>
      <c r="R968" s="121">
        <f t="shared" si="135"/>
        <v>0</v>
      </c>
      <c r="S968" s="121">
        <f t="shared" si="135"/>
        <v>0</v>
      </c>
      <c r="T968" s="121">
        <f t="shared" si="135"/>
        <v>0</v>
      </c>
      <c r="U968" s="121">
        <f t="shared" si="135"/>
        <v>0</v>
      </c>
      <c r="V968" s="121">
        <f t="shared" si="135"/>
        <v>0</v>
      </c>
    </row>
    <row r="969" spans="2:23" ht="15" customHeight="1">
      <c r="D969" s="85" t="str">
        <f xml:space="preserve"> '2.1 Model setup'!K85</f>
        <v>7.1 Transformerstationer (forrentning)</v>
      </c>
      <c r="K969" s="5" t="s">
        <v>216</v>
      </c>
      <c r="L969" s="85" cm="1">
        <f t="array" ref="L969" xml:space="preserve"> -- ( SUMPRODUCT( -- ( ROUND( R969:V969, 10 ) &lt;&gt; ROUND( (R869:V869 + R889:V889 + R909:V909 + R929:V929 + R949:V949 ), 10 ) ) ) &gt; 0 )</f>
        <v>0</v>
      </c>
      <c r="O969" s="202"/>
      <c r="P969" s="202"/>
      <c r="Q969" s="202"/>
      <c r="R969" s="121">
        <f t="shared" si="135"/>
        <v>0</v>
      </c>
      <c r="S969" s="121">
        <f t="shared" si="135"/>
        <v>0</v>
      </c>
      <c r="T969" s="121">
        <f t="shared" si="135"/>
        <v>0</v>
      </c>
      <c r="U969" s="121">
        <f t="shared" si="135"/>
        <v>0</v>
      </c>
      <c r="V969" s="121">
        <f t="shared" si="135"/>
        <v>0</v>
      </c>
    </row>
    <row r="970" spans="2:23" ht="15" customHeight="1">
      <c r="D970" s="85" t="str">
        <f xml:space="preserve"> '2.1 Model setup'!K86</f>
        <v>7.2 Netaktiver ekskl. målere og transformerstationer (forrentning)</v>
      </c>
      <c r="K970" s="5" t="s">
        <v>216</v>
      </c>
      <c r="L970" s="85" cm="1">
        <f t="array" ref="L970" xml:space="preserve"> -- ( SUMPRODUCT( -- ( ROUND( R970:V970, 10 ) &lt;&gt; ROUND( (R870:V870 + R890:V890 + R910:V910 + R930:V930 + R950:V950 ), 10 ) ) ) &gt; 0 )</f>
        <v>0</v>
      </c>
      <c r="O970" s="202"/>
      <c r="P970" s="202"/>
      <c r="Q970" s="202"/>
      <c r="R970" s="121">
        <f t="shared" si="135"/>
        <v>0</v>
      </c>
      <c r="S970" s="121">
        <f t="shared" si="135"/>
        <v>0</v>
      </c>
      <c r="T970" s="121">
        <f t="shared" si="135"/>
        <v>0</v>
      </c>
      <c r="U970" s="121">
        <f t="shared" si="135"/>
        <v>0</v>
      </c>
      <c r="V970" s="121">
        <f t="shared" si="135"/>
        <v>0</v>
      </c>
    </row>
    <row r="971" spans="2:23" ht="15" customHeight="1">
      <c r="D971" s="99" t="str">
        <f xml:space="preserve"> '2.1 Model setup'!K87</f>
        <v>7.3 Målere (forrentning)</v>
      </c>
      <c r="E971" s="27"/>
      <c r="F971" s="27"/>
      <c r="G971" s="27"/>
      <c r="H971" s="27"/>
      <c r="I971" s="27"/>
      <c r="J971" s="27"/>
      <c r="K971" s="32" t="s">
        <v>216</v>
      </c>
      <c r="L971" s="99" cm="1">
        <f t="array" ref="L971" xml:space="preserve"> -- ( SUMPRODUCT( -- ( ROUND( R971:V971, 10 ) &lt;&gt; ROUND( (R871:V871 + R891:V891 + R911:V911 + R931:V931 + R951:V951 ), 10 ) ) ) &gt; 0 )</f>
        <v>0</v>
      </c>
      <c r="M971" s="27"/>
      <c r="N971" s="27"/>
      <c r="O971" s="269"/>
      <c r="P971" s="269"/>
      <c r="Q971" s="269"/>
      <c r="R971" s="131">
        <f t="shared" si="135"/>
        <v>0</v>
      </c>
      <c r="S971" s="131">
        <f t="shared" si="135"/>
        <v>0</v>
      </c>
      <c r="T971" s="131">
        <f t="shared" si="135"/>
        <v>0</v>
      </c>
      <c r="U971" s="131">
        <f t="shared" si="135"/>
        <v>0</v>
      </c>
      <c r="V971" s="131">
        <f t="shared" si="135"/>
        <v>0</v>
      </c>
      <c r="W971" s="27"/>
    </row>
    <row r="975" spans="2:23" s="475" customFormat="1" ht="15" customHeight="1">
      <c r="B975" s="479" t="str">
        <f xml:space="preserve"> COUNTA(B$10:B972) &amp; ") Tariffer"</f>
        <v>7) Tariffer</v>
      </c>
      <c r="C975" s="477"/>
      <c r="D975" s="478"/>
      <c r="K975" s="472"/>
    </row>
    <row r="976" spans="2:23" s="205" customFormat="1" ht="15" customHeight="1">
      <c r="C976" s="206"/>
      <c r="D976" s="207"/>
      <c r="K976" s="208"/>
    </row>
    <row r="977" spans="2:23" ht="15" customHeight="1">
      <c r="D977" s="35" t="s">
        <v>125</v>
      </c>
      <c r="E977" s="27"/>
      <c r="F977" s="27"/>
      <c r="G977" s="27"/>
      <c r="H977" s="27"/>
      <c r="I977" s="27"/>
      <c r="J977" s="27"/>
      <c r="K977" s="32"/>
      <c r="L977" s="27"/>
      <c r="M977" s="27"/>
      <c r="N977" s="27"/>
      <c r="O977" s="27"/>
      <c r="P977" s="27"/>
      <c r="Q977" s="27"/>
      <c r="R977" s="27"/>
      <c r="S977" s="27"/>
      <c r="T977" s="27"/>
      <c r="U977" s="27"/>
      <c r="V977" s="27"/>
      <c r="W977" s="27"/>
    </row>
    <row r="978" spans="2:23" ht="15" customHeight="1">
      <c r="D978" s="15" t="s">
        <v>126</v>
      </c>
      <c r="E978" s="15"/>
      <c r="F978" s="15"/>
      <c r="G978" s="15"/>
      <c r="H978" s="15"/>
      <c r="I978" s="15"/>
      <c r="J978" s="15"/>
      <c r="K978" s="19" t="s">
        <v>216</v>
      </c>
      <c r="L978" s="15"/>
      <c r="M978" s="15"/>
      <c r="N978" s="15"/>
      <c r="O978" s="274"/>
      <c r="P978" s="274"/>
      <c r="Q978" s="274"/>
      <c r="R978" s="150" cm="1">
        <f t="array" ref="R978" xml:space="preserve"> MMULT( TRANSPOSE( $N$805:$N$822 ), R$954:R$971 )</f>
        <v>0</v>
      </c>
      <c r="S978" s="150" cm="1">
        <f t="array" ref="S978" xml:space="preserve"> MMULT( TRANSPOSE( $N$805:$N$822 ), S$954:S$971 )</f>
        <v>0</v>
      </c>
      <c r="T978" s="150" cm="1">
        <f t="array" ref="T978" xml:space="preserve"> MMULT( TRANSPOSE( $N$805:$N$822 ), T$954:T$971 )</f>
        <v>0</v>
      </c>
      <c r="U978" s="150" cm="1">
        <f t="array" ref="U978" xml:space="preserve"> MMULT( TRANSPOSE( $N$805:$N$822 ), U$954:U$971 )</f>
        <v>0</v>
      </c>
      <c r="V978" s="150" cm="1">
        <f t="array" ref="V978" xml:space="preserve"> MMULT( TRANSPOSE( $N$805:$N$822 ), V$954:V$971 )</f>
        <v>0</v>
      </c>
      <c r="W978" s="15"/>
    </row>
    <row r="979" spans="2:23" ht="15" customHeight="1">
      <c r="D979" s="27" t="s">
        <v>120</v>
      </c>
      <c r="E979" s="27"/>
      <c r="F979" s="27"/>
      <c r="G979" s="27"/>
      <c r="H979" s="27"/>
      <c r="I979" s="27"/>
      <c r="J979" s="27"/>
      <c r="K979" s="32" t="s">
        <v>216</v>
      </c>
      <c r="L979" s="27"/>
      <c r="M979" s="27"/>
      <c r="N979" s="27"/>
      <c r="O979" s="269"/>
      <c r="P979" s="269"/>
      <c r="Q979" s="269"/>
      <c r="R979" s="131" cm="1">
        <f t="array" ref="R979" xml:space="preserve"> MMULT( TRANSPOSE( $N$825:$N$842 ), R$954:R$971 )</f>
        <v>0</v>
      </c>
      <c r="S979" s="131" cm="1">
        <f t="array" ref="S979" xml:space="preserve"> MMULT( TRANSPOSE( $N$825:$N$842 ), S$954:S$971 )</f>
        <v>0</v>
      </c>
      <c r="T979" s="131" cm="1">
        <f t="array" ref="T979" xml:space="preserve"> MMULT( TRANSPOSE( $N$825:$N$842 ), T$954:T$971 )</f>
        <v>0</v>
      </c>
      <c r="U979" s="131" cm="1">
        <f t="array" ref="U979" xml:space="preserve"> MMULT( TRANSPOSE( $N$825:$N$842 ), U$954:U$971 )</f>
        <v>0</v>
      </c>
      <c r="V979" s="131" cm="1">
        <f t="array" ref="V979" xml:space="preserve"> MMULT( TRANSPOSE( $N$825:$N$842 ), V$954:V$971 )</f>
        <v>0</v>
      </c>
      <c r="W979" s="27"/>
    </row>
    <row r="981" spans="2:23" ht="15" customHeight="1">
      <c r="D981" s="4" t="s">
        <v>301</v>
      </c>
      <c r="W981" s="89" t="s">
        <v>16</v>
      </c>
    </row>
    <row r="982" spans="2:23" ht="15" customHeight="1">
      <c r="D982" s="15" t="s">
        <v>126</v>
      </c>
      <c r="E982" s="15"/>
      <c r="F982" s="15"/>
      <c r="G982" s="15"/>
      <c r="H982" s="15"/>
      <c r="I982" s="15"/>
      <c r="J982" s="15"/>
      <c r="K982" s="19" t="str">
        <f xml:space="preserve"> Model.Units</f>
        <v>DKKt</v>
      </c>
      <c r="L982" s="15"/>
      <c r="M982" s="15"/>
      <c r="N982" s="15"/>
      <c r="O982" s="274"/>
      <c r="P982" s="274"/>
      <c r="Q982" s="274"/>
      <c r="R982" s="15">
        <f t="shared" ref="R982:U983" si="136" xml:space="preserve"> R978 * R849 / tDKKtiløre</f>
        <v>0</v>
      </c>
      <c r="S982" s="15">
        <f t="shared" si="136"/>
        <v>0</v>
      </c>
      <c r="T982" s="15">
        <f t="shared" si="136"/>
        <v>0</v>
      </c>
      <c r="U982" s="15">
        <f t="shared" si="136"/>
        <v>0</v>
      </c>
      <c r="V982" s="15">
        <f xml:space="preserve"> V978 * V849 / tDKKtiløre</f>
        <v>0</v>
      </c>
      <c r="W982" s="18">
        <f xml:space="preserve"> SUM( R982:V982 )</f>
        <v>0</v>
      </c>
    </row>
    <row r="983" spans="2:23" ht="15" customHeight="1">
      <c r="D983" s="27" t="s">
        <v>120</v>
      </c>
      <c r="E983" s="27"/>
      <c r="F983" s="27"/>
      <c r="G983" s="27"/>
      <c r="H983" s="27"/>
      <c r="I983" s="27"/>
      <c r="J983" s="27"/>
      <c r="K983" s="32" t="str">
        <f xml:space="preserve"> Model.Units</f>
        <v>DKKt</v>
      </c>
      <c r="L983" s="27"/>
      <c r="M983" s="27"/>
      <c r="N983" s="27"/>
      <c r="O983" s="269"/>
      <c r="P983" s="269"/>
      <c r="Q983" s="269"/>
      <c r="R983" s="27">
        <f t="shared" si="136"/>
        <v>0</v>
      </c>
      <c r="S983" s="27">
        <f t="shared" si="136"/>
        <v>0</v>
      </c>
      <c r="T983" s="27">
        <f t="shared" si="136"/>
        <v>0</v>
      </c>
      <c r="U983" s="27">
        <f t="shared" si="136"/>
        <v>0</v>
      </c>
      <c r="V983" s="27">
        <f xml:space="preserve"> V979 * V850 / tDKKtiløre</f>
        <v>0</v>
      </c>
      <c r="W983" s="35">
        <f xml:space="preserve"> SUM( R983:V983 )</f>
        <v>0</v>
      </c>
    </row>
    <row r="984" spans="2:23" ht="15" customHeight="1">
      <c r="D984" s="186" t="s">
        <v>16</v>
      </c>
      <c r="E984" s="33"/>
      <c r="F984" s="33"/>
      <c r="G984" s="33"/>
      <c r="H984" s="33"/>
      <c r="I984" s="33"/>
      <c r="J984" s="33"/>
      <c r="K984" s="187" t="str">
        <f xml:space="preserve"> Model.Units</f>
        <v>DKKt</v>
      </c>
      <c r="L984" s="90" cm="1">
        <f t="array" ref="L984" xml:space="preserve"> -- ( SUMPRODUCT(-- ( ROUND(R984:W984, 5 ) &lt;&gt; ROUND( R765:W765, 5 ) ) ) &gt; 0 )</f>
        <v>0</v>
      </c>
      <c r="M984" s="186"/>
      <c r="N984" s="186"/>
      <c r="O984" s="388"/>
      <c r="P984" s="388"/>
      <c r="Q984" s="388"/>
      <c r="R984" s="186">
        <f t="shared" ref="R984:W984" si="137" xml:space="preserve"> SUM( R982:R983 )</f>
        <v>0</v>
      </c>
      <c r="S984" s="186">
        <f t="shared" si="137"/>
        <v>0</v>
      </c>
      <c r="T984" s="186">
        <f t="shared" si="137"/>
        <v>0</v>
      </c>
      <c r="U984" s="186">
        <f t="shared" si="137"/>
        <v>0</v>
      </c>
      <c r="V984" s="186">
        <f t="shared" si="137"/>
        <v>0</v>
      </c>
      <c r="W984" s="186">
        <f t="shared" si="137"/>
        <v>0</v>
      </c>
    </row>
    <row r="988" spans="2:23" s="475" customFormat="1" ht="15" customHeight="1">
      <c r="B988" s="479" t="s">
        <v>104</v>
      </c>
      <c r="C988" s="477"/>
      <c r="D988" s="478"/>
      <c r="K988" s="472"/>
    </row>
  </sheetData>
  <sheetProtection sheet="1" objects="1" scenarios="1"/>
  <phoneticPr fontId="58" type="noConversion"/>
  <conditionalFormatting sqref="I4:I5">
    <cfRule type="cellIs" dxfId="381" priority="79" operator="between">
      <formula>-ErrorTolerance</formula>
      <formula>ErrorTolerance</formula>
    </cfRule>
  </conditionalFormatting>
  <conditionalFormatting sqref="J2:Q3 B2:E3">
    <cfRule type="expression" dxfId="380" priority="80">
      <formula>$I$4&lt;ErrorTolerance</formula>
    </cfRule>
  </conditionalFormatting>
  <conditionalFormatting sqref="B3">
    <cfRule type="expression" dxfId="379" priority="138">
      <formula>$I$5&gt;=ErrorTolerance</formula>
    </cfRule>
  </conditionalFormatting>
  <conditionalFormatting sqref="L51 L159:L165 L99:L105 L210:L216 L230:L236 L250:L256 L270:L276 L290:L296 L310:L316 L330:L336 L350:L356 L370:L376 L391:L397 L412:L418 L433:L439 L650:L657 L965:L971 L88:L97 L148:L157 L199:L208 L219:L228 L239:L248 L259:L268 L279:L288 L299:L308 L319:L328 L339:L348 L359:L368 L380:L389 L401:L410 L422:L431 L639:L648 L954:L963">
    <cfRule type="cellIs" dxfId="378" priority="69" operator="greaterThan">
      <formula>0</formula>
    </cfRule>
  </conditionalFormatting>
  <conditionalFormatting sqref="L508">
    <cfRule type="cellIs" dxfId="377" priority="62" operator="greaterThan">
      <formula>0</formula>
    </cfRule>
  </conditionalFormatting>
  <conditionalFormatting sqref="L767">
    <cfRule type="cellIs" dxfId="376" priority="61" operator="greaterThan">
      <formula>0</formula>
    </cfRule>
  </conditionalFormatting>
  <conditionalFormatting sqref="L798">
    <cfRule type="cellIs" dxfId="375" priority="60" operator="greaterThan">
      <formula>0</formula>
    </cfRule>
  </conditionalFormatting>
  <conditionalFormatting sqref="L984">
    <cfRule type="cellIs" dxfId="374" priority="59" operator="greaterThan">
      <formula>0</formula>
    </cfRule>
  </conditionalFormatting>
  <conditionalFormatting sqref="I6">
    <cfRule type="cellIs" dxfId="373" priority="58" operator="between">
      <formula>-ErrorTolerance</formula>
      <formula>ErrorTolerance</formula>
    </cfRule>
  </conditionalFormatting>
  <conditionalFormatting sqref="I7">
    <cfRule type="cellIs" dxfId="372" priority="57" operator="between">
      <formula>-ErrorTolerance</formula>
      <formula>ErrorTolerance</formula>
    </cfRule>
  </conditionalFormatting>
  <conditionalFormatting sqref="L30">
    <cfRule type="cellIs" dxfId="371" priority="52" operator="greaterThan">
      <formula>0</formula>
    </cfRule>
  </conditionalFormatting>
  <conditionalFormatting sqref="M159:M165 M148:M157">
    <cfRule type="cellIs" dxfId="370" priority="51" operator="greaterThan">
      <formula>0</formula>
    </cfRule>
  </conditionalFormatting>
  <conditionalFormatting sqref="M166">
    <cfRule type="cellIs" dxfId="369" priority="50" operator="greaterThan">
      <formula>0</formula>
    </cfRule>
  </conditionalFormatting>
  <conditionalFormatting sqref="L166">
    <cfRule type="cellIs" dxfId="368" priority="48" operator="greaterThan">
      <formula>0</formula>
    </cfRule>
  </conditionalFormatting>
  <conditionalFormatting sqref="H2">
    <cfRule type="expression" dxfId="367" priority="45">
      <formula>Model.Navigation.View=No</formula>
    </cfRule>
  </conditionalFormatting>
  <conditionalFormatting sqref="H2">
    <cfRule type="expression" dxfId="366" priority="44">
      <formula>Model.Navigation.View=No</formula>
    </cfRule>
  </conditionalFormatting>
  <conditionalFormatting sqref="F2">
    <cfRule type="expression" dxfId="365" priority="43">
      <formula>Model.Navigation.View=No</formula>
    </cfRule>
  </conditionalFormatting>
  <conditionalFormatting sqref="F2">
    <cfRule type="expression" dxfId="364" priority="42">
      <formula>Model.Navigation.View=No</formula>
    </cfRule>
  </conditionalFormatting>
  <conditionalFormatting sqref="I2">
    <cfRule type="expression" dxfId="363" priority="41">
      <formula>Model.Navigation.View=No</formula>
    </cfRule>
  </conditionalFormatting>
  <conditionalFormatting sqref="I2">
    <cfRule type="expression" dxfId="362" priority="40">
      <formula>Model.Navigation.View=No</formula>
    </cfRule>
  </conditionalFormatting>
  <conditionalFormatting sqref="L141:L144 L130:L139">
    <cfRule type="cellIs" dxfId="361" priority="39" operator="greaterThan">
      <formula>0</formula>
    </cfRule>
  </conditionalFormatting>
  <conditionalFormatting sqref="L140">
    <cfRule type="cellIs" dxfId="360" priority="22" operator="greaterThan">
      <formula>0</formula>
    </cfRule>
  </conditionalFormatting>
  <conditionalFormatting sqref="L158">
    <cfRule type="cellIs" dxfId="359" priority="21" operator="greaterThan">
      <formula>0</formula>
    </cfRule>
  </conditionalFormatting>
  <conditionalFormatting sqref="M158">
    <cfRule type="cellIs" dxfId="358" priority="20" operator="greaterThan">
      <formula>0</formula>
    </cfRule>
  </conditionalFormatting>
  <conditionalFormatting sqref="L98">
    <cfRule type="cellIs" dxfId="357" priority="19" operator="greaterThan">
      <formula>0</formula>
    </cfRule>
  </conditionalFormatting>
  <conditionalFormatting sqref="L209">
    <cfRule type="cellIs" dxfId="356" priority="18" operator="greaterThan">
      <formula>0</formula>
    </cfRule>
  </conditionalFormatting>
  <conditionalFormatting sqref="L229">
    <cfRule type="cellIs" dxfId="355" priority="17" operator="greaterThan">
      <formula>0</formula>
    </cfRule>
  </conditionalFormatting>
  <conditionalFormatting sqref="L249">
    <cfRule type="cellIs" dxfId="354" priority="16" operator="greaterThan">
      <formula>0</formula>
    </cfRule>
  </conditionalFormatting>
  <conditionalFormatting sqref="L269">
    <cfRule type="cellIs" dxfId="353" priority="15" operator="greaterThan">
      <formula>0</formula>
    </cfRule>
  </conditionalFormatting>
  <conditionalFormatting sqref="L289">
    <cfRule type="cellIs" dxfId="352" priority="14" operator="greaterThan">
      <formula>0</formula>
    </cfRule>
  </conditionalFormatting>
  <conditionalFormatting sqref="L309">
    <cfRule type="cellIs" dxfId="351" priority="13" operator="greaterThan">
      <formula>0</formula>
    </cfRule>
  </conditionalFormatting>
  <conditionalFormatting sqref="L329">
    <cfRule type="cellIs" dxfId="350" priority="12" operator="greaterThan">
      <formula>0</formula>
    </cfRule>
  </conditionalFormatting>
  <conditionalFormatting sqref="L349">
    <cfRule type="cellIs" dxfId="349" priority="11" operator="greaterThan">
      <formula>0</formula>
    </cfRule>
  </conditionalFormatting>
  <conditionalFormatting sqref="L369">
    <cfRule type="cellIs" dxfId="348" priority="10" operator="greaterThan">
      <formula>0</formula>
    </cfRule>
  </conditionalFormatting>
  <conditionalFormatting sqref="L390">
    <cfRule type="cellIs" dxfId="347" priority="9" operator="greaterThan">
      <formula>0</formula>
    </cfRule>
  </conditionalFormatting>
  <conditionalFormatting sqref="L411">
    <cfRule type="cellIs" dxfId="346" priority="8" operator="greaterThan">
      <formula>0</formula>
    </cfRule>
  </conditionalFormatting>
  <conditionalFormatting sqref="L432">
    <cfRule type="cellIs" dxfId="345" priority="7" operator="greaterThan">
      <formula>0</formula>
    </cfRule>
  </conditionalFormatting>
  <conditionalFormatting sqref="L649">
    <cfRule type="cellIs" dxfId="344" priority="6" operator="greaterThan">
      <formula>0</formula>
    </cfRule>
  </conditionalFormatting>
  <conditionalFormatting sqref="L964">
    <cfRule type="cellIs" dxfId="343" priority="5" operator="greaterThan">
      <formula>0</formula>
    </cfRule>
  </conditionalFormatting>
  <conditionalFormatting sqref="G2">
    <cfRule type="expression" dxfId="342" priority="4">
      <formula>Model.Navigation.View=No</formula>
    </cfRule>
  </conditionalFormatting>
  <conditionalFormatting sqref="G2">
    <cfRule type="expression" dxfId="341" priority="3">
      <formula>Model.Navigation.View=No</formula>
    </cfRule>
  </conditionalFormatting>
  <conditionalFormatting sqref="L124:L127 L113:L122">
    <cfRule type="cellIs" dxfId="340" priority="2" operator="greaterThan">
      <formula>0</formula>
    </cfRule>
  </conditionalFormatting>
  <conditionalFormatting sqref="L123">
    <cfRule type="cellIs" dxfId="339" priority="1" operator="greaterThan">
      <formula>0</formula>
    </cfRule>
  </conditionalFormatting>
  <hyperlinks>
    <hyperlink ref="G2" location="'3.3 Tarif og effekt'!B11" tooltip="Gå til toppen af arket" display="'3.3 Tarif og effekt'!B11" xr:uid="{B99E51E4-87E3-4C02-BB42-2745942997A5}"/>
    <hyperlink ref="H2" location="'2.3 Selskabsspecifikke input'!B2" tooltip="Gå til selskabsspecifikke input" display="'2.3 Selskabsspecifikke input'!B2" xr:uid="{8C74F4F4-3C32-48AE-A32A-58F9A9DD701F}"/>
    <hyperlink ref="F2" location="Modeloverblik!B2" tooltip="Gå til modelbeskrivelse" display="Modeloverblik!B2" xr:uid="{D9406FE5-FE14-4B13-BAAA-5650C2CC09DD}"/>
    <hyperlink ref="I2" location="'4.1 Fejl- og kontroloversigt'!B2" tooltip="Gå til fejl- og kontrolchecks" display="'4.1 Fejl- og kontroloversigt'!B2" xr:uid="{654BC236-FA9E-4091-B558-8AA6C8D7BA48}"/>
  </hyperlinks>
  <pageMargins left="0.70866141732283472" right="0.70866141732283472" top="0.74803149606299213" bottom="0.74803149606299213" header="0.31496062992125984" footer="0.31496062992125984"/>
  <pageSetup paperSize="9" scale="56"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549F0-6BD4-44A4-9F0D-5BA8A3EF9ADB}">
  <sheetPr codeName="Sheet15">
    <tabColor rgb="FF222221"/>
    <outlinePr summaryBelow="0"/>
    <pageSetUpPr fitToPage="1"/>
  </sheetPr>
  <dimension ref="A1:AY104"/>
  <sheetViews>
    <sheetView showGridLines="0" zoomScale="85" zoomScaleNormal="85" workbookViewId="0">
      <pane ySplit="10" topLeftCell="A11" activePane="bottomLeft" state="frozen"/>
      <selection activeCell="G5" sqref="G5"/>
      <selection pane="bottomLeft" activeCell="C17" sqref="C17"/>
    </sheetView>
  </sheetViews>
  <sheetFormatPr defaultColWidth="0" defaultRowHeight="15" customHeight="1" outlineLevelCol="1"/>
  <cols>
    <col min="1" max="1" width="1.33203125" style="1" customWidth="1"/>
    <col min="2" max="2" width="4.1640625" style="1" customWidth="1"/>
    <col min="3" max="3" width="4.1640625" style="2" customWidth="1"/>
    <col min="4" max="4" width="4.1640625" style="4" customWidth="1"/>
    <col min="5" max="5" width="24.1640625" style="1" customWidth="1"/>
    <col min="6" max="9" width="5.6640625" style="1" customWidth="1"/>
    <col min="10" max="11" width="10.6640625" style="1" customWidth="1"/>
    <col min="12" max="16" width="5.6640625" style="1" customWidth="1"/>
    <col min="17" max="17" width="17" style="1" customWidth="1"/>
    <col min="18" max="18" width="7.5" style="1" customWidth="1"/>
    <col min="19" max="19" width="17" style="1" customWidth="1"/>
    <col min="20" max="20" width="9.33203125" style="1" customWidth="1"/>
    <col min="21" max="25" width="17" style="1" customWidth="1"/>
    <col min="26" max="26" width="9.33203125" style="1" customWidth="1"/>
    <col min="27" max="27" width="17" style="1" customWidth="1"/>
    <col min="28" max="30" width="25" style="5" customWidth="1"/>
    <col min="31" max="31" width="2.6640625" style="5" customWidth="1"/>
    <col min="32" max="32" width="2.6640625" style="5" hidden="1" customWidth="1" outlineLevel="1"/>
    <col min="33" max="35" width="49.33203125" style="5" hidden="1" customWidth="1" outlineLevel="1"/>
    <col min="36" max="37" width="9" style="1" hidden="1" customWidth="1"/>
    <col min="38" max="38" width="17" style="5" hidden="1" customWidth="1"/>
    <col min="39" max="51" width="17" style="1" hidden="1" customWidth="1"/>
    <col min="52" max="16384" width="16.6640625" style="1" hidden="1"/>
  </cols>
  <sheetData>
    <row r="1" spans="2:39" ht="4.9000000000000004" customHeight="1"/>
    <row r="2" spans="2:39" ht="19.899999999999999" customHeight="1">
      <c r="B2" s="6" t="str">
        <f ca="1" xml:space="preserve"> MID( CELL("filename", B2), FIND("]", CELL("filename",B2) ) + 1, Model.MaxChars)</f>
        <v>Modeloverblik</v>
      </c>
      <c r="C2" s="7"/>
      <c r="D2" s="7"/>
      <c r="E2" s="9"/>
      <c r="F2" s="12" t="str">
        <f xml:space="preserve"> Header.Details</f>
        <v>&amp;</v>
      </c>
      <c r="G2" s="12" t="str">
        <f xml:space="preserve"> Header.Details</f>
        <v>é</v>
      </c>
      <c r="H2" s="12" t="str">
        <f xml:space="preserve"> Header.Details</f>
        <v>¤</v>
      </c>
      <c r="I2" s="12" t="str">
        <f xml:space="preserve"> Header.Details</f>
        <v></v>
      </c>
      <c r="J2" s="9"/>
      <c r="K2" s="9"/>
      <c r="N2" s="12"/>
      <c r="O2" s="12"/>
      <c r="P2" s="9"/>
      <c r="Q2" s="23"/>
      <c r="R2" s="22"/>
      <c r="S2" s="22"/>
      <c r="T2" s="23"/>
      <c r="U2" s="22"/>
      <c r="V2" s="6"/>
      <c r="W2" s="7"/>
      <c r="X2" s="8"/>
      <c r="Y2" s="7"/>
      <c r="Z2" s="9"/>
      <c r="AA2" s="9"/>
    </row>
    <row r="3" spans="2:39" ht="15" customHeight="1">
      <c r="B3" s="10" t="str">
        <f xml:space="preserve"> Header.Details</f>
        <v xml:space="preserve">Tarifmodel 3.0 og producentbetaling (V2) </v>
      </c>
      <c r="C3" s="7"/>
      <c r="D3" s="7"/>
      <c r="E3" s="9"/>
      <c r="F3" s="9"/>
      <c r="G3" s="9"/>
      <c r="H3" s="9"/>
      <c r="I3" s="9"/>
      <c r="J3" s="9"/>
      <c r="K3" s="9"/>
      <c r="L3" s="9"/>
      <c r="M3" s="9"/>
      <c r="N3" s="9"/>
      <c r="O3" s="9"/>
      <c r="P3" s="9"/>
      <c r="Q3" s="24"/>
      <c r="R3" s="22"/>
      <c r="S3" s="22"/>
      <c r="T3" s="23"/>
      <c r="U3" s="22"/>
      <c r="V3" s="10"/>
      <c r="W3" s="7"/>
      <c r="X3" s="8"/>
      <c r="Y3" s="7"/>
      <c r="Z3" s="9"/>
      <c r="AA3" s="9"/>
      <c r="AB3" s="11"/>
      <c r="AC3" s="11"/>
    </row>
    <row r="9" spans="2:39" ht="5.0999999999999996" customHeight="1">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row>
    <row r="10" spans="2:39" s="475" customFormat="1" ht="15" customHeight="1">
      <c r="B10" s="469" t="s">
        <v>87</v>
      </c>
      <c r="C10" s="470"/>
      <c r="D10" s="471"/>
      <c r="E10" s="471"/>
      <c r="F10" s="471"/>
      <c r="G10" s="471"/>
      <c r="H10" s="471"/>
      <c r="I10" s="471"/>
      <c r="J10" s="471"/>
      <c r="K10" s="471"/>
      <c r="L10" s="471"/>
      <c r="M10" s="471"/>
      <c r="N10" s="471"/>
      <c r="O10" s="471"/>
      <c r="P10" s="471"/>
      <c r="Q10" s="471"/>
      <c r="R10" s="471"/>
      <c r="S10" s="471"/>
      <c r="T10" s="471"/>
      <c r="U10" s="471"/>
      <c r="V10" s="471"/>
      <c r="W10" s="471"/>
      <c r="X10" s="471"/>
      <c r="Y10" s="471"/>
      <c r="Z10" s="471"/>
      <c r="AA10" s="471"/>
      <c r="AB10" s="471"/>
      <c r="AC10" s="471"/>
      <c r="AD10" s="471"/>
      <c r="AE10" s="472"/>
      <c r="AF10" s="472"/>
      <c r="AG10" s="472"/>
      <c r="AH10" s="472"/>
      <c r="AI10" s="472"/>
      <c r="AJ10" s="473"/>
      <c r="AK10" s="474"/>
      <c r="AL10" s="474"/>
      <c r="AM10" s="472"/>
    </row>
    <row r="11" spans="2:39" s="15" customFormat="1" ht="15" customHeight="1">
      <c r="C11" s="16"/>
      <c r="D11" s="18"/>
      <c r="AB11" s="19"/>
      <c r="AC11" s="19"/>
      <c r="AD11" s="19"/>
      <c r="AE11" s="5"/>
      <c r="AF11" s="5"/>
      <c r="AG11" s="5"/>
      <c r="AH11" s="5"/>
      <c r="AI11" s="5"/>
      <c r="AL11" s="19"/>
    </row>
    <row r="12" spans="2:39" s="475" customFormat="1" ht="15" customHeight="1">
      <c r="B12" s="476" t="s">
        <v>277</v>
      </c>
      <c r="C12" s="477"/>
      <c r="D12" s="478"/>
      <c r="Q12" s="472"/>
    </row>
    <row r="14" spans="2:39" ht="15" customHeight="1">
      <c r="C14" s="4" t="s">
        <v>147</v>
      </c>
    </row>
    <row r="15" spans="2:39" ht="15" customHeight="1">
      <c r="C15" s="1" t="str">
        <f xml:space="preserve"> "Modelnavn: " &amp; '2.1 Model setup'!$N$15</f>
        <v>Modelnavn: Tarifmodel 3.0 og producentbetaling</v>
      </c>
    </row>
    <row r="16" spans="2:39" ht="15" customHeight="1">
      <c r="C16" s="1" t="str">
        <f xml:space="preserve"> "Modelejer: " &amp; '2.1 Model setup'!$N$18</f>
        <v>Modelejer: Green Power Denmark</v>
      </c>
    </row>
    <row r="17" spans="3:22" ht="15" customHeight="1">
      <c r="C17" s="1" t="str">
        <f xml:space="preserve"> "Modelversion: " &amp; '2.1 Model setup'!$N$21</f>
        <v>Modelversion: V2</v>
      </c>
    </row>
    <row r="18" spans="3:22" ht="15" customHeight="1">
      <c r="C18" s="1"/>
    </row>
    <row r="20" spans="3:22" ht="15" customHeight="1">
      <c r="C20" s="1"/>
      <c r="D20" s="3"/>
    </row>
    <row r="21" spans="3:22" ht="15" customHeight="1">
      <c r="C21" s="1"/>
      <c r="D21" s="3"/>
    </row>
    <row r="22" spans="3:22" ht="15" customHeight="1">
      <c r="C22" s="1"/>
      <c r="D22" s="3"/>
      <c r="V22" s="73" t="s">
        <v>145</v>
      </c>
    </row>
    <row r="23" spans="3:22" ht="15" customHeight="1">
      <c r="C23" s="1"/>
      <c r="D23" s="3"/>
      <c r="V23" s="73" t="s">
        <v>238</v>
      </c>
    </row>
    <row r="24" spans="3:22" ht="15" customHeight="1">
      <c r="C24" s="1"/>
      <c r="D24" s="3"/>
    </row>
    <row r="25" spans="3:22" ht="15" customHeight="1">
      <c r="V25" s="20" t="s">
        <v>310</v>
      </c>
    </row>
    <row r="26" spans="3:22" ht="15" customHeight="1">
      <c r="C26" s="1"/>
      <c r="D26" s="1"/>
      <c r="V26" s="20" t="s">
        <v>146</v>
      </c>
    </row>
    <row r="27" spans="3:22" ht="15" customHeight="1">
      <c r="C27" s="1"/>
      <c r="D27" s="1"/>
    </row>
    <row r="28" spans="3:22" ht="15" customHeight="1">
      <c r="C28" s="1"/>
      <c r="D28" s="1"/>
    </row>
    <row r="29" spans="3:22" ht="15" customHeight="1">
      <c r="C29" s="1"/>
      <c r="D29" s="1"/>
    </row>
    <row r="30" spans="3:22" ht="15" customHeight="1">
      <c r="C30" s="1"/>
      <c r="D30" s="1"/>
    </row>
    <row r="31" spans="3:22" ht="15" customHeight="1">
      <c r="C31" s="1"/>
      <c r="D31" s="1"/>
    </row>
    <row r="32" spans="3:22" ht="15" customHeight="1">
      <c r="C32" s="1"/>
      <c r="D32" s="1"/>
    </row>
    <row r="33" spans="28:38" s="1" customFormat="1" ht="15" customHeight="1">
      <c r="AB33" s="5"/>
      <c r="AC33" s="5"/>
      <c r="AD33" s="5"/>
      <c r="AE33" s="5"/>
      <c r="AF33" s="5"/>
      <c r="AG33" s="5"/>
      <c r="AH33" s="5"/>
      <c r="AI33" s="5"/>
      <c r="AL33" s="5"/>
    </row>
    <row r="34" spans="28:38" s="1" customFormat="1" ht="15" customHeight="1">
      <c r="AB34" s="5"/>
      <c r="AC34" s="5"/>
      <c r="AD34" s="5"/>
      <c r="AE34" s="5"/>
      <c r="AF34" s="5"/>
      <c r="AG34" s="5"/>
      <c r="AH34" s="5"/>
      <c r="AI34" s="5"/>
      <c r="AL34" s="5"/>
    </row>
    <row r="35" spans="28:38" s="1" customFormat="1" ht="15" customHeight="1">
      <c r="AB35" s="5"/>
      <c r="AC35" s="5"/>
      <c r="AD35" s="5"/>
      <c r="AE35" s="5"/>
      <c r="AF35" s="5"/>
      <c r="AG35" s="5"/>
      <c r="AH35" s="5"/>
      <c r="AI35" s="5"/>
      <c r="AL35" s="5"/>
    </row>
    <row r="36" spans="28:38" s="1" customFormat="1" ht="15" customHeight="1">
      <c r="AB36" s="5"/>
      <c r="AC36" s="5"/>
      <c r="AD36" s="5"/>
      <c r="AE36" s="5"/>
      <c r="AF36" s="5"/>
      <c r="AG36" s="5"/>
      <c r="AH36" s="5"/>
      <c r="AI36" s="5"/>
      <c r="AL36" s="5"/>
    </row>
    <row r="37" spans="28:38" s="1" customFormat="1" ht="15" customHeight="1">
      <c r="AB37" s="5"/>
      <c r="AC37" s="5"/>
      <c r="AD37" s="5"/>
      <c r="AE37" s="5"/>
      <c r="AF37" s="5"/>
      <c r="AG37" s="5"/>
      <c r="AH37" s="5"/>
      <c r="AI37" s="5"/>
      <c r="AL37" s="5"/>
    </row>
    <row r="38" spans="28:38" s="1" customFormat="1" ht="15" customHeight="1">
      <c r="AB38" s="5"/>
      <c r="AC38" s="5"/>
      <c r="AD38" s="5"/>
      <c r="AE38" s="5"/>
      <c r="AF38" s="5"/>
      <c r="AG38" s="5"/>
      <c r="AH38" s="5"/>
      <c r="AI38" s="5"/>
      <c r="AL38" s="5"/>
    </row>
    <row r="39" spans="28:38" s="1" customFormat="1" ht="15" customHeight="1">
      <c r="AB39" s="5"/>
      <c r="AC39" s="5"/>
      <c r="AD39" s="5"/>
      <c r="AE39" s="5"/>
      <c r="AF39" s="5"/>
      <c r="AG39" s="5"/>
      <c r="AH39" s="5"/>
      <c r="AI39" s="5"/>
      <c r="AL39" s="5"/>
    </row>
    <row r="40" spans="28:38" s="1" customFormat="1" ht="15" customHeight="1">
      <c r="AB40" s="5"/>
      <c r="AC40" s="5"/>
      <c r="AD40" s="5"/>
      <c r="AE40" s="5"/>
      <c r="AF40" s="5"/>
      <c r="AG40" s="5"/>
      <c r="AH40" s="5"/>
      <c r="AI40" s="5"/>
      <c r="AL40" s="5"/>
    </row>
    <row r="41" spans="28:38" s="1" customFormat="1" ht="15" customHeight="1">
      <c r="AB41" s="5"/>
      <c r="AC41" s="5"/>
      <c r="AD41" s="5"/>
      <c r="AE41" s="5"/>
      <c r="AF41" s="5"/>
      <c r="AG41" s="5"/>
      <c r="AH41" s="5"/>
      <c r="AI41" s="5"/>
      <c r="AL41" s="5"/>
    </row>
    <row r="42" spans="28:38" s="1" customFormat="1" ht="15" customHeight="1">
      <c r="AB42" s="5"/>
      <c r="AC42" s="5"/>
      <c r="AD42" s="5"/>
      <c r="AE42" s="5"/>
      <c r="AF42" s="5"/>
      <c r="AG42" s="5"/>
      <c r="AH42" s="5"/>
      <c r="AI42" s="5"/>
      <c r="AL42" s="5"/>
    </row>
    <row r="43" spans="28:38" s="1" customFormat="1" ht="15" customHeight="1">
      <c r="AB43" s="5"/>
      <c r="AC43" s="5"/>
      <c r="AD43" s="5"/>
      <c r="AE43" s="5"/>
      <c r="AF43" s="5"/>
      <c r="AG43" s="5"/>
      <c r="AH43" s="5"/>
      <c r="AI43" s="5"/>
      <c r="AL43" s="5"/>
    </row>
    <row r="44" spans="28:38" s="1" customFormat="1" ht="15" customHeight="1">
      <c r="AB44" s="5"/>
      <c r="AC44" s="5"/>
      <c r="AD44" s="5"/>
      <c r="AE44" s="5"/>
      <c r="AF44" s="5"/>
      <c r="AG44" s="5"/>
      <c r="AH44" s="5"/>
      <c r="AI44" s="5"/>
      <c r="AL44" s="5"/>
    </row>
    <row r="45" spans="28:38" s="1" customFormat="1" ht="15" customHeight="1">
      <c r="AB45" s="5"/>
      <c r="AC45" s="5"/>
      <c r="AD45" s="5"/>
      <c r="AE45" s="5"/>
      <c r="AF45" s="5"/>
      <c r="AG45" s="5"/>
      <c r="AH45" s="5"/>
      <c r="AI45" s="5"/>
      <c r="AL45" s="5"/>
    </row>
    <row r="46" spans="28:38" s="1" customFormat="1" ht="15" customHeight="1">
      <c r="AB46" s="5"/>
      <c r="AC46" s="5"/>
      <c r="AD46" s="5"/>
      <c r="AE46" s="5"/>
      <c r="AF46" s="5"/>
      <c r="AG46" s="5"/>
      <c r="AH46" s="5"/>
      <c r="AI46" s="5"/>
      <c r="AL46" s="5"/>
    </row>
    <row r="47" spans="28:38" s="1" customFormat="1" ht="15" customHeight="1">
      <c r="AB47" s="5"/>
      <c r="AC47" s="5"/>
      <c r="AD47" s="5"/>
      <c r="AE47" s="5"/>
      <c r="AF47" s="5"/>
      <c r="AG47" s="5"/>
      <c r="AH47" s="5"/>
      <c r="AI47" s="5"/>
      <c r="AL47" s="5"/>
    </row>
    <row r="48" spans="28:38" s="1" customFormat="1" ht="15" customHeight="1">
      <c r="AB48" s="5"/>
      <c r="AC48" s="5"/>
      <c r="AD48" s="5"/>
      <c r="AE48" s="5"/>
      <c r="AF48" s="5"/>
      <c r="AG48" s="5"/>
      <c r="AH48" s="5"/>
      <c r="AI48" s="5"/>
      <c r="AL48" s="5"/>
    </row>
    <row r="49" spans="2:38" ht="15" customHeight="1">
      <c r="C49" s="1"/>
      <c r="D49" s="1"/>
    </row>
    <row r="50" spans="2:38" ht="15" customHeight="1">
      <c r="C50" s="1"/>
      <c r="D50" s="1"/>
      <c r="S50" s="20"/>
      <c r="AB50" s="1"/>
      <c r="AC50" s="1"/>
    </row>
    <row r="51" spans="2:38" ht="15" customHeight="1">
      <c r="C51" s="1"/>
      <c r="D51" s="1"/>
    </row>
    <row r="52" spans="2:38" ht="15" customHeight="1">
      <c r="C52" s="1"/>
      <c r="D52" s="1"/>
    </row>
    <row r="53" spans="2:38" ht="15" customHeight="1">
      <c r="C53" s="1"/>
      <c r="D53" s="1"/>
    </row>
    <row r="54" spans="2:38" ht="15" customHeight="1">
      <c r="C54" s="1"/>
      <c r="D54" s="1"/>
    </row>
    <row r="55" spans="2:38" ht="15" customHeight="1">
      <c r="C55" s="1"/>
      <c r="D55" s="1"/>
    </row>
    <row r="56" spans="2:38" ht="15" customHeight="1">
      <c r="C56" s="1"/>
      <c r="D56" s="1"/>
    </row>
    <row r="57" spans="2:38" ht="15" customHeight="1">
      <c r="C57" s="1"/>
      <c r="D57" s="1"/>
    </row>
    <row r="58" spans="2:38" ht="15" customHeight="1">
      <c r="C58" s="1"/>
      <c r="D58" s="1"/>
    </row>
    <row r="59" spans="2:38" ht="15" customHeight="1">
      <c r="C59" s="1"/>
      <c r="D59" s="1"/>
    </row>
    <row r="60" spans="2:38" s="475" customFormat="1" ht="15" customHeight="1">
      <c r="B60" s="479" t="s">
        <v>328</v>
      </c>
      <c r="C60" s="477"/>
      <c r="V60" s="1"/>
      <c r="W60" s="475" t="s">
        <v>280</v>
      </c>
      <c r="AB60" s="472"/>
      <c r="AE60" s="472"/>
      <c r="AF60" s="472"/>
      <c r="AG60" s="472"/>
      <c r="AH60" s="472"/>
      <c r="AI60" s="472"/>
      <c r="AL60" s="472"/>
    </row>
    <row r="64" spans="2:38" ht="15" customHeight="1">
      <c r="D64" s="2" t="s">
        <v>344</v>
      </c>
      <c r="N64" s="2" t="s">
        <v>148</v>
      </c>
      <c r="W64" s="480" t="s">
        <v>88</v>
      </c>
      <c r="X64" s="481"/>
      <c r="Y64" s="481"/>
      <c r="Z64" s="481"/>
      <c r="AA64" s="481"/>
      <c r="AB64" s="482"/>
    </row>
    <row r="65" spans="3:30" ht="15" customHeight="1">
      <c r="D65" s="1" t="s">
        <v>278</v>
      </c>
      <c r="J65" s="24">
        <f xml:space="preserve"> '2.1 Model setup'!I6</f>
        <v>0</v>
      </c>
      <c r="N65" s="1" t="s">
        <v>547</v>
      </c>
      <c r="W65" s="38" t="s">
        <v>89</v>
      </c>
      <c r="X65" s="39"/>
      <c r="Y65" s="39"/>
      <c r="Z65" s="39" t="s">
        <v>334</v>
      </c>
      <c r="AA65" s="39"/>
      <c r="AB65" s="40"/>
    </row>
    <row r="66" spans="3:30" ht="15" customHeight="1">
      <c r="D66" s="1" t="s">
        <v>279</v>
      </c>
      <c r="J66" s="24">
        <f xml:space="preserve"> '2.1 Model setup'!I7</f>
        <v>0</v>
      </c>
      <c r="N66" s="1" t="s">
        <v>471</v>
      </c>
      <c r="W66" s="567" t="s">
        <v>89</v>
      </c>
      <c r="X66" s="569"/>
      <c r="Y66" s="569"/>
      <c r="Z66" s="569" t="s">
        <v>329</v>
      </c>
      <c r="AA66" s="568"/>
      <c r="AB66" s="232"/>
    </row>
    <row r="67" spans="3:30" ht="15" customHeight="1">
      <c r="D67" s="1"/>
      <c r="W67" s="236" t="s">
        <v>89</v>
      </c>
      <c r="X67" s="237"/>
      <c r="Y67" s="237"/>
      <c r="Z67" s="237" t="s">
        <v>92</v>
      </c>
      <c r="AA67" s="237"/>
      <c r="AB67" s="238"/>
    </row>
    <row r="68" spans="3:30" ht="15" customHeight="1">
      <c r="C68" s="1"/>
      <c r="D68" s="1"/>
      <c r="W68" s="233" t="s">
        <v>90</v>
      </c>
      <c r="X68" s="234"/>
      <c r="Y68" s="234"/>
      <c r="Z68" s="234" t="s">
        <v>91</v>
      </c>
      <c r="AA68" s="234"/>
      <c r="AB68" s="235"/>
    </row>
    <row r="69" spans="3:30" ht="15" customHeight="1">
      <c r="D69" s="2" t="s">
        <v>149</v>
      </c>
      <c r="J69" s="654" t="s">
        <v>2</v>
      </c>
      <c r="K69" s="654"/>
      <c r="L69" s="78"/>
      <c r="N69" s="2" t="s">
        <v>148</v>
      </c>
      <c r="O69" s="2"/>
      <c r="P69" s="2"/>
      <c r="W69" s="36"/>
      <c r="X69" s="37"/>
      <c r="Y69" s="37"/>
      <c r="Z69" s="37"/>
      <c r="AA69" s="37"/>
      <c r="AB69" s="37"/>
    </row>
    <row r="70" spans="3:30" ht="15" customHeight="1">
      <c r="D70" s="4" t="s">
        <v>150</v>
      </c>
      <c r="J70" s="77" t="s">
        <v>99</v>
      </c>
      <c r="K70" s="77" t="s">
        <v>100</v>
      </c>
      <c r="AB70" s="1"/>
    </row>
    <row r="71" spans="3:30" ht="15" customHeight="1">
      <c r="E71" s="21" t="str">
        <f ca="1" xml:space="preserve"> HYPERLINK("#'" &amp; Modeloverblik!$B$2 &amp; "'!" &amp; Model.TitleLocation, Modeloverblik!$B$2)</f>
        <v>Modeloverblik</v>
      </c>
      <c r="F71" s="21"/>
      <c r="G71" s="21"/>
      <c r="H71" s="21"/>
      <c r="I71" s="21"/>
      <c r="J71" s="80"/>
      <c r="K71" s="81"/>
      <c r="L71" s="21"/>
      <c r="M71" s="21"/>
      <c r="N71" s="1" t="s">
        <v>321</v>
      </c>
      <c r="O71" s="21"/>
      <c r="P71" s="21"/>
      <c r="AB71" s="1"/>
      <c r="AC71" s="1"/>
      <c r="AD71" s="1"/>
    </row>
    <row r="72" spans="3:30" ht="15" customHeight="1">
      <c r="E72" s="21" t="str">
        <f ca="1" xml:space="preserve"> HYPERLINK("#'" &amp; Disclaimer!$B$2 &amp; "'!" &amp; Model.TitleLocation, Disclaimer!$B$2)</f>
        <v>Disclaimer</v>
      </c>
      <c r="F72" s="21"/>
      <c r="G72" s="21"/>
      <c r="H72" s="21"/>
      <c r="I72" s="21"/>
      <c r="J72" s="81"/>
      <c r="K72" s="81"/>
      <c r="L72" s="21"/>
      <c r="M72" s="21"/>
      <c r="N72" s="1" t="s">
        <v>322</v>
      </c>
      <c r="O72" s="21"/>
      <c r="P72" s="21"/>
      <c r="AB72" s="1"/>
      <c r="AC72" s="1"/>
      <c r="AD72" s="1"/>
    </row>
    <row r="73" spans="3:30" ht="15" customHeight="1">
      <c r="E73" s="21" t="str">
        <f ca="1" xml:space="preserve"> HYPERLINK("#'" &amp; 'Opdateringslog, Green Power Den'!$B$2 &amp; "'!" &amp; Model.TitleLocation, 'Opdateringslog, Green Power Den'!$B$2)</f>
        <v>Opdateringslog, Green Power Den</v>
      </c>
      <c r="F73" s="21"/>
      <c r="G73" s="21"/>
      <c r="H73" s="21"/>
      <c r="I73" s="21"/>
      <c r="J73" s="81"/>
      <c r="K73" s="81"/>
      <c r="L73" s="21"/>
      <c r="M73" s="21"/>
      <c r="N73" s="1" t="s">
        <v>551</v>
      </c>
      <c r="O73" s="21"/>
      <c r="P73" s="21"/>
      <c r="AB73" s="1"/>
      <c r="AC73" s="1"/>
      <c r="AD73" s="1"/>
    </row>
    <row r="74" spans="3:30" ht="15" customHeight="1">
      <c r="E74" s="21" t="str">
        <f ca="1" xml:space="preserve"> HYPERLINK("#'" &amp; 'Opdateringslog, netselskab'!$B$2 &amp; "'!" &amp; Model.TitleLocation, 'Opdateringslog, netselskab'!$B$2)</f>
        <v>Opdateringslog, netselskab</v>
      </c>
      <c r="F74" s="21"/>
      <c r="G74" s="21"/>
      <c r="H74" s="21"/>
      <c r="I74" s="21"/>
      <c r="J74" s="81"/>
      <c r="K74" s="81"/>
      <c r="L74" s="21"/>
      <c r="M74" s="21"/>
      <c r="N74" s="1" t="s">
        <v>548</v>
      </c>
      <c r="O74" s="21"/>
      <c r="P74" s="21"/>
      <c r="AB74" s="1"/>
      <c r="AC74" s="1"/>
      <c r="AD74" s="1"/>
    </row>
    <row r="75" spans="3:30" ht="15" customHeight="1">
      <c r="E75" s="21"/>
      <c r="F75" s="21"/>
      <c r="G75" s="21"/>
      <c r="H75" s="21"/>
      <c r="I75" s="21"/>
      <c r="J75" s="21"/>
      <c r="K75" s="21"/>
      <c r="L75" s="21"/>
      <c r="M75" s="21"/>
      <c r="O75" s="21"/>
      <c r="P75" s="21"/>
      <c r="AB75" s="1"/>
      <c r="AC75" s="1"/>
      <c r="AD75" s="1"/>
    </row>
    <row r="76" spans="3:30" ht="15" customHeight="1">
      <c r="D76" s="4" t="s">
        <v>330</v>
      </c>
    </row>
    <row r="77" spans="3:30" ht="15" customHeight="1">
      <c r="E77" s="21" t="str">
        <f ca="1" xml:space="preserve"> HYPERLINK("#'" &amp; '1.1 Provenu'!$B$2 &amp; "'!" &amp; Model.TitleLocation, '1.1 Provenu'!$B$2)</f>
        <v>1.1 Provenu</v>
      </c>
      <c r="F77" s="21"/>
      <c r="G77" s="21"/>
      <c r="H77" s="21"/>
      <c r="I77" s="21"/>
      <c r="J77" s="24">
        <f xml:space="preserve"> '1.1 Provenu'!I4</f>
        <v>0</v>
      </c>
      <c r="K77" s="79">
        <f xml:space="preserve"> '1.1 Provenu'!I5</f>
        <v>0</v>
      </c>
      <c r="L77" s="21"/>
      <c r="M77" s="21"/>
      <c r="N77" s="1" t="s">
        <v>635</v>
      </c>
      <c r="O77" s="21"/>
      <c r="P77" s="21"/>
    </row>
    <row r="78" spans="3:30" ht="15" customHeight="1">
      <c r="D78" s="1"/>
      <c r="E78" s="21" t="str">
        <f ca="1" xml:space="preserve"> HYPERLINK("#'" &amp; '1.2 Tarifoversigt'!$B$2 &amp; "'!" &amp; Model.TitleLocation, '1.2 Tarifoversigt'!$B$2)</f>
        <v>1.2 Tarifoversigt</v>
      </c>
      <c r="F78" s="21"/>
      <c r="G78" s="21"/>
      <c r="H78" s="21"/>
      <c r="I78" s="21"/>
      <c r="J78" s="24">
        <f xml:space="preserve"> '1.2 Tarifoversigt'!I4</f>
        <v>0</v>
      </c>
      <c r="K78" s="79">
        <f xml:space="preserve"> '1.2 Tarifoversigt'!I5</f>
        <v>0</v>
      </c>
      <c r="L78" s="21"/>
      <c r="M78" s="21"/>
      <c r="N78" s="1" t="s">
        <v>323</v>
      </c>
      <c r="O78" s="21"/>
      <c r="P78" s="21"/>
    </row>
    <row r="79" spans="3:30" ht="15" customHeight="1">
      <c r="D79" s="1"/>
      <c r="E79" s="21" t="str">
        <f ca="1" xml:space="preserve"> HYPERLINK("#'" &amp; '1.3 Varslingsanalyse'!$B$2 &amp; "'!" &amp; Model.TitleLocation, '1.3 Varslingsanalyse'!$B$2)</f>
        <v>1.3 Varslingsanalyse</v>
      </c>
      <c r="F79" s="21"/>
      <c r="G79" s="21"/>
      <c r="H79" s="21"/>
      <c r="I79" s="21"/>
      <c r="J79" s="24">
        <f xml:space="preserve"> '1.3 Varslingsanalyse'!I4</f>
        <v>0</v>
      </c>
      <c r="K79" s="79">
        <f xml:space="preserve"> '1.3 Varslingsanalyse'!I5</f>
        <v>0</v>
      </c>
      <c r="L79" s="21"/>
      <c r="M79" s="21"/>
      <c r="N79" s="1" t="s">
        <v>324</v>
      </c>
      <c r="O79" s="21"/>
      <c r="P79" s="21"/>
    </row>
    <row r="80" spans="3:30" ht="15" customHeight="1">
      <c r="D80" s="1"/>
      <c r="E80" s="21" t="str">
        <f ca="1" xml:space="preserve"> HYPERLINK("#'" &amp; '1.4 Hoveddata'!$B$2 &amp; "'!" &amp; Model.TitleLocation, '1.4 Hoveddata'!$B$2)</f>
        <v>1.4 Hoveddata</v>
      </c>
      <c r="F80" s="21"/>
      <c r="G80" s="21"/>
      <c r="H80" s="21"/>
      <c r="I80" s="21"/>
      <c r="J80" s="24">
        <f xml:space="preserve"> '1.4 Hoveddata'!I4</f>
        <v>0</v>
      </c>
      <c r="K80" s="79">
        <f xml:space="preserve"> '1.4 Hoveddata'!I5</f>
        <v>0</v>
      </c>
      <c r="L80" s="21"/>
      <c r="M80" s="21"/>
      <c r="N80" s="1" t="s">
        <v>525</v>
      </c>
      <c r="O80" s="21"/>
      <c r="P80" s="21"/>
    </row>
    <row r="81" spans="4:30" ht="15" customHeight="1">
      <c r="D81" s="1"/>
      <c r="E81" s="21" t="str">
        <f ca="1" xml:space="preserve"> HYPERLINK("#'" &amp; '1.5 Indfødningstarif'!$B$2 &amp; "'!" &amp; Model.TitleLocation, '1.5 Indfødningstarif'!$B$2)</f>
        <v>1.5 Indfødningstarif</v>
      </c>
      <c r="F81" s="21"/>
      <c r="G81" s="21"/>
      <c r="H81" s="21"/>
      <c r="I81" s="21"/>
      <c r="J81" s="24">
        <f xml:space="preserve"> '1.5 Indfødningstarif'!I4</f>
        <v>0</v>
      </c>
      <c r="K81" s="79">
        <f>'1.5 Indfødningstarif'!I5</f>
        <v>0</v>
      </c>
      <c r="L81" s="21"/>
      <c r="M81" s="21"/>
      <c r="N81" s="1" t="s">
        <v>626</v>
      </c>
      <c r="O81" s="21"/>
      <c r="P81" s="21"/>
    </row>
    <row r="82" spans="4:30" ht="15" customHeight="1">
      <c r="E82" s="21"/>
      <c r="F82" s="21"/>
      <c r="G82" s="21"/>
      <c r="H82" s="21"/>
      <c r="I82" s="21"/>
      <c r="J82" s="21"/>
      <c r="K82" s="79"/>
      <c r="L82" s="21"/>
      <c r="M82" s="21"/>
      <c r="O82" s="21"/>
      <c r="P82" s="21"/>
      <c r="AB82" s="1"/>
      <c r="AC82" s="1"/>
      <c r="AD82" s="1"/>
    </row>
    <row r="83" spans="4:30" ht="15" customHeight="1">
      <c r="D83" s="4" t="s">
        <v>331</v>
      </c>
      <c r="K83" s="79"/>
      <c r="AB83" s="1"/>
      <c r="AC83" s="1"/>
      <c r="AD83" s="1"/>
    </row>
    <row r="84" spans="4:30" ht="15" customHeight="1">
      <c r="E84" s="21" t="str">
        <f ca="1" xml:space="preserve"> HYPERLINK("#'" &amp; '2.1 Model setup'!$B$2 &amp; "'!" &amp; Model.TitleLocation, '2.1 Model setup'!$B$2)</f>
        <v>2.1 Model setup</v>
      </c>
      <c r="F84" s="21"/>
      <c r="G84" s="21"/>
      <c r="H84" s="21"/>
      <c r="I84" s="21"/>
      <c r="J84" s="24">
        <f xml:space="preserve"> '2.1 Model setup'!I4</f>
        <v>0</v>
      </c>
      <c r="K84" s="79">
        <f xml:space="preserve"> '2.1 Model setup'!I5</f>
        <v>0</v>
      </c>
      <c r="L84" s="21"/>
      <c r="M84" s="21"/>
      <c r="N84" s="1" t="s">
        <v>332</v>
      </c>
      <c r="O84" s="21"/>
      <c r="P84" s="21"/>
      <c r="AB84" s="1"/>
      <c r="AC84" s="1"/>
      <c r="AD84" s="1"/>
    </row>
    <row r="85" spans="4:30" ht="15" customHeight="1">
      <c r="E85" s="21" t="str">
        <f ca="1" xml:space="preserve"> HYPERLINK("#'" &amp; '2.2 Generelle input'!$B$2 &amp; "'!" &amp; Model.TitleLocation, '2.2 Generelle input'!$B$2)</f>
        <v>2.2 Generelle input</v>
      </c>
      <c r="F85" s="21"/>
      <c r="G85" s="21"/>
      <c r="H85" s="21"/>
      <c r="I85" s="21"/>
      <c r="J85" s="24">
        <f xml:space="preserve"> '2.2 Generelle input'!I4</f>
        <v>0</v>
      </c>
      <c r="K85" s="79">
        <f xml:space="preserve"> '2.2 Generelle input'!I5</f>
        <v>0</v>
      </c>
      <c r="L85" s="21"/>
      <c r="M85" s="21"/>
      <c r="N85" s="1" t="s">
        <v>552</v>
      </c>
      <c r="O85" s="21"/>
      <c r="P85" s="21"/>
    </row>
    <row r="86" spans="4:30" ht="15" customHeight="1">
      <c r="E86" s="21" t="str">
        <f ca="1" xml:space="preserve"> HYPERLINK("#'" &amp; '2.3 Selskabsspecifikke input'!$B$2 &amp; "'!" &amp; Model.TitleLocation, '2.3 Selskabsspecifikke input'!$B$2)</f>
        <v>2.3 Selskabsspecifikke input</v>
      </c>
      <c r="F86" s="21"/>
      <c r="G86" s="21"/>
      <c r="H86" s="21"/>
      <c r="I86" s="21"/>
      <c r="J86" s="24">
        <f xml:space="preserve"> '2.3 Selskabsspecifikke input'!I4</f>
        <v>0</v>
      </c>
      <c r="K86" s="79">
        <f xml:space="preserve"> '2.3 Selskabsspecifikke input'!I5</f>
        <v>53</v>
      </c>
      <c r="L86" s="21"/>
      <c r="M86" s="21"/>
      <c r="N86" s="1" t="s">
        <v>333</v>
      </c>
      <c r="O86" s="21"/>
      <c r="P86" s="21"/>
      <c r="W86" s="36"/>
      <c r="X86" s="37"/>
      <c r="Y86" s="37"/>
      <c r="Z86" s="37"/>
      <c r="AA86" s="37"/>
      <c r="AB86" s="37"/>
      <c r="AC86" s="37"/>
    </row>
    <row r="87" spans="4:30" ht="15" customHeight="1">
      <c r="K87" s="79"/>
      <c r="AB87" s="1"/>
      <c r="AC87" s="1"/>
    </row>
    <row r="88" spans="4:30" ht="15" customHeight="1">
      <c r="D88" s="4" t="s">
        <v>151</v>
      </c>
      <c r="K88" s="79"/>
      <c r="AB88" s="1"/>
      <c r="AC88" s="1"/>
    </row>
    <row r="89" spans="4:30" ht="15" customHeight="1">
      <c r="E89" s="21" t="str">
        <f ca="1" xml:space="preserve"> HYPERLINK("#'" &amp; '3.1 Opsplitning af forbrug'!$B$2 &amp; "'!" &amp; Model.TitleLocation, '3.1 Opsplitning af forbrug'!$B$2)</f>
        <v>3.1 Opsplitning af forbrug</v>
      </c>
      <c r="F89" s="21"/>
      <c r="G89" s="21"/>
      <c r="H89" s="21"/>
      <c r="I89" s="21"/>
      <c r="J89" s="24">
        <f xml:space="preserve"> '3.1 Opsplitning af forbrug'!I4</f>
        <v>0</v>
      </c>
      <c r="K89" s="79">
        <f xml:space="preserve"> '3.1 Opsplitning af forbrug'!I5</f>
        <v>0</v>
      </c>
      <c r="L89" s="21"/>
      <c r="M89" s="21"/>
      <c r="N89" s="1" t="s">
        <v>549</v>
      </c>
      <c r="O89" s="21"/>
      <c r="P89" s="21"/>
    </row>
    <row r="90" spans="4:30" ht="15" customHeight="1">
      <c r="E90" s="21" t="str">
        <f ca="1" xml:space="preserve"> HYPERLINK("#'" &amp; '3.2 Abonnement'!$B$2 &amp; "'!" &amp; Model.TitleLocation, '3.2 Abonnement'!$B$2)</f>
        <v>3.2 Abonnement</v>
      </c>
      <c r="F90" s="21"/>
      <c r="G90" s="21"/>
      <c r="H90" s="21"/>
      <c r="I90" s="21"/>
      <c r="J90" s="24">
        <f xml:space="preserve"> '3.2 Abonnement'!I4</f>
        <v>0</v>
      </c>
      <c r="K90" s="79">
        <f xml:space="preserve"> '3.2 Abonnement'!I5</f>
        <v>0</v>
      </c>
      <c r="L90" s="21"/>
      <c r="M90" s="21"/>
      <c r="N90" s="1" t="s">
        <v>325</v>
      </c>
      <c r="O90" s="21"/>
      <c r="P90" s="21"/>
    </row>
    <row r="91" spans="4:30" ht="15" customHeight="1">
      <c r="E91" s="21" t="str">
        <f ca="1" xml:space="preserve"> HYPERLINK("#'" &amp; '3.3 Forbrugstariffer og effekt'!$B$2 &amp; "'!" &amp; Model.TitleLocation, '3.3 Forbrugstariffer og effekt'!$B$2)</f>
        <v>3.3 Forbrugstariffer og effekt</v>
      </c>
      <c r="F91" s="21"/>
      <c r="G91" s="21"/>
      <c r="H91" s="21"/>
      <c r="I91" s="21"/>
      <c r="J91" s="24">
        <f xml:space="preserve"> '3.3 Forbrugstariffer og effekt'!I4</f>
        <v>0</v>
      </c>
      <c r="K91" s="79">
        <f xml:space="preserve"> '3.3 Forbrugstariffer og effekt'!I5</f>
        <v>0</v>
      </c>
      <c r="L91" s="21"/>
      <c r="M91" s="21"/>
      <c r="N91" s="1" t="s">
        <v>326</v>
      </c>
      <c r="O91" s="21"/>
      <c r="P91" s="21"/>
    </row>
    <row r="92" spans="4:30" ht="15" customHeight="1">
      <c r="E92" s="21" t="str">
        <f ca="1" xml:space="preserve"> HYPERLINK("#'" &amp; '3.4 Tidsdifferentieret tarif'!$B$2 &amp; "'!" &amp; Model.TitleLocation, '3.4 Tidsdifferentieret tarif'!$B$2)</f>
        <v>3.4 Tidsdifferentieret tarif</v>
      </c>
      <c r="F92" s="21"/>
      <c r="G92" s="21"/>
      <c r="H92" s="21"/>
      <c r="I92" s="21"/>
      <c r="J92" s="24">
        <f xml:space="preserve"> '3.4 Tidsdifferentieret tarif'!I4</f>
        <v>0</v>
      </c>
      <c r="K92" s="79">
        <f xml:space="preserve"> '3.4 Tidsdifferentieret tarif'!I5</f>
        <v>0</v>
      </c>
      <c r="L92" s="21"/>
      <c r="M92" s="21"/>
      <c r="N92" s="1" t="s">
        <v>327</v>
      </c>
      <c r="O92" s="21"/>
      <c r="P92" s="21"/>
    </row>
    <row r="93" spans="4:30" ht="15" customHeight="1">
      <c r="E93" s="21" t="str">
        <f ca="1" xml:space="preserve"> HYPERLINK("#'" &amp; '3.5 Indfødningstarif'!$B$2 &amp; "'!" &amp; Model.TitleLocation, '3.5 Indfødningstarif'!$B$2)</f>
        <v>3.5 Indfødningstarif</v>
      </c>
      <c r="F93" s="21"/>
      <c r="G93" s="21"/>
      <c r="H93" s="21"/>
      <c r="I93" s="21"/>
      <c r="J93" s="79">
        <f xml:space="preserve"> '3.5 Indfødningstarif'!I4</f>
        <v>0</v>
      </c>
      <c r="K93" s="79">
        <f xml:space="preserve"> '3.5 Indfødningstarif'!I5</f>
        <v>0</v>
      </c>
      <c r="L93" s="21"/>
      <c r="M93" s="21"/>
      <c r="N93" s="1" t="s">
        <v>616</v>
      </c>
      <c r="O93" s="21"/>
      <c r="P93" s="21"/>
    </row>
    <row r="95" spans="4:30" ht="15" customHeight="1">
      <c r="D95" s="4" t="s">
        <v>366</v>
      </c>
      <c r="K95" s="79"/>
      <c r="AB95" s="1"/>
      <c r="AC95" s="1"/>
    </row>
    <row r="96" spans="4:30" ht="15" customHeight="1">
      <c r="E96" s="21" t="str">
        <f ca="1" xml:space="preserve"> HYPERLINK("#'" &amp; '4.1 Fejl- og kontroloversigt'!$B$2 &amp; "'!" &amp; Model.TitleLocation, '4.1 Fejl- og kontroloversigt'!$B$2)</f>
        <v>4.1 Fejl- og kontroloversigt</v>
      </c>
      <c r="F96" s="21"/>
      <c r="G96" s="21"/>
      <c r="H96" s="21"/>
      <c r="I96" s="21"/>
      <c r="J96" s="81"/>
      <c r="K96" s="81"/>
      <c r="L96" s="21"/>
      <c r="M96" s="21"/>
      <c r="N96" s="1" t="s">
        <v>367</v>
      </c>
      <c r="O96" s="21"/>
      <c r="P96" s="21"/>
    </row>
    <row r="98" spans="2:38" ht="15" customHeight="1">
      <c r="D98" s="4" t="s">
        <v>520</v>
      </c>
      <c r="K98" s="79"/>
      <c r="AB98" s="1"/>
      <c r="AC98" s="1"/>
    </row>
    <row r="99" spans="2:38" ht="15" customHeight="1">
      <c r="E99" s="21" t="str">
        <f ca="1" xml:space="preserve"> HYPERLINK("#'" &amp; 'Hjælpeark, forbrugsnøgler'!$B$2 &amp; "'!" &amp; Model.TitleLocation, 'Hjælpeark, forbrugsnøgler'!$B$2)</f>
        <v>Hjælpeark, forbrugsnøgler</v>
      </c>
      <c r="F99" s="21"/>
      <c r="G99" s="21"/>
      <c r="H99" s="21"/>
      <c r="I99" s="21"/>
      <c r="J99" s="81"/>
      <c r="K99" s="81"/>
      <c r="L99" s="21"/>
      <c r="M99" s="21"/>
      <c r="N99" s="1" t="s">
        <v>553</v>
      </c>
      <c r="O99" s="21"/>
      <c r="P99" s="21"/>
    </row>
    <row r="100" spans="2:38" ht="15" customHeight="1">
      <c r="E100" s="21" t="str">
        <f ca="1" xml:space="preserve"> HYPERLINK("#'" &amp; 'Hjælpeark, fall-back-metoden'!$B$2 &amp; "'!" &amp; Model.TitleLocation, 'Hjælpeark, fall-back-metoden'!$B$2)</f>
        <v>Hjælpeark, fall-back-metoden</v>
      </c>
      <c r="F100" s="21"/>
      <c r="G100" s="21"/>
      <c r="H100" s="21"/>
      <c r="I100" s="21"/>
      <c r="J100" s="81"/>
      <c r="K100" s="81"/>
      <c r="L100" s="21"/>
      <c r="M100" s="21"/>
      <c r="N100" s="1" t="s">
        <v>636</v>
      </c>
      <c r="O100" s="21"/>
      <c r="P100" s="21"/>
    </row>
    <row r="101" spans="2:38" ht="15" customHeight="1">
      <c r="E101" s="21"/>
      <c r="F101" s="21"/>
      <c r="G101" s="21"/>
      <c r="H101" s="21"/>
      <c r="I101" s="21"/>
      <c r="J101" s="21"/>
      <c r="K101" s="21"/>
      <c r="L101" s="21"/>
      <c r="M101" s="21"/>
      <c r="N101" s="21"/>
      <c r="O101" s="21"/>
      <c r="P101" s="21"/>
    </row>
    <row r="104" spans="2:38" s="475" customFormat="1" ht="15" customHeight="1">
      <c r="B104" s="479" t="s">
        <v>104</v>
      </c>
      <c r="C104" s="477"/>
      <c r="AB104" s="472"/>
      <c r="AC104" s="472"/>
      <c r="AD104" s="472"/>
      <c r="AE104" s="472"/>
      <c r="AF104" s="472"/>
      <c r="AG104" s="472"/>
      <c r="AH104" s="472"/>
      <c r="AI104" s="472"/>
      <c r="AL104" s="472"/>
    </row>
  </sheetData>
  <sheetProtection sheet="1" objects="1" scenarios="1"/>
  <mergeCells count="1">
    <mergeCell ref="J69:K69"/>
  </mergeCells>
  <conditionalFormatting sqref="P2:AA2 B3:AA3 B2:E2 J2:K2">
    <cfRule type="expression" dxfId="880" priority="31">
      <formula>$D$10&lt;ErrorTolerance</formula>
    </cfRule>
  </conditionalFormatting>
  <conditionalFormatting sqref="B3 V3">
    <cfRule type="expression" dxfId="879" priority="30">
      <formula>$D$11&gt;=ErrorTolerance</formula>
    </cfRule>
  </conditionalFormatting>
  <conditionalFormatting sqref="N2">
    <cfRule type="expression" dxfId="878" priority="29">
      <formula>Model.Navigation.View=No</formula>
    </cfRule>
  </conditionalFormatting>
  <conditionalFormatting sqref="O2">
    <cfRule type="expression" dxfId="877" priority="27">
      <formula>Model.Navigation.View=No</formula>
    </cfRule>
  </conditionalFormatting>
  <conditionalFormatting sqref="J65">
    <cfRule type="cellIs" dxfId="876" priority="25" operator="between">
      <formula>-ErrorTolerance</formula>
      <formula>ErrorTolerance</formula>
    </cfRule>
  </conditionalFormatting>
  <conditionalFormatting sqref="J66">
    <cfRule type="cellIs" dxfId="875" priority="24" operator="between">
      <formula>-ErrorTolerance</formula>
      <formula>ErrorTolerance</formula>
    </cfRule>
  </conditionalFormatting>
  <conditionalFormatting sqref="J84">
    <cfRule type="cellIs" dxfId="874" priority="23" operator="between">
      <formula>-ErrorTolerance</formula>
      <formula>ErrorTolerance</formula>
    </cfRule>
  </conditionalFormatting>
  <conditionalFormatting sqref="J85:J86">
    <cfRule type="cellIs" dxfId="873" priority="22" operator="between">
      <formula>-ErrorTolerance</formula>
      <formula>ErrorTolerance</formula>
    </cfRule>
  </conditionalFormatting>
  <conditionalFormatting sqref="J89:J92">
    <cfRule type="cellIs" dxfId="872" priority="21" operator="between">
      <formula>-ErrorTolerance</formula>
      <formula>ErrorTolerance</formula>
    </cfRule>
  </conditionalFormatting>
  <conditionalFormatting sqref="J77:J79">
    <cfRule type="cellIs" dxfId="871" priority="20" operator="between">
      <formula>-ErrorTolerance</formula>
      <formula>ErrorTolerance</formula>
    </cfRule>
  </conditionalFormatting>
  <conditionalFormatting sqref="K77:K79 K82:K93">
    <cfRule type="cellIs" dxfId="870" priority="19" operator="between">
      <formula>-ErrorTolerance</formula>
      <formula>ErrorTolerance</formula>
    </cfRule>
  </conditionalFormatting>
  <conditionalFormatting sqref="H2:I2">
    <cfRule type="expression" dxfId="869" priority="14">
      <formula>Model.Navigation.View=No</formula>
    </cfRule>
  </conditionalFormatting>
  <conditionalFormatting sqref="H2:I2">
    <cfRule type="expression" dxfId="868" priority="13">
      <formula>Model.Navigation.View=No</formula>
    </cfRule>
  </conditionalFormatting>
  <conditionalFormatting sqref="F2">
    <cfRule type="expression" dxfId="867" priority="10">
      <formula>Model.Navigation.View=No</formula>
    </cfRule>
  </conditionalFormatting>
  <conditionalFormatting sqref="F2">
    <cfRule type="expression" dxfId="866" priority="9">
      <formula>Model.Navigation.View=No</formula>
    </cfRule>
  </conditionalFormatting>
  <conditionalFormatting sqref="K95">
    <cfRule type="cellIs" dxfId="865" priority="7" operator="between">
      <formula>-ErrorTolerance</formula>
      <formula>ErrorTolerance</formula>
    </cfRule>
  </conditionalFormatting>
  <conditionalFormatting sqref="G2">
    <cfRule type="expression" dxfId="864" priority="6">
      <formula>Model.Navigation.View=No</formula>
    </cfRule>
  </conditionalFormatting>
  <conditionalFormatting sqref="G2">
    <cfRule type="expression" dxfId="863" priority="5">
      <formula>Model.Navigation.View=No</formula>
    </cfRule>
  </conditionalFormatting>
  <conditionalFormatting sqref="K98">
    <cfRule type="cellIs" dxfId="862" priority="4" operator="between">
      <formula>-ErrorTolerance</formula>
      <formula>ErrorTolerance</formula>
    </cfRule>
  </conditionalFormatting>
  <conditionalFormatting sqref="J80:J81">
    <cfRule type="cellIs" dxfId="861" priority="3" operator="between">
      <formula>-ErrorTolerance</formula>
      <formula>ErrorTolerance</formula>
    </cfRule>
  </conditionalFormatting>
  <conditionalFormatting sqref="K80:K81">
    <cfRule type="cellIs" dxfId="860" priority="2" operator="between">
      <formula>-ErrorTolerance</formula>
      <formula>ErrorTolerance</formula>
    </cfRule>
  </conditionalFormatting>
  <conditionalFormatting sqref="J93">
    <cfRule type="cellIs" dxfId="859" priority="1" operator="between">
      <formula>-ErrorTolerance</formula>
      <formula>ErrorTolerance</formula>
    </cfRule>
  </conditionalFormatting>
  <hyperlinks>
    <hyperlink ref="F2" location="Modeloverblik!B2" tooltip="Gå til modelbeskrivelse" display="Modeloverblik!B2" xr:uid="{A6CDCD84-F932-4803-A4AE-B3513DF0003E}"/>
    <hyperlink ref="G2" location="Modeloverblik!B11" tooltip="Gå til toppen af arket" display="Modeloverblik!B11" xr:uid="{CCEDFBFA-DA6D-4739-9455-A715AC054D54}"/>
    <hyperlink ref="H2" location="'2.3 Selskabsspecifikke input'!B2" tooltip="Gå til selskabsspecifikke input" display="'2.3 Selskabsspecifikke input'!B2" xr:uid="{95C5800C-9A4E-4709-8202-4EAD3591BC55}"/>
    <hyperlink ref="I2" location="'4.1 Fejl- og kontroloversigt'!B2" tooltip="Gå til fejl- og kontrolchecks" display="'4.1 Fejl- og kontroloversigt'!B2" xr:uid="{630B60B2-D4D4-45A4-9181-5B089356A902}"/>
  </hyperlinks>
  <pageMargins left="0.7" right="0.7" top="0.75" bottom="0.75" header="0.3" footer="0.3"/>
  <pageSetup paperSize="9" scale="33" orientation="portrait"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2E8CD-5FD7-4B26-932C-3F96715BCB6D}">
  <sheetPr codeName="Sheet32">
    <tabColor rgb="FF966432"/>
    <outlinePr summaryBelow="0"/>
    <pageSetUpPr fitToPage="1"/>
  </sheetPr>
  <dimension ref="A1:BV365"/>
  <sheetViews>
    <sheetView showGridLines="0" zoomScale="85" zoomScaleNormal="85" workbookViewId="0">
      <pane xSplit="14" ySplit="10" topLeftCell="O11" activePane="bottomRight" state="frozen"/>
      <selection activeCell="C6" sqref="C6"/>
      <selection pane="topRight" activeCell="C6" sqref="C6"/>
      <selection pane="bottomLeft" activeCell="C6" sqref="C6"/>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16" width="17" style="1" hidden="1" customWidth="1"/>
    <col min="17" max="17" width="18.6640625" style="1" hidden="1" customWidth="1"/>
    <col min="18" max="24" width="18.6640625" style="1" customWidth="1"/>
    <col min="25" max="74" width="16.6640625" style="1" hidden="1" customWidth="1"/>
    <col min="75" max="16384" width="9.1640625" style="1" hidden="1"/>
  </cols>
  <sheetData>
    <row r="1" spans="2:23" ht="4.9000000000000004" customHeight="1"/>
    <row r="2" spans="2:23" ht="19.899999999999999" customHeight="1">
      <c r="B2" s="6" t="str">
        <f ca="1" xml:space="preserve"> MID( CELL("filename", B2), FIND("]", CELL("filename",B2) ) + 1, Model.MaxChars)</f>
        <v>3.4 Tidsdifferentieret tarif</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2:23" ht="15" customHeight="1">
      <c r="B3" s="330" t="str">
        <f xml:space="preserve"> Header.Details</f>
        <v xml:space="preserve">Tarifmodel 3.0 og producentbetaling (V2) </v>
      </c>
      <c r="C3" s="7"/>
      <c r="D3" s="8"/>
      <c r="E3" s="9"/>
      <c r="F3" s="82" t="s">
        <v>2</v>
      </c>
      <c r="G3" s="16"/>
      <c r="H3" s="17"/>
      <c r="I3" s="83"/>
      <c r="J3" s="22"/>
      <c r="K3" s="24"/>
      <c r="L3" s="22"/>
      <c r="M3" s="22"/>
      <c r="N3" s="22"/>
      <c r="O3" s="22"/>
      <c r="P3" s="22"/>
      <c r="Q3" s="22"/>
    </row>
    <row r="4" spans="2:23" ht="15" customHeight="1">
      <c r="F4" s="74" t="s">
        <v>274</v>
      </c>
      <c r="G4" s="2"/>
      <c r="I4" s="25">
        <f xml:space="preserve"> SUM(L:L)</f>
        <v>0</v>
      </c>
    </row>
    <row r="5" spans="2:23" ht="15" customHeight="1">
      <c r="F5" s="74" t="s">
        <v>275</v>
      </c>
      <c r="G5" s="2"/>
      <c r="I5" s="84">
        <f xml:space="preserve"> SUM(M:M)</f>
        <v>0</v>
      </c>
    </row>
    <row r="6" spans="2:23" ht="15" customHeight="1">
      <c r="F6" s="74" t="s">
        <v>276</v>
      </c>
      <c r="G6" s="2"/>
      <c r="I6" s="25">
        <f xml:space="preserve"> SUM( L:L ) + SUM( '1.1 Provenu'!L:L ) + SUM( '1.2 Tarifoversigt'!L:L) + SUM( '1.3 Varslingsanalyse'!L:L) + SUM( '1.4 Hoveddata'!L:L) + SUM('2.1 Model setup'!L:L ) + SUM('2.2 Generelle input'!L:L ) + SUM( '2.3 Selskabsspecifikke input'!L:L) + SUM( '3.1 Opsplitning af forbrug'!L:L) + SUM( '3.2 Abonnement'!L:L) + SUM( '3.3 Forbrugstariffer og effekt'!L:L) + SUM('3.5 Indfødningstarif'!L:L)+ SUM( 'Hjælpeark, forbrugsnøgler'!L:L) + SUM( 'Hjælpeark, fall-back-metoden'!L:L )</f>
        <v>0</v>
      </c>
    </row>
    <row r="7" spans="2:23" ht="15" customHeight="1">
      <c r="F7" s="75" t="s">
        <v>236</v>
      </c>
      <c r="G7" s="26"/>
      <c r="H7" s="27"/>
      <c r="I7" s="329">
        <f xml:space="preserve"> '1.3 Varslingsanalyse'!I7</f>
        <v>0</v>
      </c>
    </row>
    <row r="8" spans="2:23" ht="15" customHeight="1">
      <c r="L8" s="484" t="str">
        <f xml:space="preserve"> Header.Labels</f>
        <v>Checks</v>
      </c>
      <c r="M8" s="484"/>
    </row>
    <row r="9" spans="2:23" ht="5.0999999999999996" customHeight="1">
      <c r="E9" s="14"/>
      <c r="F9" s="28"/>
      <c r="G9" s="28"/>
      <c r="H9" s="28"/>
      <c r="I9" s="28"/>
      <c r="J9" s="28"/>
      <c r="L9" s="485"/>
      <c r="M9" s="473"/>
      <c r="N9" s="28"/>
      <c r="O9" s="28"/>
      <c r="P9" s="28"/>
      <c r="Q9" s="28"/>
    </row>
    <row r="10" spans="2:23"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2:23" s="15" customFormat="1" ht="15" customHeight="1">
      <c r="C11" s="16"/>
      <c r="D11" s="17"/>
      <c r="F11" s="1"/>
      <c r="K11" s="19"/>
    </row>
    <row r="12" spans="2:23" s="475" customFormat="1" ht="15" customHeight="1">
      <c r="B12" s="479" t="str">
        <f xml:space="preserve"> COUNTA(B$10:B11) &amp; ") Tariffer og skaleringsfaktorer"</f>
        <v>1) Tariffer og skaleringsfaktorer</v>
      </c>
      <c r="C12" s="477"/>
      <c r="D12" s="478"/>
      <c r="K12" s="472"/>
    </row>
    <row r="14" spans="2:23" ht="15" customHeight="1">
      <c r="D14" s="35" t="s">
        <v>125</v>
      </c>
      <c r="E14" s="27"/>
      <c r="F14" s="27"/>
      <c r="G14" s="27"/>
      <c r="H14" s="27"/>
      <c r="I14" s="27"/>
      <c r="J14" s="27"/>
      <c r="K14" s="32"/>
      <c r="L14" s="27"/>
      <c r="M14" s="27"/>
      <c r="N14" s="27"/>
      <c r="O14" s="27"/>
      <c r="P14" s="27"/>
      <c r="Q14" s="27"/>
      <c r="R14" s="27"/>
      <c r="S14" s="27"/>
      <c r="T14" s="27"/>
      <c r="U14" s="27"/>
      <c r="V14" s="27"/>
      <c r="W14" s="27"/>
    </row>
    <row r="15" spans="2:23" ht="15" customHeight="1">
      <c r="D15" s="15" t="s">
        <v>126</v>
      </c>
      <c r="E15" s="15"/>
      <c r="F15" s="15"/>
      <c r="G15" s="15"/>
      <c r="H15" s="15"/>
      <c r="I15" s="15"/>
      <c r="J15" s="15"/>
      <c r="K15" s="19" t="s">
        <v>216</v>
      </c>
      <c r="L15" s="15"/>
      <c r="M15" s="15"/>
      <c r="N15" s="15"/>
      <c r="O15" s="274"/>
      <c r="P15" s="274"/>
      <c r="Q15" s="274"/>
      <c r="R15" s="150">
        <f xml:space="preserve"> '3.3 Forbrugstariffer og effekt'!R978</f>
        <v>0</v>
      </c>
      <c r="S15" s="150">
        <f xml:space="preserve"> '3.3 Forbrugstariffer og effekt'!S978</f>
        <v>0</v>
      </c>
      <c r="T15" s="150">
        <f xml:space="preserve"> '3.3 Forbrugstariffer og effekt'!T978</f>
        <v>0</v>
      </c>
      <c r="U15" s="150">
        <f xml:space="preserve"> '3.3 Forbrugstariffer og effekt'!U978</f>
        <v>0</v>
      </c>
      <c r="V15" s="150">
        <f xml:space="preserve"> '3.3 Forbrugstariffer og effekt'!V978</f>
        <v>0</v>
      </c>
      <c r="W15" s="15"/>
    </row>
    <row r="16" spans="2:23" ht="15" customHeight="1">
      <c r="D16" s="27" t="s">
        <v>120</v>
      </c>
      <c r="E16" s="27"/>
      <c r="F16" s="27"/>
      <c r="G16" s="27"/>
      <c r="H16" s="27"/>
      <c r="I16" s="27"/>
      <c r="J16" s="27"/>
      <c r="K16" s="32" t="s">
        <v>216</v>
      </c>
      <c r="L16" s="27"/>
      <c r="M16" s="27"/>
      <c r="N16" s="27"/>
      <c r="O16" s="269"/>
      <c r="P16" s="269"/>
      <c r="Q16" s="269"/>
      <c r="R16" s="131">
        <f xml:space="preserve"> '3.3 Forbrugstariffer og effekt'!R979</f>
        <v>0</v>
      </c>
      <c r="S16" s="131">
        <f xml:space="preserve"> '3.3 Forbrugstariffer og effekt'!S979</f>
        <v>0</v>
      </c>
      <c r="T16" s="131">
        <f xml:space="preserve"> '3.3 Forbrugstariffer og effekt'!T979</f>
        <v>0</v>
      </c>
      <c r="U16" s="131">
        <f xml:space="preserve"> '3.3 Forbrugstariffer og effekt'!U979</f>
        <v>0</v>
      </c>
      <c r="V16" s="131">
        <f xml:space="preserve"> '3.3 Forbrugstariffer og effekt'!V979</f>
        <v>0</v>
      </c>
      <c r="W16" s="27"/>
    </row>
    <row r="17" spans="4:23" ht="15" customHeight="1">
      <c r="D17" s="1"/>
      <c r="R17" s="121"/>
      <c r="S17" s="121"/>
      <c r="T17" s="121"/>
      <c r="U17" s="121"/>
      <c r="V17" s="121"/>
    </row>
    <row r="18" spans="4:23" ht="15" customHeight="1">
      <c r="D18" s="4" t="s">
        <v>302</v>
      </c>
      <c r="W18" s="89" t="s">
        <v>16</v>
      </c>
    </row>
    <row r="19" spans="4:23" ht="15" customHeight="1">
      <c r="D19" s="15" t="s">
        <v>126</v>
      </c>
      <c r="E19" s="15"/>
      <c r="F19" s="15"/>
      <c r="G19" s="15"/>
      <c r="H19" s="15"/>
      <c r="I19" s="15"/>
      <c r="J19" s="15"/>
      <c r="K19" s="19" t="str">
        <f xml:space="preserve"> Model.Units</f>
        <v>DKKt</v>
      </c>
      <c r="L19" s="15"/>
      <c r="M19" s="15"/>
      <c r="N19" s="15"/>
      <c r="O19" s="274"/>
      <c r="P19" s="274"/>
      <c r="Q19" s="274"/>
      <c r="R19" s="15">
        <f xml:space="preserve"> '3.3 Forbrugstariffer og effekt'!R982</f>
        <v>0</v>
      </c>
      <c r="S19" s="15">
        <f xml:space="preserve"> '3.3 Forbrugstariffer og effekt'!S982</f>
        <v>0</v>
      </c>
      <c r="T19" s="15">
        <f xml:space="preserve"> '3.3 Forbrugstariffer og effekt'!T982</f>
        <v>0</v>
      </c>
      <c r="U19" s="15">
        <f xml:space="preserve"> '3.3 Forbrugstariffer og effekt'!U982</f>
        <v>0</v>
      </c>
      <c r="V19" s="15">
        <f xml:space="preserve"> '3.3 Forbrugstariffer og effekt'!V982</f>
        <v>0</v>
      </c>
      <c r="W19" s="18">
        <f xml:space="preserve"> SUM( R19:V19 )</f>
        <v>0</v>
      </c>
    </row>
    <row r="20" spans="4:23" ht="15" customHeight="1">
      <c r="D20" s="27" t="s">
        <v>120</v>
      </c>
      <c r="E20" s="27"/>
      <c r="F20" s="27"/>
      <c r="G20" s="27"/>
      <c r="H20" s="27"/>
      <c r="I20" s="27"/>
      <c r="J20" s="27"/>
      <c r="K20" s="32" t="str">
        <f xml:space="preserve"> Model.Units</f>
        <v>DKKt</v>
      </c>
      <c r="L20" s="27"/>
      <c r="M20" s="27"/>
      <c r="N20" s="27"/>
      <c r="O20" s="269"/>
      <c r="P20" s="269"/>
      <c r="Q20" s="269"/>
      <c r="R20" s="27">
        <f xml:space="preserve"> '3.3 Forbrugstariffer og effekt'!R983</f>
        <v>0</v>
      </c>
      <c r="S20" s="27">
        <f xml:space="preserve"> '3.3 Forbrugstariffer og effekt'!S983</f>
        <v>0</v>
      </c>
      <c r="T20" s="27">
        <f xml:space="preserve"> '3.3 Forbrugstariffer og effekt'!T983</f>
        <v>0</v>
      </c>
      <c r="U20" s="27">
        <f xml:space="preserve"> '3.3 Forbrugstariffer og effekt'!U983</f>
        <v>0</v>
      </c>
      <c r="V20" s="27">
        <f xml:space="preserve"> '3.3 Forbrugstariffer og effekt'!V983</f>
        <v>0</v>
      </c>
      <c r="W20" s="35">
        <f xml:space="preserve"> SUM( R20:V20 )</f>
        <v>0</v>
      </c>
    </row>
    <row r="21" spans="4:23" ht="15" customHeight="1">
      <c r="D21" s="186" t="s">
        <v>16</v>
      </c>
      <c r="E21" s="33"/>
      <c r="F21" s="33"/>
      <c r="G21" s="33"/>
      <c r="H21" s="33"/>
      <c r="I21" s="33"/>
      <c r="J21" s="33"/>
      <c r="K21" s="187" t="str">
        <f xml:space="preserve"> Model.Units</f>
        <v>DKKt</v>
      </c>
      <c r="L21" s="90"/>
      <c r="M21" s="33"/>
      <c r="N21" s="33"/>
      <c r="O21" s="271"/>
      <c r="P21" s="271"/>
      <c r="Q21" s="271"/>
      <c r="R21" s="186">
        <f t="shared" ref="R21:W21" si="0" xml:space="preserve"> SUM( R19:R20 )</f>
        <v>0</v>
      </c>
      <c r="S21" s="186">
        <f t="shared" si="0"/>
        <v>0</v>
      </c>
      <c r="T21" s="186">
        <f t="shared" si="0"/>
        <v>0</v>
      </c>
      <c r="U21" s="186">
        <f t="shared" si="0"/>
        <v>0</v>
      </c>
      <c r="V21" s="186">
        <f t="shared" si="0"/>
        <v>0</v>
      </c>
      <c r="W21" s="186">
        <f t="shared" si="0"/>
        <v>0</v>
      </c>
    </row>
    <row r="23" spans="4:23" ht="15" customHeight="1">
      <c r="D23" s="97" t="s">
        <v>198</v>
      </c>
      <c r="E23" s="27"/>
      <c r="F23" s="86"/>
      <c r="G23" s="86"/>
      <c r="H23" s="86"/>
      <c r="I23" s="86"/>
      <c r="J23" s="86"/>
      <c r="K23" s="87"/>
      <c r="L23" s="99"/>
      <c r="M23" s="99"/>
      <c r="N23" s="156"/>
      <c r="O23" s="86"/>
      <c r="P23" s="86"/>
      <c r="Q23" s="86"/>
    </row>
    <row r="24" spans="4:23" ht="15" customHeight="1">
      <c r="D24" s="124" t="s">
        <v>182</v>
      </c>
      <c r="E24" s="15"/>
      <c r="F24" s="155"/>
      <c r="G24" s="155"/>
      <c r="H24" s="155"/>
      <c r="I24" s="155"/>
      <c r="J24" s="155"/>
      <c r="K24" s="117" t="s">
        <v>4</v>
      </c>
      <c r="L24" s="123"/>
      <c r="M24" s="123"/>
      <c r="N24" s="155"/>
      <c r="O24" s="404"/>
      <c r="P24" s="404"/>
      <c r="Q24" s="404"/>
      <c r="R24" s="180">
        <f xml:space="preserve"> '2.2 Generelle input'!R350</f>
        <v>0.5</v>
      </c>
      <c r="S24" s="180">
        <f xml:space="preserve"> '2.2 Generelle input'!S350</f>
        <v>0.33333333333333331</v>
      </c>
      <c r="T24" s="180">
        <f xml:space="preserve"> '2.2 Generelle input'!T350</f>
        <v>0.33333333333333331</v>
      </c>
      <c r="U24" s="180">
        <f xml:space="preserve"> '2.2 Generelle input'!U350</f>
        <v>0.33333333333333331</v>
      </c>
      <c r="V24" s="180">
        <f xml:space="preserve"> '2.2 Generelle input'!V350</f>
        <v>0.33333333333333331</v>
      </c>
      <c r="W24" s="15"/>
    </row>
    <row r="25" spans="4:23" ht="15" customHeight="1">
      <c r="D25" s="124" t="s">
        <v>184</v>
      </c>
      <c r="F25" s="86"/>
      <c r="G25" s="86"/>
      <c r="H25" s="86"/>
      <c r="I25" s="86"/>
      <c r="J25" s="86"/>
      <c r="K25" s="87" t="s">
        <v>4</v>
      </c>
      <c r="L25" s="85"/>
      <c r="M25" s="85"/>
      <c r="N25" s="86"/>
      <c r="O25" s="405"/>
      <c r="P25" s="405"/>
      <c r="Q25" s="405"/>
      <c r="R25" s="181">
        <f xml:space="preserve"> '2.2 Generelle input'!R351</f>
        <v>1</v>
      </c>
      <c r="S25" s="181">
        <f xml:space="preserve"> '2.2 Generelle input'!S351</f>
        <v>1</v>
      </c>
      <c r="T25" s="181">
        <f xml:space="preserve"> '2.2 Generelle input'!T351</f>
        <v>1</v>
      </c>
      <c r="U25" s="181">
        <f xml:space="preserve"> '2.2 Generelle input'!U351</f>
        <v>1</v>
      </c>
      <c r="V25" s="181">
        <f xml:space="preserve"> '2.2 Generelle input'!V351</f>
        <v>1</v>
      </c>
    </row>
    <row r="26" spans="4:23" ht="15" customHeight="1">
      <c r="D26" s="125" t="s">
        <v>185</v>
      </c>
      <c r="E26" s="27"/>
      <c r="F26" s="156"/>
      <c r="G26" s="156"/>
      <c r="H26" s="156"/>
      <c r="I26" s="156"/>
      <c r="J26" s="156"/>
      <c r="K26" s="98" t="s">
        <v>4</v>
      </c>
      <c r="L26" s="99"/>
      <c r="M26" s="99"/>
      <c r="N26" s="156"/>
      <c r="O26" s="406"/>
      <c r="P26" s="406"/>
      <c r="Q26" s="406"/>
      <c r="R26" s="182">
        <f xml:space="preserve"> '2.2 Generelle input'!R352</f>
        <v>2</v>
      </c>
      <c r="S26" s="182">
        <f xml:space="preserve"> '2.2 Generelle input'!S352</f>
        <v>2</v>
      </c>
      <c r="T26" s="182">
        <f xml:space="preserve"> '2.2 Generelle input'!T352</f>
        <v>2</v>
      </c>
      <c r="U26" s="182">
        <f xml:space="preserve"> '2.2 Generelle input'!U352</f>
        <v>2</v>
      </c>
      <c r="V26" s="182">
        <f xml:space="preserve"> '2.2 Generelle input'!V352</f>
        <v>3</v>
      </c>
      <c r="W26" s="27"/>
    </row>
    <row r="28" spans="4:23" ht="15" customHeight="1">
      <c r="D28" s="97" t="s">
        <v>199</v>
      </c>
      <c r="E28" s="27"/>
      <c r="F28" s="86"/>
      <c r="G28" s="86"/>
      <c r="H28" s="86"/>
      <c r="I28" s="86"/>
      <c r="J28" s="86"/>
      <c r="K28" s="87"/>
      <c r="L28" s="99"/>
      <c r="M28" s="99"/>
      <c r="N28" s="156"/>
      <c r="O28" s="86"/>
      <c r="P28" s="86"/>
      <c r="Q28" s="86"/>
    </row>
    <row r="29" spans="4:23" ht="15" customHeight="1">
      <c r="D29" s="124" t="s">
        <v>182</v>
      </c>
      <c r="E29" s="15"/>
      <c r="F29" s="155"/>
      <c r="G29" s="155"/>
      <c r="H29" s="155"/>
      <c r="I29" s="155"/>
      <c r="J29" s="155"/>
      <c r="K29" s="117" t="s">
        <v>4</v>
      </c>
      <c r="L29" s="123"/>
      <c r="M29" s="123"/>
      <c r="N29" s="155"/>
      <c r="O29" s="404"/>
      <c r="P29" s="404"/>
      <c r="Q29" s="404"/>
      <c r="R29" s="180">
        <f xml:space="preserve"> '2.2 Generelle input'!R355</f>
        <v>0.5</v>
      </c>
      <c r="S29" s="180">
        <f xml:space="preserve"> '2.2 Generelle input'!S355</f>
        <v>0.33333333333333331</v>
      </c>
      <c r="T29" s="180">
        <f xml:space="preserve"> '2.2 Generelle input'!T355</f>
        <v>0.33333333333333331</v>
      </c>
      <c r="U29" s="180">
        <f xml:space="preserve"> '2.2 Generelle input'!U355</f>
        <v>0.33333333333333331</v>
      </c>
      <c r="V29" s="180">
        <f xml:space="preserve"> '2.2 Generelle input'!V355</f>
        <v>0.33333333333333331</v>
      </c>
      <c r="W29" s="15"/>
    </row>
    <row r="30" spans="4:23" ht="15" customHeight="1">
      <c r="D30" s="124" t="s">
        <v>184</v>
      </c>
      <c r="F30" s="86"/>
      <c r="G30" s="86"/>
      <c r="H30" s="86"/>
      <c r="I30" s="86"/>
      <c r="J30" s="86"/>
      <c r="K30" s="87" t="s">
        <v>4</v>
      </c>
      <c r="L30" s="85"/>
      <c r="M30" s="85"/>
      <c r="N30" s="86"/>
      <c r="O30" s="405"/>
      <c r="P30" s="405"/>
      <c r="Q30" s="405"/>
      <c r="R30" s="181">
        <f xml:space="preserve"> '2.2 Generelle input'!R356</f>
        <v>1</v>
      </c>
      <c r="S30" s="181">
        <f xml:space="preserve"> '2.2 Generelle input'!S356</f>
        <v>1</v>
      </c>
      <c r="T30" s="181">
        <f xml:space="preserve"> '2.2 Generelle input'!T356</f>
        <v>1</v>
      </c>
      <c r="U30" s="181">
        <f xml:space="preserve"> '2.2 Generelle input'!U356</f>
        <v>1</v>
      </c>
      <c r="V30" s="181">
        <f xml:space="preserve"> '2.2 Generelle input'!V356</f>
        <v>0.5</v>
      </c>
    </row>
    <row r="31" spans="4:23" ht="15" customHeight="1">
      <c r="D31" s="125" t="s">
        <v>185</v>
      </c>
      <c r="E31" s="27"/>
      <c r="F31" s="156"/>
      <c r="G31" s="156"/>
      <c r="H31" s="156"/>
      <c r="I31" s="156"/>
      <c r="J31" s="156"/>
      <c r="K31" s="98" t="s">
        <v>4</v>
      </c>
      <c r="L31" s="99"/>
      <c r="M31" s="99"/>
      <c r="N31" s="156"/>
      <c r="O31" s="406"/>
      <c r="P31" s="406"/>
      <c r="Q31" s="406"/>
      <c r="R31" s="182">
        <f xml:space="preserve"> '2.2 Generelle input'!R357</f>
        <v>2</v>
      </c>
      <c r="S31" s="182">
        <f xml:space="preserve"> '2.2 Generelle input'!S357</f>
        <v>2</v>
      </c>
      <c r="T31" s="182">
        <f xml:space="preserve"> '2.2 Generelle input'!T357</f>
        <v>2</v>
      </c>
      <c r="U31" s="182">
        <f xml:space="preserve"> '2.2 Generelle input'!U357</f>
        <v>2</v>
      </c>
      <c r="V31" s="182">
        <f xml:space="preserve"> '2.2 Generelle input'!V357</f>
        <v>1.3</v>
      </c>
      <c r="W31" s="27"/>
    </row>
    <row r="35" spans="2:22" s="475" customFormat="1" ht="15" customHeight="1">
      <c r="B35" s="479" t="str">
        <f xml:space="preserve"> COUNTA(B$10:B27) &amp; ") Lastperioder"</f>
        <v>2) Lastperioder</v>
      </c>
      <c r="C35" s="477"/>
      <c r="D35" s="478"/>
      <c r="K35" s="472"/>
    </row>
    <row r="37" spans="2:22" ht="15" customHeight="1">
      <c r="D37" s="88" t="s">
        <v>178</v>
      </c>
    </row>
    <row r="38" spans="2:22" ht="15" customHeight="1">
      <c r="D38" s="122" t="s">
        <v>152</v>
      </c>
      <c r="E38" s="15"/>
      <c r="F38" s="15"/>
      <c r="G38" s="15"/>
      <c r="H38" s="15"/>
      <c r="I38" s="15"/>
      <c r="J38" s="15"/>
      <c r="K38" s="117" t="s">
        <v>41</v>
      </c>
      <c r="L38" s="15"/>
      <c r="M38" s="15"/>
      <c r="N38" s="15"/>
      <c r="O38" s="274"/>
      <c r="P38" s="274"/>
      <c r="Q38" s="274"/>
      <c r="R38" s="193" t="str">
        <f xml:space="preserve"> '2.2 Generelle input'!R360</f>
        <v>Lavlast</v>
      </c>
      <c r="S38" s="193" t="str">
        <f xml:space="preserve"> '2.2 Generelle input'!S360</f>
        <v>Lavlast</v>
      </c>
      <c r="T38" s="193" t="str">
        <f xml:space="preserve"> '2.2 Generelle input'!T360</f>
        <v>Lavlast</v>
      </c>
      <c r="U38" s="193" t="str">
        <f xml:space="preserve"> '2.2 Generelle input'!U360</f>
        <v>Lavlast</v>
      </c>
      <c r="V38" s="193" t="str">
        <f xml:space="preserve"> '2.2 Generelle input'!V360</f>
        <v>Lavlast</v>
      </c>
    </row>
    <row r="39" spans="2:22" ht="15" customHeight="1">
      <c r="D39" s="124" t="s">
        <v>153</v>
      </c>
      <c r="K39" s="87" t="s">
        <v>41</v>
      </c>
      <c r="O39" s="202"/>
      <c r="P39" s="202"/>
      <c r="Q39" s="202"/>
      <c r="R39" s="194" t="str">
        <f xml:space="preserve"> '2.2 Generelle input'!R361</f>
        <v>Lavlast</v>
      </c>
      <c r="S39" s="194" t="str">
        <f xml:space="preserve"> '2.2 Generelle input'!S361</f>
        <v>Lavlast</v>
      </c>
      <c r="T39" s="194" t="str">
        <f xml:space="preserve"> '2.2 Generelle input'!T361</f>
        <v>Lavlast</v>
      </c>
      <c r="U39" s="194" t="str">
        <f xml:space="preserve"> '2.2 Generelle input'!U361</f>
        <v>Lavlast</v>
      </c>
      <c r="V39" s="194" t="str">
        <f xml:space="preserve"> '2.2 Generelle input'!V361</f>
        <v>Lavlast</v>
      </c>
    </row>
    <row r="40" spans="2:22" ht="15" customHeight="1">
      <c r="D40" s="124" t="s">
        <v>154</v>
      </c>
      <c r="K40" s="87" t="s">
        <v>41</v>
      </c>
      <c r="O40" s="202"/>
      <c r="P40" s="202"/>
      <c r="Q40" s="202"/>
      <c r="R40" s="194" t="str">
        <f xml:space="preserve"> '2.2 Generelle input'!R362</f>
        <v>Lavlast</v>
      </c>
      <c r="S40" s="194" t="str">
        <f xml:space="preserve"> '2.2 Generelle input'!S362</f>
        <v>Lavlast</v>
      </c>
      <c r="T40" s="194" t="str">
        <f xml:space="preserve"> '2.2 Generelle input'!T362</f>
        <v>Lavlast</v>
      </c>
      <c r="U40" s="194" t="str">
        <f xml:space="preserve"> '2.2 Generelle input'!U362</f>
        <v>Lavlast</v>
      </c>
      <c r="V40" s="194" t="str">
        <f xml:space="preserve"> '2.2 Generelle input'!V362</f>
        <v>Lavlast</v>
      </c>
    </row>
    <row r="41" spans="2:22" ht="15" customHeight="1">
      <c r="D41" s="124" t="s">
        <v>155</v>
      </c>
      <c r="K41" s="87" t="s">
        <v>41</v>
      </c>
      <c r="O41" s="202"/>
      <c r="P41" s="202"/>
      <c r="Q41" s="202"/>
      <c r="R41" s="194" t="str">
        <f xml:space="preserve"> '2.2 Generelle input'!R363</f>
        <v>Lavlast</v>
      </c>
      <c r="S41" s="194" t="str">
        <f xml:space="preserve"> '2.2 Generelle input'!S363</f>
        <v>Lavlast</v>
      </c>
      <c r="T41" s="194" t="str">
        <f xml:space="preserve"> '2.2 Generelle input'!T363</f>
        <v>Lavlast</v>
      </c>
      <c r="U41" s="194" t="str">
        <f xml:space="preserve"> '2.2 Generelle input'!U363</f>
        <v>Lavlast</v>
      </c>
      <c r="V41" s="194" t="str">
        <f xml:space="preserve"> '2.2 Generelle input'!V363</f>
        <v>Lavlast</v>
      </c>
    </row>
    <row r="42" spans="2:22" ht="15" customHeight="1">
      <c r="D42" s="124" t="s">
        <v>156</v>
      </c>
      <c r="K42" s="87" t="s">
        <v>41</v>
      </c>
      <c r="O42" s="202"/>
      <c r="P42" s="202"/>
      <c r="Q42" s="202"/>
      <c r="R42" s="194" t="str">
        <f xml:space="preserve"> '2.2 Generelle input'!R364</f>
        <v>Lavlast</v>
      </c>
      <c r="S42" s="194" t="str">
        <f xml:space="preserve"> '2.2 Generelle input'!S364</f>
        <v>Lavlast</v>
      </c>
      <c r="T42" s="194" t="str">
        <f xml:space="preserve"> '2.2 Generelle input'!T364</f>
        <v>Lavlast</v>
      </c>
      <c r="U42" s="194" t="str">
        <f xml:space="preserve"> '2.2 Generelle input'!U364</f>
        <v>Lavlast</v>
      </c>
      <c r="V42" s="194" t="str">
        <f xml:space="preserve"> '2.2 Generelle input'!V364</f>
        <v>Lavlast</v>
      </c>
    </row>
    <row r="43" spans="2:22" ht="15" customHeight="1">
      <c r="D43" s="124" t="s">
        <v>157</v>
      </c>
      <c r="K43" s="87" t="s">
        <v>41</v>
      </c>
      <c r="O43" s="202"/>
      <c r="P43" s="202"/>
      <c r="Q43" s="202"/>
      <c r="R43" s="194" t="str">
        <f xml:space="preserve"> '2.2 Generelle input'!R365</f>
        <v>Lavlast</v>
      </c>
      <c r="S43" s="194" t="str">
        <f xml:space="preserve"> '2.2 Generelle input'!S365</f>
        <v>Lavlast</v>
      </c>
      <c r="T43" s="194" t="str">
        <f xml:space="preserve"> '2.2 Generelle input'!T365</f>
        <v>Lavlast</v>
      </c>
      <c r="U43" s="194" t="str">
        <f xml:space="preserve"> '2.2 Generelle input'!U365</f>
        <v>Lavlast</v>
      </c>
      <c r="V43" s="194" t="str">
        <f xml:space="preserve"> '2.2 Generelle input'!V365</f>
        <v>Lavlast</v>
      </c>
    </row>
    <row r="44" spans="2:22" ht="15" customHeight="1">
      <c r="D44" s="124" t="s">
        <v>158</v>
      </c>
      <c r="K44" s="87" t="s">
        <v>41</v>
      </c>
      <c r="O44" s="202"/>
      <c r="P44" s="202"/>
      <c r="Q44" s="202"/>
      <c r="R44" s="194" t="str">
        <f xml:space="preserve"> '2.2 Generelle input'!R366</f>
        <v>Spidslast</v>
      </c>
      <c r="S44" s="194" t="str">
        <f xml:space="preserve"> '2.2 Generelle input'!S366</f>
        <v>Spidslast</v>
      </c>
      <c r="T44" s="194" t="str">
        <f xml:space="preserve"> '2.2 Generelle input'!T366</f>
        <v>Spidslast</v>
      </c>
      <c r="U44" s="194" t="str">
        <f xml:space="preserve"> '2.2 Generelle input'!U366</f>
        <v>Spidslast</v>
      </c>
      <c r="V44" s="194" t="str">
        <f xml:space="preserve"> '2.2 Generelle input'!V366</f>
        <v>Højlast</v>
      </c>
    </row>
    <row r="45" spans="2:22" ht="15" customHeight="1">
      <c r="D45" s="124" t="s">
        <v>159</v>
      </c>
      <c r="K45" s="87" t="s">
        <v>41</v>
      </c>
      <c r="O45" s="202"/>
      <c r="P45" s="202"/>
      <c r="Q45" s="202"/>
      <c r="R45" s="194" t="str">
        <f xml:space="preserve"> '2.2 Generelle input'!R367</f>
        <v>Spidslast</v>
      </c>
      <c r="S45" s="194" t="str">
        <f xml:space="preserve"> '2.2 Generelle input'!S367</f>
        <v>Spidslast</v>
      </c>
      <c r="T45" s="194" t="str">
        <f xml:space="preserve"> '2.2 Generelle input'!T367</f>
        <v>Spidslast</v>
      </c>
      <c r="U45" s="194" t="str">
        <f xml:space="preserve"> '2.2 Generelle input'!U367</f>
        <v>Spidslast</v>
      </c>
      <c r="V45" s="194" t="str">
        <f xml:space="preserve"> '2.2 Generelle input'!V367</f>
        <v>Højlast</v>
      </c>
    </row>
    <row r="46" spans="2:22" ht="15" customHeight="1">
      <c r="D46" s="124" t="s">
        <v>160</v>
      </c>
      <c r="K46" s="87" t="s">
        <v>41</v>
      </c>
      <c r="O46" s="202"/>
      <c r="P46" s="202"/>
      <c r="Q46" s="202"/>
      <c r="R46" s="194" t="str">
        <f xml:space="preserve"> '2.2 Generelle input'!R368</f>
        <v>Spidslast</v>
      </c>
      <c r="S46" s="194" t="str">
        <f xml:space="preserve"> '2.2 Generelle input'!S368</f>
        <v>Spidslast</v>
      </c>
      <c r="T46" s="194" t="str">
        <f xml:space="preserve"> '2.2 Generelle input'!T368</f>
        <v>Spidslast</v>
      </c>
      <c r="U46" s="194" t="str">
        <f xml:space="preserve"> '2.2 Generelle input'!U368</f>
        <v>Spidslast</v>
      </c>
      <c r="V46" s="194" t="str">
        <f xml:space="preserve"> '2.2 Generelle input'!V368</f>
        <v>Højlast</v>
      </c>
    </row>
    <row r="47" spans="2:22" ht="15" customHeight="1">
      <c r="D47" s="124" t="s">
        <v>161</v>
      </c>
      <c r="K47" s="87" t="s">
        <v>41</v>
      </c>
      <c r="O47" s="202"/>
      <c r="P47" s="202"/>
      <c r="Q47" s="202"/>
      <c r="R47" s="194" t="str">
        <f xml:space="preserve"> '2.2 Generelle input'!R369</f>
        <v>Spidslast</v>
      </c>
      <c r="S47" s="194" t="str">
        <f xml:space="preserve"> '2.2 Generelle input'!S369</f>
        <v>Spidslast</v>
      </c>
      <c r="T47" s="194" t="str">
        <f xml:space="preserve"> '2.2 Generelle input'!T369</f>
        <v>Spidslast</v>
      </c>
      <c r="U47" s="194" t="str">
        <f xml:space="preserve"> '2.2 Generelle input'!U369</f>
        <v>Spidslast</v>
      </c>
      <c r="V47" s="194" t="str">
        <f xml:space="preserve"> '2.2 Generelle input'!V369</f>
        <v>Højlast</v>
      </c>
    </row>
    <row r="48" spans="2:22" ht="15" customHeight="1">
      <c r="D48" s="124" t="s">
        <v>162</v>
      </c>
      <c r="K48" s="87" t="s">
        <v>41</v>
      </c>
      <c r="O48" s="202"/>
      <c r="P48" s="202"/>
      <c r="Q48" s="202"/>
      <c r="R48" s="194" t="str">
        <f xml:space="preserve"> '2.2 Generelle input'!R370</f>
        <v>Spidslast</v>
      </c>
      <c r="S48" s="194" t="str">
        <f xml:space="preserve"> '2.2 Generelle input'!S370</f>
        <v>Spidslast</v>
      </c>
      <c r="T48" s="194" t="str">
        <f xml:space="preserve"> '2.2 Generelle input'!T370</f>
        <v>Spidslast</v>
      </c>
      <c r="U48" s="194" t="str">
        <f xml:space="preserve"> '2.2 Generelle input'!U370</f>
        <v>Spidslast</v>
      </c>
      <c r="V48" s="194" t="str">
        <f xml:space="preserve"> '2.2 Generelle input'!V370</f>
        <v>Højlast</v>
      </c>
    </row>
    <row r="49" spans="4:22" ht="15" customHeight="1">
      <c r="D49" s="124" t="s">
        <v>163</v>
      </c>
      <c r="K49" s="87" t="s">
        <v>41</v>
      </c>
      <c r="O49" s="202"/>
      <c r="P49" s="202"/>
      <c r="Q49" s="202"/>
      <c r="R49" s="194" t="str">
        <f xml:space="preserve"> '2.2 Generelle input'!R371</f>
        <v>Spidslast</v>
      </c>
      <c r="S49" s="194" t="str">
        <f xml:space="preserve"> '2.2 Generelle input'!S371</f>
        <v>Spidslast</v>
      </c>
      <c r="T49" s="194" t="str">
        <f xml:space="preserve"> '2.2 Generelle input'!T371</f>
        <v>Spidslast</v>
      </c>
      <c r="U49" s="194" t="str">
        <f xml:space="preserve"> '2.2 Generelle input'!U371</f>
        <v>Spidslast</v>
      </c>
      <c r="V49" s="194" t="str">
        <f xml:space="preserve"> '2.2 Generelle input'!V371</f>
        <v>Højlast</v>
      </c>
    </row>
    <row r="50" spans="4:22" ht="15" customHeight="1">
      <c r="D50" s="124" t="s">
        <v>164</v>
      </c>
      <c r="K50" s="87" t="s">
        <v>41</v>
      </c>
      <c r="O50" s="202"/>
      <c r="P50" s="202"/>
      <c r="Q50" s="202"/>
      <c r="R50" s="194" t="str">
        <f xml:space="preserve"> '2.2 Generelle input'!R372</f>
        <v>Spidslast</v>
      </c>
      <c r="S50" s="194" t="str">
        <f xml:space="preserve"> '2.2 Generelle input'!S372</f>
        <v>Spidslast</v>
      </c>
      <c r="T50" s="194" t="str">
        <f xml:space="preserve"> '2.2 Generelle input'!T372</f>
        <v>Spidslast</v>
      </c>
      <c r="U50" s="194" t="str">
        <f xml:space="preserve"> '2.2 Generelle input'!U372</f>
        <v>Spidslast</v>
      </c>
      <c r="V50" s="194" t="str">
        <f xml:space="preserve"> '2.2 Generelle input'!V372</f>
        <v>Højlast</v>
      </c>
    </row>
    <row r="51" spans="4:22" ht="15" customHeight="1">
      <c r="D51" s="124" t="s">
        <v>165</v>
      </c>
      <c r="K51" s="87" t="s">
        <v>41</v>
      </c>
      <c r="O51" s="202"/>
      <c r="P51" s="202"/>
      <c r="Q51" s="202"/>
      <c r="R51" s="194" t="str">
        <f xml:space="preserve"> '2.2 Generelle input'!R373</f>
        <v>Spidslast</v>
      </c>
      <c r="S51" s="194" t="str">
        <f xml:space="preserve"> '2.2 Generelle input'!S373</f>
        <v>Spidslast</v>
      </c>
      <c r="T51" s="194" t="str">
        <f xml:space="preserve"> '2.2 Generelle input'!T373</f>
        <v>Spidslast</v>
      </c>
      <c r="U51" s="194" t="str">
        <f xml:space="preserve"> '2.2 Generelle input'!U373</f>
        <v>Spidslast</v>
      </c>
      <c r="V51" s="194" t="str">
        <f xml:space="preserve"> '2.2 Generelle input'!V373</f>
        <v>Højlast</v>
      </c>
    </row>
    <row r="52" spans="4:22" ht="15" customHeight="1">
      <c r="D52" s="124" t="s">
        <v>166</v>
      </c>
      <c r="K52" s="87" t="s">
        <v>41</v>
      </c>
      <c r="O52" s="202"/>
      <c r="P52" s="202"/>
      <c r="Q52" s="202"/>
      <c r="R52" s="194" t="str">
        <f xml:space="preserve"> '2.2 Generelle input'!R374</f>
        <v>Spidslast</v>
      </c>
      <c r="S52" s="194" t="str">
        <f xml:space="preserve"> '2.2 Generelle input'!S374</f>
        <v>Spidslast</v>
      </c>
      <c r="T52" s="194" t="str">
        <f xml:space="preserve"> '2.2 Generelle input'!T374</f>
        <v>Spidslast</v>
      </c>
      <c r="U52" s="194" t="str">
        <f xml:space="preserve"> '2.2 Generelle input'!U374</f>
        <v>Spidslast</v>
      </c>
      <c r="V52" s="194" t="str">
        <f xml:space="preserve"> '2.2 Generelle input'!V374</f>
        <v>Højlast</v>
      </c>
    </row>
    <row r="53" spans="4:22" ht="15" customHeight="1">
      <c r="D53" s="124" t="s">
        <v>167</v>
      </c>
      <c r="K53" s="87" t="s">
        <v>41</v>
      </c>
      <c r="O53" s="202"/>
      <c r="P53" s="202"/>
      <c r="Q53" s="202"/>
      <c r="R53" s="194" t="str">
        <f xml:space="preserve"> '2.2 Generelle input'!R375</f>
        <v>Spidslast</v>
      </c>
      <c r="S53" s="194" t="str">
        <f xml:space="preserve"> '2.2 Generelle input'!S375</f>
        <v>Spidslast</v>
      </c>
      <c r="T53" s="194" t="str">
        <f xml:space="preserve"> '2.2 Generelle input'!T375</f>
        <v>Spidslast</v>
      </c>
      <c r="U53" s="194" t="str">
        <f xml:space="preserve"> '2.2 Generelle input'!U375</f>
        <v>Spidslast</v>
      </c>
      <c r="V53" s="194" t="str">
        <f xml:space="preserve"> '2.2 Generelle input'!V375</f>
        <v>Højlast</v>
      </c>
    </row>
    <row r="54" spans="4:22" ht="15" customHeight="1">
      <c r="D54" s="124" t="s">
        <v>168</v>
      </c>
      <c r="K54" s="87" t="s">
        <v>41</v>
      </c>
      <c r="O54" s="202"/>
      <c r="P54" s="202"/>
      <c r="Q54" s="202"/>
      <c r="R54" s="194" t="str">
        <f xml:space="preserve"> '2.2 Generelle input'!R376</f>
        <v>Spidslast</v>
      </c>
      <c r="S54" s="194" t="str">
        <f xml:space="preserve"> '2.2 Generelle input'!S376</f>
        <v>Spidslast</v>
      </c>
      <c r="T54" s="194" t="str">
        <f xml:space="preserve"> '2.2 Generelle input'!T376</f>
        <v>Spidslast</v>
      </c>
      <c r="U54" s="194" t="str">
        <f xml:space="preserve"> '2.2 Generelle input'!U376</f>
        <v>Spidslast</v>
      </c>
      <c r="V54" s="194" t="str">
        <f xml:space="preserve"> '2.2 Generelle input'!V376</f>
        <v>Højlast</v>
      </c>
    </row>
    <row r="55" spans="4:22" ht="15" customHeight="1">
      <c r="D55" s="124" t="s">
        <v>169</v>
      </c>
      <c r="K55" s="87" t="s">
        <v>41</v>
      </c>
      <c r="O55" s="202"/>
      <c r="P55" s="202"/>
      <c r="Q55" s="202"/>
      <c r="R55" s="194" t="str">
        <f xml:space="preserve"> '2.2 Generelle input'!R377</f>
        <v>Spidslast</v>
      </c>
      <c r="S55" s="194" t="str">
        <f xml:space="preserve"> '2.2 Generelle input'!S377</f>
        <v>Spidslast</v>
      </c>
      <c r="T55" s="194" t="str">
        <f xml:space="preserve"> '2.2 Generelle input'!T377</f>
        <v>Spidslast</v>
      </c>
      <c r="U55" s="194" t="str">
        <f xml:space="preserve"> '2.2 Generelle input'!U377</f>
        <v>Spidslast</v>
      </c>
      <c r="V55" s="194" t="str">
        <f xml:space="preserve"> '2.2 Generelle input'!V377</f>
        <v>Spidslast</v>
      </c>
    </row>
    <row r="56" spans="4:22" ht="15" customHeight="1">
      <c r="D56" s="124" t="s">
        <v>170</v>
      </c>
      <c r="K56" s="87" t="s">
        <v>41</v>
      </c>
      <c r="O56" s="202"/>
      <c r="P56" s="202"/>
      <c r="Q56" s="202"/>
      <c r="R56" s="194" t="str">
        <f xml:space="preserve"> '2.2 Generelle input'!R378</f>
        <v>Spidslast</v>
      </c>
      <c r="S56" s="194" t="str">
        <f xml:space="preserve"> '2.2 Generelle input'!S378</f>
        <v>Spidslast</v>
      </c>
      <c r="T56" s="194" t="str">
        <f xml:space="preserve"> '2.2 Generelle input'!T378</f>
        <v>Spidslast</v>
      </c>
      <c r="U56" s="194" t="str">
        <f xml:space="preserve"> '2.2 Generelle input'!U378</f>
        <v>Spidslast</v>
      </c>
      <c r="V56" s="194" t="str">
        <f xml:space="preserve"> '2.2 Generelle input'!V378</f>
        <v>Spidslast</v>
      </c>
    </row>
    <row r="57" spans="4:22" ht="15" customHeight="1">
      <c r="D57" s="124" t="s">
        <v>171</v>
      </c>
      <c r="K57" s="87" t="s">
        <v>41</v>
      </c>
      <c r="O57" s="202"/>
      <c r="P57" s="202"/>
      <c r="Q57" s="202"/>
      <c r="R57" s="194" t="str">
        <f xml:space="preserve"> '2.2 Generelle input'!R379</f>
        <v>Spidslast</v>
      </c>
      <c r="S57" s="194" t="str">
        <f xml:space="preserve"> '2.2 Generelle input'!S379</f>
        <v>Spidslast</v>
      </c>
      <c r="T57" s="194" t="str">
        <f xml:space="preserve"> '2.2 Generelle input'!T379</f>
        <v>Spidslast</v>
      </c>
      <c r="U57" s="194" t="str">
        <f xml:space="preserve"> '2.2 Generelle input'!U379</f>
        <v>Spidslast</v>
      </c>
      <c r="V57" s="194" t="str">
        <f xml:space="preserve"> '2.2 Generelle input'!V379</f>
        <v>Spidslast</v>
      </c>
    </row>
    <row r="58" spans="4:22" ht="15" customHeight="1">
      <c r="D58" s="124" t="s">
        <v>172</v>
      </c>
      <c r="K58" s="87" t="s">
        <v>41</v>
      </c>
      <c r="O58" s="202"/>
      <c r="P58" s="202"/>
      <c r="Q58" s="202"/>
      <c r="R58" s="194" t="str">
        <f xml:space="preserve"> '2.2 Generelle input'!R380</f>
        <v>Spidslast</v>
      </c>
      <c r="S58" s="194" t="str">
        <f xml:space="preserve"> '2.2 Generelle input'!S380</f>
        <v>Spidslast</v>
      </c>
      <c r="T58" s="194" t="str">
        <f xml:space="preserve"> '2.2 Generelle input'!T380</f>
        <v>Spidslast</v>
      </c>
      <c r="U58" s="194" t="str">
        <f xml:space="preserve"> '2.2 Generelle input'!U380</f>
        <v>Spidslast</v>
      </c>
      <c r="V58" s="194" t="str">
        <f xml:space="preserve"> '2.2 Generelle input'!V380</f>
        <v>Spidslast</v>
      </c>
    </row>
    <row r="59" spans="4:22" ht="15" customHeight="1">
      <c r="D59" s="124" t="s">
        <v>173</v>
      </c>
      <c r="K59" s="87" t="s">
        <v>41</v>
      </c>
      <c r="O59" s="202"/>
      <c r="P59" s="202"/>
      <c r="Q59" s="202"/>
      <c r="R59" s="194" t="str">
        <f xml:space="preserve"> '2.2 Generelle input'!R381</f>
        <v>Højlast</v>
      </c>
      <c r="S59" s="194" t="str">
        <f xml:space="preserve"> '2.2 Generelle input'!S381</f>
        <v>Højlast</v>
      </c>
      <c r="T59" s="194" t="str">
        <f xml:space="preserve"> '2.2 Generelle input'!T381</f>
        <v>Højlast</v>
      </c>
      <c r="U59" s="194" t="str">
        <f xml:space="preserve"> '2.2 Generelle input'!U381</f>
        <v>Højlast</v>
      </c>
      <c r="V59" s="194" t="str">
        <f xml:space="preserve"> '2.2 Generelle input'!V381</f>
        <v>Højlast</v>
      </c>
    </row>
    <row r="60" spans="4:22" ht="15" customHeight="1">
      <c r="D60" s="124" t="s">
        <v>174</v>
      </c>
      <c r="K60" s="87" t="s">
        <v>41</v>
      </c>
      <c r="O60" s="202"/>
      <c r="P60" s="202"/>
      <c r="Q60" s="202"/>
      <c r="R60" s="194" t="str">
        <f xml:space="preserve"> '2.2 Generelle input'!R382</f>
        <v>Højlast</v>
      </c>
      <c r="S60" s="194" t="str">
        <f xml:space="preserve"> '2.2 Generelle input'!S382</f>
        <v>Højlast</v>
      </c>
      <c r="T60" s="194" t="str">
        <f xml:space="preserve"> '2.2 Generelle input'!T382</f>
        <v>Højlast</v>
      </c>
      <c r="U60" s="194" t="str">
        <f xml:space="preserve"> '2.2 Generelle input'!U382</f>
        <v>Højlast</v>
      </c>
      <c r="V60" s="194" t="str">
        <f xml:space="preserve"> '2.2 Generelle input'!V382</f>
        <v>Højlast</v>
      </c>
    </row>
    <row r="61" spans="4:22" ht="15" customHeight="1">
      <c r="D61" s="125" t="s">
        <v>175</v>
      </c>
      <c r="E61" s="27"/>
      <c r="F61" s="27"/>
      <c r="G61" s="27"/>
      <c r="H61" s="27"/>
      <c r="I61" s="27"/>
      <c r="J61" s="27"/>
      <c r="K61" s="98" t="s">
        <v>41</v>
      </c>
      <c r="L61" s="27"/>
      <c r="M61" s="27"/>
      <c r="N61" s="27"/>
      <c r="O61" s="269"/>
      <c r="P61" s="269"/>
      <c r="Q61" s="269"/>
      <c r="R61" s="195" t="str">
        <f xml:space="preserve"> '2.2 Generelle input'!R383</f>
        <v>Højlast</v>
      </c>
      <c r="S61" s="195" t="str">
        <f xml:space="preserve"> '2.2 Generelle input'!S383</f>
        <v>Højlast</v>
      </c>
      <c r="T61" s="195" t="str">
        <f xml:space="preserve"> '2.2 Generelle input'!T383</f>
        <v>Højlast</v>
      </c>
      <c r="U61" s="195" t="str">
        <f xml:space="preserve"> '2.2 Generelle input'!U383</f>
        <v>Højlast</v>
      </c>
      <c r="V61" s="195" t="str">
        <f xml:space="preserve"> '2.2 Generelle input'!V383</f>
        <v>Højlast</v>
      </c>
    </row>
    <row r="63" spans="4:22" ht="15" customHeight="1">
      <c r="D63" s="88" t="s">
        <v>179</v>
      </c>
    </row>
    <row r="64" spans="4:22" ht="15" customHeight="1">
      <c r="D64" s="122" t="s">
        <v>152</v>
      </c>
      <c r="E64" s="15"/>
      <c r="F64" s="15"/>
      <c r="G64" s="15"/>
      <c r="H64" s="15"/>
      <c r="I64" s="15"/>
      <c r="J64" s="15"/>
      <c r="K64" s="117" t="s">
        <v>41</v>
      </c>
      <c r="L64" s="15"/>
      <c r="M64" s="15"/>
      <c r="N64" s="15"/>
      <c r="O64" s="274"/>
      <c r="P64" s="274"/>
      <c r="Q64" s="274"/>
      <c r="R64" s="193" t="str">
        <f xml:space="preserve"> '2.2 Generelle input'!R386</f>
        <v>Lavlast</v>
      </c>
      <c r="S64" s="193" t="str">
        <f xml:space="preserve"> '2.2 Generelle input'!S386</f>
        <v>Lavlast</v>
      </c>
      <c r="T64" s="193" t="str">
        <f xml:space="preserve"> '2.2 Generelle input'!T386</f>
        <v>Lavlast</v>
      </c>
      <c r="U64" s="193" t="str">
        <f xml:space="preserve"> '2.2 Generelle input'!U386</f>
        <v>Lavlast</v>
      </c>
      <c r="V64" s="193" t="str">
        <f xml:space="preserve"> '2.2 Generelle input'!V386</f>
        <v>Lavlast</v>
      </c>
    </row>
    <row r="65" spans="4:22" ht="15" customHeight="1">
      <c r="D65" s="124" t="s">
        <v>153</v>
      </c>
      <c r="K65" s="87" t="s">
        <v>41</v>
      </c>
      <c r="O65" s="202"/>
      <c r="P65" s="202"/>
      <c r="Q65" s="202"/>
      <c r="R65" s="194" t="str">
        <f xml:space="preserve"> '2.2 Generelle input'!R387</f>
        <v>Lavlast</v>
      </c>
      <c r="S65" s="194" t="str">
        <f xml:space="preserve"> '2.2 Generelle input'!S387</f>
        <v>Lavlast</v>
      </c>
      <c r="T65" s="194" t="str">
        <f xml:space="preserve"> '2.2 Generelle input'!T387</f>
        <v>Lavlast</v>
      </c>
      <c r="U65" s="194" t="str">
        <f xml:space="preserve"> '2.2 Generelle input'!U387</f>
        <v>Lavlast</v>
      </c>
      <c r="V65" s="194" t="str">
        <f xml:space="preserve"> '2.2 Generelle input'!V387</f>
        <v>Lavlast</v>
      </c>
    </row>
    <row r="66" spans="4:22" ht="15" customHeight="1">
      <c r="D66" s="124" t="s">
        <v>154</v>
      </c>
      <c r="K66" s="87" t="s">
        <v>41</v>
      </c>
      <c r="O66" s="202"/>
      <c r="P66" s="202"/>
      <c r="Q66" s="202"/>
      <c r="R66" s="194" t="str">
        <f xml:space="preserve"> '2.2 Generelle input'!R388</f>
        <v>Lavlast</v>
      </c>
      <c r="S66" s="194" t="str">
        <f xml:space="preserve"> '2.2 Generelle input'!S388</f>
        <v>Lavlast</v>
      </c>
      <c r="T66" s="194" t="str">
        <f xml:space="preserve"> '2.2 Generelle input'!T388</f>
        <v>Lavlast</v>
      </c>
      <c r="U66" s="194" t="str">
        <f xml:space="preserve"> '2.2 Generelle input'!U388</f>
        <v>Lavlast</v>
      </c>
      <c r="V66" s="194" t="str">
        <f xml:space="preserve"> '2.2 Generelle input'!V388</f>
        <v>Lavlast</v>
      </c>
    </row>
    <row r="67" spans="4:22" ht="15" customHeight="1">
      <c r="D67" s="124" t="s">
        <v>155</v>
      </c>
      <c r="K67" s="87" t="s">
        <v>41</v>
      </c>
      <c r="O67" s="202"/>
      <c r="P67" s="202"/>
      <c r="Q67" s="202"/>
      <c r="R67" s="194" t="str">
        <f xml:space="preserve"> '2.2 Generelle input'!R389</f>
        <v>Lavlast</v>
      </c>
      <c r="S67" s="194" t="str">
        <f xml:space="preserve"> '2.2 Generelle input'!S389</f>
        <v>Lavlast</v>
      </c>
      <c r="T67" s="194" t="str">
        <f xml:space="preserve"> '2.2 Generelle input'!T389</f>
        <v>Lavlast</v>
      </c>
      <c r="U67" s="194" t="str">
        <f xml:space="preserve"> '2.2 Generelle input'!U389</f>
        <v>Lavlast</v>
      </c>
      <c r="V67" s="194" t="str">
        <f xml:space="preserve"> '2.2 Generelle input'!V389</f>
        <v>Lavlast</v>
      </c>
    </row>
    <row r="68" spans="4:22" ht="15" customHeight="1">
      <c r="D68" s="124" t="s">
        <v>156</v>
      </c>
      <c r="K68" s="87" t="s">
        <v>41</v>
      </c>
      <c r="O68" s="202"/>
      <c r="P68" s="202"/>
      <c r="Q68" s="202"/>
      <c r="R68" s="194" t="str">
        <f xml:space="preserve"> '2.2 Generelle input'!R390</f>
        <v>Lavlast</v>
      </c>
      <c r="S68" s="194" t="str">
        <f xml:space="preserve"> '2.2 Generelle input'!S390</f>
        <v>Lavlast</v>
      </c>
      <c r="T68" s="194" t="str">
        <f xml:space="preserve"> '2.2 Generelle input'!T390</f>
        <v>Lavlast</v>
      </c>
      <c r="U68" s="194" t="str">
        <f xml:space="preserve"> '2.2 Generelle input'!U390</f>
        <v>Lavlast</v>
      </c>
      <c r="V68" s="194" t="str">
        <f xml:space="preserve"> '2.2 Generelle input'!V390</f>
        <v>Lavlast</v>
      </c>
    </row>
    <row r="69" spans="4:22" ht="15" customHeight="1">
      <c r="D69" s="124" t="s">
        <v>157</v>
      </c>
      <c r="K69" s="87" t="s">
        <v>41</v>
      </c>
      <c r="O69" s="202"/>
      <c r="P69" s="202"/>
      <c r="Q69" s="202"/>
      <c r="R69" s="194" t="str">
        <f xml:space="preserve"> '2.2 Generelle input'!R391</f>
        <v>Lavlast</v>
      </c>
      <c r="S69" s="194" t="str">
        <f xml:space="preserve"> '2.2 Generelle input'!S391</f>
        <v>Lavlast</v>
      </c>
      <c r="T69" s="194" t="str">
        <f xml:space="preserve"> '2.2 Generelle input'!T391</f>
        <v>Lavlast</v>
      </c>
      <c r="U69" s="194" t="str">
        <f xml:space="preserve"> '2.2 Generelle input'!U391</f>
        <v>Lavlast</v>
      </c>
      <c r="V69" s="194" t="str">
        <f xml:space="preserve"> '2.2 Generelle input'!V391</f>
        <v>Lavlast</v>
      </c>
    </row>
    <row r="70" spans="4:22" ht="15" customHeight="1">
      <c r="D70" s="124" t="s">
        <v>158</v>
      </c>
      <c r="K70" s="87" t="s">
        <v>41</v>
      </c>
      <c r="O70" s="202"/>
      <c r="P70" s="202"/>
      <c r="Q70" s="202"/>
      <c r="R70" s="194" t="str">
        <f xml:space="preserve"> '2.2 Generelle input'!R392</f>
        <v>Højlast</v>
      </c>
      <c r="S70" s="194" t="str">
        <f xml:space="preserve"> '2.2 Generelle input'!S392</f>
        <v>Højlast</v>
      </c>
      <c r="T70" s="194" t="str">
        <f xml:space="preserve"> '2.2 Generelle input'!T392</f>
        <v>Højlast</v>
      </c>
      <c r="U70" s="194" t="str">
        <f xml:space="preserve"> '2.2 Generelle input'!U392</f>
        <v>Højlast</v>
      </c>
      <c r="V70" s="194" t="str">
        <f xml:space="preserve"> '2.2 Generelle input'!V392</f>
        <v>Højlast</v>
      </c>
    </row>
    <row r="71" spans="4:22" ht="15" customHeight="1">
      <c r="D71" s="124" t="s">
        <v>159</v>
      </c>
      <c r="K71" s="87" t="s">
        <v>41</v>
      </c>
      <c r="O71" s="202"/>
      <c r="P71" s="202"/>
      <c r="Q71" s="202"/>
      <c r="R71" s="194" t="str">
        <f xml:space="preserve"> '2.2 Generelle input'!R393</f>
        <v>Højlast</v>
      </c>
      <c r="S71" s="194" t="str">
        <f xml:space="preserve"> '2.2 Generelle input'!S393</f>
        <v>Højlast</v>
      </c>
      <c r="T71" s="194" t="str">
        <f xml:space="preserve"> '2.2 Generelle input'!T393</f>
        <v>Højlast</v>
      </c>
      <c r="U71" s="194" t="str">
        <f xml:space="preserve"> '2.2 Generelle input'!U393</f>
        <v>Højlast</v>
      </c>
      <c r="V71" s="194" t="str">
        <f xml:space="preserve"> '2.2 Generelle input'!V393</f>
        <v>Højlast</v>
      </c>
    </row>
    <row r="72" spans="4:22" ht="15" customHeight="1">
      <c r="D72" s="124" t="s">
        <v>160</v>
      </c>
      <c r="K72" s="87" t="s">
        <v>41</v>
      </c>
      <c r="O72" s="202"/>
      <c r="P72" s="202"/>
      <c r="Q72" s="202"/>
      <c r="R72" s="194" t="str">
        <f xml:space="preserve"> '2.2 Generelle input'!R394</f>
        <v>Højlast</v>
      </c>
      <c r="S72" s="194" t="str">
        <f xml:space="preserve"> '2.2 Generelle input'!S394</f>
        <v>Højlast</v>
      </c>
      <c r="T72" s="194" t="str">
        <f xml:space="preserve"> '2.2 Generelle input'!T394</f>
        <v>Højlast</v>
      </c>
      <c r="U72" s="194" t="str">
        <f xml:space="preserve"> '2.2 Generelle input'!U394</f>
        <v>Højlast</v>
      </c>
      <c r="V72" s="194" t="str">
        <f xml:space="preserve"> '2.2 Generelle input'!V394</f>
        <v>Højlast</v>
      </c>
    </row>
    <row r="73" spans="4:22" ht="15" customHeight="1">
      <c r="D73" s="124" t="s">
        <v>161</v>
      </c>
      <c r="K73" s="87" t="s">
        <v>41</v>
      </c>
      <c r="O73" s="202"/>
      <c r="P73" s="202"/>
      <c r="Q73" s="202"/>
      <c r="R73" s="194" t="str">
        <f xml:space="preserve"> '2.2 Generelle input'!R395</f>
        <v>Højlast</v>
      </c>
      <c r="S73" s="194" t="str">
        <f xml:space="preserve"> '2.2 Generelle input'!S395</f>
        <v>Højlast</v>
      </c>
      <c r="T73" s="194" t="str">
        <f xml:space="preserve"> '2.2 Generelle input'!T395</f>
        <v>Højlast</v>
      </c>
      <c r="U73" s="194" t="str">
        <f xml:space="preserve"> '2.2 Generelle input'!U395</f>
        <v>Højlast</v>
      </c>
      <c r="V73" s="194" t="str">
        <f xml:space="preserve"> '2.2 Generelle input'!V395</f>
        <v>Højlast</v>
      </c>
    </row>
    <row r="74" spans="4:22" ht="15" customHeight="1">
      <c r="D74" s="124" t="s">
        <v>162</v>
      </c>
      <c r="K74" s="87" t="s">
        <v>41</v>
      </c>
      <c r="O74" s="202"/>
      <c r="P74" s="202"/>
      <c r="Q74" s="202"/>
      <c r="R74" s="194" t="str">
        <f xml:space="preserve"> '2.2 Generelle input'!R396</f>
        <v>Højlast</v>
      </c>
      <c r="S74" s="194" t="str">
        <f xml:space="preserve"> '2.2 Generelle input'!S396</f>
        <v>Højlast</v>
      </c>
      <c r="T74" s="194" t="str">
        <f xml:space="preserve"> '2.2 Generelle input'!T396</f>
        <v>Højlast</v>
      </c>
      <c r="U74" s="194" t="str">
        <f xml:space="preserve"> '2.2 Generelle input'!U396</f>
        <v>Højlast</v>
      </c>
      <c r="V74" s="194" t="str">
        <f xml:space="preserve"> '2.2 Generelle input'!V396</f>
        <v>Højlast</v>
      </c>
    </row>
    <row r="75" spans="4:22" ht="15" customHeight="1">
      <c r="D75" s="124" t="s">
        <v>163</v>
      </c>
      <c r="K75" s="87" t="s">
        <v>41</v>
      </c>
      <c r="O75" s="202"/>
      <c r="P75" s="202"/>
      <c r="Q75" s="202"/>
      <c r="R75" s="194" t="str">
        <f xml:space="preserve"> '2.2 Generelle input'!R397</f>
        <v>Højlast</v>
      </c>
      <c r="S75" s="194" t="str">
        <f xml:space="preserve"> '2.2 Generelle input'!S397</f>
        <v>Højlast</v>
      </c>
      <c r="T75" s="194" t="str">
        <f xml:space="preserve"> '2.2 Generelle input'!T397</f>
        <v>Højlast</v>
      </c>
      <c r="U75" s="194" t="str">
        <f xml:space="preserve"> '2.2 Generelle input'!U397</f>
        <v>Højlast</v>
      </c>
      <c r="V75" s="194" t="str">
        <f xml:space="preserve"> '2.2 Generelle input'!V397</f>
        <v>Højlast</v>
      </c>
    </row>
    <row r="76" spans="4:22" ht="15" customHeight="1">
      <c r="D76" s="124" t="s">
        <v>164</v>
      </c>
      <c r="K76" s="87" t="s">
        <v>41</v>
      </c>
      <c r="O76" s="202"/>
      <c r="P76" s="202"/>
      <c r="Q76" s="202"/>
      <c r="R76" s="194" t="str">
        <f xml:space="preserve"> '2.2 Generelle input'!R398</f>
        <v>Højlast</v>
      </c>
      <c r="S76" s="194" t="str">
        <f xml:space="preserve"> '2.2 Generelle input'!S398</f>
        <v>Højlast</v>
      </c>
      <c r="T76" s="194" t="str">
        <f xml:space="preserve"> '2.2 Generelle input'!T398</f>
        <v>Højlast</v>
      </c>
      <c r="U76" s="194" t="str">
        <f xml:space="preserve"> '2.2 Generelle input'!U398</f>
        <v>Højlast</v>
      </c>
      <c r="V76" s="194" t="str">
        <f xml:space="preserve"> '2.2 Generelle input'!V398</f>
        <v>Højlast</v>
      </c>
    </row>
    <row r="77" spans="4:22" ht="15" customHeight="1">
      <c r="D77" s="124" t="s">
        <v>165</v>
      </c>
      <c r="K77" s="87" t="s">
        <v>41</v>
      </c>
      <c r="O77" s="202"/>
      <c r="P77" s="202"/>
      <c r="Q77" s="202"/>
      <c r="R77" s="194" t="str">
        <f xml:space="preserve"> '2.2 Generelle input'!R399</f>
        <v>Højlast</v>
      </c>
      <c r="S77" s="194" t="str">
        <f xml:space="preserve"> '2.2 Generelle input'!S399</f>
        <v>Højlast</v>
      </c>
      <c r="T77" s="194" t="str">
        <f xml:space="preserve"> '2.2 Generelle input'!T399</f>
        <v>Højlast</v>
      </c>
      <c r="U77" s="194" t="str">
        <f xml:space="preserve"> '2.2 Generelle input'!U399</f>
        <v>Højlast</v>
      </c>
      <c r="V77" s="194" t="str">
        <f xml:space="preserve"> '2.2 Generelle input'!V399</f>
        <v>Højlast</v>
      </c>
    </row>
    <row r="78" spans="4:22" ht="15" customHeight="1">
      <c r="D78" s="124" t="s">
        <v>166</v>
      </c>
      <c r="K78" s="87" t="s">
        <v>41</v>
      </c>
      <c r="O78" s="202"/>
      <c r="P78" s="202"/>
      <c r="Q78" s="202"/>
      <c r="R78" s="194" t="str">
        <f xml:space="preserve"> '2.2 Generelle input'!R400</f>
        <v>Højlast</v>
      </c>
      <c r="S78" s="194" t="str">
        <f xml:space="preserve"> '2.2 Generelle input'!S400</f>
        <v>Højlast</v>
      </c>
      <c r="T78" s="194" t="str">
        <f xml:space="preserve"> '2.2 Generelle input'!T400</f>
        <v>Højlast</v>
      </c>
      <c r="U78" s="194" t="str">
        <f xml:space="preserve"> '2.2 Generelle input'!U400</f>
        <v>Højlast</v>
      </c>
      <c r="V78" s="194" t="str">
        <f xml:space="preserve"> '2.2 Generelle input'!V400</f>
        <v>Højlast</v>
      </c>
    </row>
    <row r="79" spans="4:22" ht="15" customHeight="1">
      <c r="D79" s="124" t="s">
        <v>167</v>
      </c>
      <c r="K79" s="87" t="s">
        <v>41</v>
      </c>
      <c r="O79" s="202"/>
      <c r="P79" s="202"/>
      <c r="Q79" s="202"/>
      <c r="R79" s="194" t="str">
        <f xml:space="preserve"> '2.2 Generelle input'!R401</f>
        <v>Højlast</v>
      </c>
      <c r="S79" s="194" t="str">
        <f xml:space="preserve"> '2.2 Generelle input'!S401</f>
        <v>Højlast</v>
      </c>
      <c r="T79" s="194" t="str">
        <f xml:space="preserve"> '2.2 Generelle input'!T401</f>
        <v>Højlast</v>
      </c>
      <c r="U79" s="194" t="str">
        <f xml:space="preserve"> '2.2 Generelle input'!U401</f>
        <v>Højlast</v>
      </c>
      <c r="V79" s="194" t="str">
        <f xml:space="preserve"> '2.2 Generelle input'!V401</f>
        <v>Højlast</v>
      </c>
    </row>
    <row r="80" spans="4:22" ht="15" customHeight="1">
      <c r="D80" s="124" t="s">
        <v>168</v>
      </c>
      <c r="K80" s="87" t="s">
        <v>41</v>
      </c>
      <c r="O80" s="202"/>
      <c r="P80" s="202"/>
      <c r="Q80" s="202"/>
      <c r="R80" s="194" t="str">
        <f xml:space="preserve"> '2.2 Generelle input'!R402</f>
        <v>Højlast</v>
      </c>
      <c r="S80" s="194" t="str">
        <f xml:space="preserve"> '2.2 Generelle input'!S402</f>
        <v>Højlast</v>
      </c>
      <c r="T80" s="194" t="str">
        <f xml:space="preserve"> '2.2 Generelle input'!T402</f>
        <v>Højlast</v>
      </c>
      <c r="U80" s="194" t="str">
        <f xml:space="preserve"> '2.2 Generelle input'!U402</f>
        <v>Højlast</v>
      </c>
      <c r="V80" s="194" t="str">
        <f xml:space="preserve"> '2.2 Generelle input'!V402</f>
        <v>Højlast</v>
      </c>
    </row>
    <row r="81" spans="4:22" ht="15" customHeight="1">
      <c r="D81" s="124" t="s">
        <v>169</v>
      </c>
      <c r="K81" s="87" t="s">
        <v>41</v>
      </c>
      <c r="O81" s="202"/>
      <c r="P81" s="202"/>
      <c r="Q81" s="202"/>
      <c r="R81" s="194" t="str">
        <f xml:space="preserve"> '2.2 Generelle input'!R403</f>
        <v>Højlast</v>
      </c>
      <c r="S81" s="194" t="str">
        <f xml:space="preserve"> '2.2 Generelle input'!S403</f>
        <v>Højlast</v>
      </c>
      <c r="T81" s="194" t="str">
        <f xml:space="preserve"> '2.2 Generelle input'!T403</f>
        <v>Højlast</v>
      </c>
      <c r="U81" s="194" t="str">
        <f xml:space="preserve"> '2.2 Generelle input'!U403</f>
        <v>Højlast</v>
      </c>
      <c r="V81" s="194" t="str">
        <f xml:space="preserve"> '2.2 Generelle input'!V403</f>
        <v>Spidslast</v>
      </c>
    </row>
    <row r="82" spans="4:22" ht="15" customHeight="1">
      <c r="D82" s="124" t="s">
        <v>170</v>
      </c>
      <c r="K82" s="87" t="s">
        <v>41</v>
      </c>
      <c r="O82" s="202"/>
      <c r="P82" s="202"/>
      <c r="Q82" s="202"/>
      <c r="R82" s="194" t="str">
        <f xml:space="preserve"> '2.2 Generelle input'!R404</f>
        <v>Højlast</v>
      </c>
      <c r="S82" s="194" t="str">
        <f xml:space="preserve"> '2.2 Generelle input'!S404</f>
        <v>Højlast</v>
      </c>
      <c r="T82" s="194" t="str">
        <f xml:space="preserve"> '2.2 Generelle input'!T404</f>
        <v>Højlast</v>
      </c>
      <c r="U82" s="194" t="str">
        <f xml:space="preserve"> '2.2 Generelle input'!U404</f>
        <v>Højlast</v>
      </c>
      <c r="V82" s="194" t="str">
        <f xml:space="preserve"> '2.2 Generelle input'!V404</f>
        <v>Spidslast</v>
      </c>
    </row>
    <row r="83" spans="4:22" ht="15" customHeight="1">
      <c r="D83" s="124" t="s">
        <v>171</v>
      </c>
      <c r="K83" s="87" t="s">
        <v>41</v>
      </c>
      <c r="O83" s="202"/>
      <c r="P83" s="202"/>
      <c r="Q83" s="202"/>
      <c r="R83" s="194" t="str">
        <f xml:space="preserve"> '2.2 Generelle input'!R405</f>
        <v>Højlast</v>
      </c>
      <c r="S83" s="194" t="str">
        <f xml:space="preserve"> '2.2 Generelle input'!S405</f>
        <v>Højlast</v>
      </c>
      <c r="T83" s="194" t="str">
        <f xml:space="preserve"> '2.2 Generelle input'!T405</f>
        <v>Højlast</v>
      </c>
      <c r="U83" s="194" t="str">
        <f xml:space="preserve"> '2.2 Generelle input'!U405</f>
        <v>Højlast</v>
      </c>
      <c r="V83" s="194" t="str">
        <f xml:space="preserve"> '2.2 Generelle input'!V405</f>
        <v>Spidslast</v>
      </c>
    </row>
    <row r="84" spans="4:22" ht="15" customHeight="1">
      <c r="D84" s="124" t="s">
        <v>172</v>
      </c>
      <c r="K84" s="87" t="s">
        <v>41</v>
      </c>
      <c r="O84" s="202"/>
      <c r="P84" s="202"/>
      <c r="Q84" s="202"/>
      <c r="R84" s="194" t="str">
        <f xml:space="preserve"> '2.2 Generelle input'!R406</f>
        <v>Højlast</v>
      </c>
      <c r="S84" s="194" t="str">
        <f xml:space="preserve"> '2.2 Generelle input'!S406</f>
        <v>Højlast</v>
      </c>
      <c r="T84" s="194" t="str">
        <f xml:space="preserve"> '2.2 Generelle input'!T406</f>
        <v>Højlast</v>
      </c>
      <c r="U84" s="194" t="str">
        <f xml:space="preserve"> '2.2 Generelle input'!U406</f>
        <v>Højlast</v>
      </c>
      <c r="V84" s="194" t="str">
        <f xml:space="preserve"> '2.2 Generelle input'!V406</f>
        <v>Spidslast</v>
      </c>
    </row>
    <row r="85" spans="4:22" ht="15" customHeight="1">
      <c r="D85" s="124" t="s">
        <v>173</v>
      </c>
      <c r="K85" s="87" t="s">
        <v>41</v>
      </c>
      <c r="O85" s="202"/>
      <c r="P85" s="202"/>
      <c r="Q85" s="202"/>
      <c r="R85" s="194" t="str">
        <f xml:space="preserve"> '2.2 Generelle input'!R407</f>
        <v>Højlast</v>
      </c>
      <c r="S85" s="194" t="str">
        <f xml:space="preserve"> '2.2 Generelle input'!S407</f>
        <v>Højlast</v>
      </c>
      <c r="T85" s="194" t="str">
        <f xml:space="preserve"> '2.2 Generelle input'!T407</f>
        <v>Højlast</v>
      </c>
      <c r="U85" s="194" t="str">
        <f xml:space="preserve"> '2.2 Generelle input'!U407</f>
        <v>Højlast</v>
      </c>
      <c r="V85" s="194" t="str">
        <f xml:space="preserve"> '2.2 Generelle input'!V407</f>
        <v>Højlast</v>
      </c>
    </row>
    <row r="86" spans="4:22" ht="15" customHeight="1">
      <c r="D86" s="124" t="s">
        <v>174</v>
      </c>
      <c r="K86" s="87" t="s">
        <v>41</v>
      </c>
      <c r="O86" s="202"/>
      <c r="P86" s="202"/>
      <c r="Q86" s="202"/>
      <c r="R86" s="194" t="str">
        <f xml:space="preserve"> '2.2 Generelle input'!R408</f>
        <v>Højlast</v>
      </c>
      <c r="S86" s="194" t="str">
        <f xml:space="preserve"> '2.2 Generelle input'!S408</f>
        <v>Højlast</v>
      </c>
      <c r="T86" s="194" t="str">
        <f xml:space="preserve"> '2.2 Generelle input'!T408</f>
        <v>Højlast</v>
      </c>
      <c r="U86" s="194" t="str">
        <f xml:space="preserve"> '2.2 Generelle input'!U408</f>
        <v>Højlast</v>
      </c>
      <c r="V86" s="194" t="str">
        <f xml:space="preserve"> '2.2 Generelle input'!V408</f>
        <v>Højlast</v>
      </c>
    </row>
    <row r="87" spans="4:22" ht="15" customHeight="1">
      <c r="D87" s="125" t="s">
        <v>175</v>
      </c>
      <c r="E87" s="27"/>
      <c r="F87" s="27"/>
      <c r="G87" s="27"/>
      <c r="H87" s="27"/>
      <c r="I87" s="27"/>
      <c r="J87" s="27"/>
      <c r="K87" s="98" t="s">
        <v>41</v>
      </c>
      <c r="L87" s="27"/>
      <c r="M87" s="27"/>
      <c r="N87" s="27"/>
      <c r="O87" s="269"/>
      <c r="P87" s="269"/>
      <c r="Q87" s="269"/>
      <c r="R87" s="195" t="str">
        <f xml:space="preserve"> '2.2 Generelle input'!R409</f>
        <v>Højlast</v>
      </c>
      <c r="S87" s="195" t="str">
        <f xml:space="preserve"> '2.2 Generelle input'!S409</f>
        <v>Højlast</v>
      </c>
      <c r="T87" s="195" t="str">
        <f xml:space="preserve"> '2.2 Generelle input'!T409</f>
        <v>Højlast</v>
      </c>
      <c r="U87" s="195" t="str">
        <f xml:space="preserve"> '2.2 Generelle input'!U409</f>
        <v>Højlast</v>
      </c>
      <c r="V87" s="195" t="str">
        <f xml:space="preserve"> '2.2 Generelle input'!V409</f>
        <v>Højlast</v>
      </c>
    </row>
    <row r="89" spans="4:22" ht="15" customHeight="1">
      <c r="D89" s="88" t="s">
        <v>180</v>
      </c>
    </row>
    <row r="90" spans="4:22" ht="15" customHeight="1">
      <c r="D90" s="122" t="s">
        <v>152</v>
      </c>
      <c r="E90" s="15"/>
      <c r="F90" s="15"/>
      <c r="G90" s="15"/>
      <c r="H90" s="15"/>
      <c r="I90" s="15"/>
      <c r="J90" s="15"/>
      <c r="K90" s="117" t="s">
        <v>41</v>
      </c>
      <c r="L90" s="15"/>
      <c r="M90" s="15"/>
      <c r="N90" s="15"/>
      <c r="O90" s="274"/>
      <c r="P90" s="274"/>
      <c r="Q90" s="274"/>
      <c r="R90" s="193" t="str">
        <f xml:space="preserve"> '2.2 Generelle input'!R412</f>
        <v>Lavlast</v>
      </c>
      <c r="S90" s="193" t="str">
        <f xml:space="preserve"> '2.2 Generelle input'!S412</f>
        <v>Lavlast</v>
      </c>
      <c r="T90" s="193" t="str">
        <f xml:space="preserve"> '2.2 Generelle input'!T412</f>
        <v>Lavlast</v>
      </c>
      <c r="U90" s="193" t="str">
        <f xml:space="preserve"> '2.2 Generelle input'!U412</f>
        <v>Lavlast</v>
      </c>
      <c r="V90" s="193" t="str">
        <f xml:space="preserve"> '2.2 Generelle input'!V412</f>
        <v>Lavlast</v>
      </c>
    </row>
    <row r="91" spans="4:22" ht="15" customHeight="1">
      <c r="D91" s="124" t="s">
        <v>153</v>
      </c>
      <c r="K91" s="87" t="s">
        <v>41</v>
      </c>
      <c r="O91" s="202"/>
      <c r="P91" s="202"/>
      <c r="Q91" s="202"/>
      <c r="R91" s="194" t="str">
        <f xml:space="preserve"> '2.2 Generelle input'!R413</f>
        <v>Lavlast</v>
      </c>
      <c r="S91" s="194" t="str">
        <f xml:space="preserve"> '2.2 Generelle input'!S413</f>
        <v>Lavlast</v>
      </c>
      <c r="T91" s="194" t="str">
        <f xml:space="preserve"> '2.2 Generelle input'!T413</f>
        <v>Lavlast</v>
      </c>
      <c r="U91" s="194" t="str">
        <f xml:space="preserve"> '2.2 Generelle input'!U413</f>
        <v>Lavlast</v>
      </c>
      <c r="V91" s="194" t="str">
        <f xml:space="preserve"> '2.2 Generelle input'!V413</f>
        <v>Lavlast</v>
      </c>
    </row>
    <row r="92" spans="4:22" ht="15" customHeight="1">
      <c r="D92" s="124" t="s">
        <v>154</v>
      </c>
      <c r="K92" s="87" t="s">
        <v>41</v>
      </c>
      <c r="O92" s="202"/>
      <c r="P92" s="202"/>
      <c r="Q92" s="202"/>
      <c r="R92" s="194" t="str">
        <f xml:space="preserve"> '2.2 Generelle input'!R414</f>
        <v>Lavlast</v>
      </c>
      <c r="S92" s="194" t="str">
        <f xml:space="preserve"> '2.2 Generelle input'!S414</f>
        <v>Lavlast</v>
      </c>
      <c r="T92" s="194" t="str">
        <f xml:space="preserve"> '2.2 Generelle input'!T414</f>
        <v>Lavlast</v>
      </c>
      <c r="U92" s="194" t="str">
        <f xml:space="preserve"> '2.2 Generelle input'!U414</f>
        <v>Lavlast</v>
      </c>
      <c r="V92" s="194" t="str">
        <f xml:space="preserve"> '2.2 Generelle input'!V414</f>
        <v>Lavlast</v>
      </c>
    </row>
    <row r="93" spans="4:22" ht="15" customHeight="1">
      <c r="D93" s="124" t="s">
        <v>155</v>
      </c>
      <c r="K93" s="87" t="s">
        <v>41</v>
      </c>
      <c r="O93" s="202"/>
      <c r="P93" s="202"/>
      <c r="Q93" s="202"/>
      <c r="R93" s="194" t="str">
        <f xml:space="preserve"> '2.2 Generelle input'!R415</f>
        <v>Lavlast</v>
      </c>
      <c r="S93" s="194" t="str">
        <f xml:space="preserve"> '2.2 Generelle input'!S415</f>
        <v>Lavlast</v>
      </c>
      <c r="T93" s="194" t="str">
        <f xml:space="preserve"> '2.2 Generelle input'!T415</f>
        <v>Lavlast</v>
      </c>
      <c r="U93" s="194" t="str">
        <f xml:space="preserve"> '2.2 Generelle input'!U415</f>
        <v>Lavlast</v>
      </c>
      <c r="V93" s="194" t="str">
        <f xml:space="preserve"> '2.2 Generelle input'!V415</f>
        <v>Lavlast</v>
      </c>
    </row>
    <row r="94" spans="4:22" ht="15" customHeight="1">
      <c r="D94" s="124" t="s">
        <v>156</v>
      </c>
      <c r="K94" s="87" t="s">
        <v>41</v>
      </c>
      <c r="O94" s="202"/>
      <c r="P94" s="202"/>
      <c r="Q94" s="202"/>
      <c r="R94" s="194" t="str">
        <f xml:space="preserve"> '2.2 Generelle input'!R416</f>
        <v>Lavlast</v>
      </c>
      <c r="S94" s="194" t="str">
        <f xml:space="preserve"> '2.2 Generelle input'!S416</f>
        <v>Lavlast</v>
      </c>
      <c r="T94" s="194" t="str">
        <f xml:space="preserve"> '2.2 Generelle input'!T416</f>
        <v>Lavlast</v>
      </c>
      <c r="U94" s="194" t="str">
        <f xml:space="preserve"> '2.2 Generelle input'!U416</f>
        <v>Lavlast</v>
      </c>
      <c r="V94" s="194" t="str">
        <f xml:space="preserve"> '2.2 Generelle input'!V416</f>
        <v>Lavlast</v>
      </c>
    </row>
    <row r="95" spans="4:22" ht="15" customHeight="1">
      <c r="D95" s="124" t="s">
        <v>157</v>
      </c>
      <c r="K95" s="87" t="s">
        <v>41</v>
      </c>
      <c r="O95" s="202"/>
      <c r="P95" s="202"/>
      <c r="Q95" s="202"/>
      <c r="R95" s="194" t="str">
        <f xml:space="preserve"> '2.2 Generelle input'!R417</f>
        <v>Lavlast</v>
      </c>
      <c r="S95" s="194" t="str">
        <f xml:space="preserve"> '2.2 Generelle input'!S417</f>
        <v>Lavlast</v>
      </c>
      <c r="T95" s="194" t="str">
        <f xml:space="preserve"> '2.2 Generelle input'!T417</f>
        <v>Lavlast</v>
      </c>
      <c r="U95" s="194" t="str">
        <f xml:space="preserve"> '2.2 Generelle input'!U417</f>
        <v>Lavlast</v>
      </c>
      <c r="V95" s="194" t="str">
        <f xml:space="preserve"> '2.2 Generelle input'!V417</f>
        <v>Lavlast</v>
      </c>
    </row>
    <row r="96" spans="4:22" ht="15" customHeight="1">
      <c r="D96" s="124" t="s">
        <v>158</v>
      </c>
      <c r="K96" s="87" t="s">
        <v>41</v>
      </c>
      <c r="O96" s="202"/>
      <c r="P96" s="202"/>
      <c r="Q96" s="202"/>
      <c r="R96" s="194" t="str">
        <f xml:space="preserve"> '2.2 Generelle input'!R418</f>
        <v>Højlast</v>
      </c>
      <c r="S96" s="194" t="str">
        <f xml:space="preserve"> '2.2 Generelle input'!S418</f>
        <v>Højlast</v>
      </c>
      <c r="T96" s="194" t="str">
        <f xml:space="preserve"> '2.2 Generelle input'!T418</f>
        <v>Højlast</v>
      </c>
      <c r="U96" s="194" t="str">
        <f xml:space="preserve"> '2.2 Generelle input'!U418</f>
        <v>Højlast</v>
      </c>
      <c r="V96" s="194" t="str">
        <f xml:space="preserve"> '2.2 Generelle input'!V418</f>
        <v>Højlast</v>
      </c>
    </row>
    <row r="97" spans="4:22" ht="15" customHeight="1">
      <c r="D97" s="124" t="s">
        <v>159</v>
      </c>
      <c r="K97" s="87" t="s">
        <v>41</v>
      </c>
      <c r="O97" s="202"/>
      <c r="P97" s="202"/>
      <c r="Q97" s="202"/>
      <c r="R97" s="194" t="str">
        <f xml:space="preserve"> '2.2 Generelle input'!R419</f>
        <v>Højlast</v>
      </c>
      <c r="S97" s="194" t="str">
        <f xml:space="preserve"> '2.2 Generelle input'!S419</f>
        <v>Højlast</v>
      </c>
      <c r="T97" s="194" t="str">
        <f xml:space="preserve"> '2.2 Generelle input'!T419</f>
        <v>Højlast</v>
      </c>
      <c r="U97" s="194" t="str">
        <f xml:space="preserve"> '2.2 Generelle input'!U419</f>
        <v>Højlast</v>
      </c>
      <c r="V97" s="194" t="str">
        <f xml:space="preserve"> '2.2 Generelle input'!V419</f>
        <v>Højlast</v>
      </c>
    </row>
    <row r="98" spans="4:22" ht="15" customHeight="1">
      <c r="D98" s="124" t="s">
        <v>160</v>
      </c>
      <c r="K98" s="87" t="s">
        <v>41</v>
      </c>
      <c r="O98" s="202"/>
      <c r="P98" s="202"/>
      <c r="Q98" s="202"/>
      <c r="R98" s="194" t="str">
        <f xml:space="preserve"> '2.2 Generelle input'!R420</f>
        <v>Højlast</v>
      </c>
      <c r="S98" s="194" t="str">
        <f xml:space="preserve"> '2.2 Generelle input'!S420</f>
        <v>Højlast</v>
      </c>
      <c r="T98" s="194" t="str">
        <f xml:space="preserve"> '2.2 Generelle input'!T420</f>
        <v>Højlast</v>
      </c>
      <c r="U98" s="194" t="str">
        <f xml:space="preserve"> '2.2 Generelle input'!U420</f>
        <v>Højlast</v>
      </c>
      <c r="V98" s="194" t="str">
        <f xml:space="preserve"> '2.2 Generelle input'!V420</f>
        <v>Højlast</v>
      </c>
    </row>
    <row r="99" spans="4:22" ht="15" customHeight="1">
      <c r="D99" s="124" t="s">
        <v>161</v>
      </c>
      <c r="K99" s="87" t="s">
        <v>41</v>
      </c>
      <c r="O99" s="202"/>
      <c r="P99" s="202"/>
      <c r="Q99" s="202"/>
      <c r="R99" s="194" t="str">
        <f xml:space="preserve"> '2.2 Generelle input'!R421</f>
        <v>Højlast</v>
      </c>
      <c r="S99" s="194" t="str">
        <f xml:space="preserve"> '2.2 Generelle input'!S421</f>
        <v>Højlast</v>
      </c>
      <c r="T99" s="194" t="str">
        <f xml:space="preserve"> '2.2 Generelle input'!T421</f>
        <v>Højlast</v>
      </c>
      <c r="U99" s="194" t="str">
        <f xml:space="preserve"> '2.2 Generelle input'!U421</f>
        <v>Højlast</v>
      </c>
      <c r="V99" s="194" t="str">
        <f xml:space="preserve"> '2.2 Generelle input'!V421</f>
        <v>Højlast</v>
      </c>
    </row>
    <row r="100" spans="4:22" ht="15" customHeight="1">
      <c r="D100" s="124" t="s">
        <v>162</v>
      </c>
      <c r="K100" s="87" t="s">
        <v>41</v>
      </c>
      <c r="O100" s="202"/>
      <c r="P100" s="202"/>
      <c r="Q100" s="202"/>
      <c r="R100" s="194" t="str">
        <f xml:space="preserve"> '2.2 Generelle input'!R422</f>
        <v>Højlast</v>
      </c>
      <c r="S100" s="194" t="str">
        <f xml:space="preserve"> '2.2 Generelle input'!S422</f>
        <v>Højlast</v>
      </c>
      <c r="T100" s="194" t="str">
        <f xml:space="preserve"> '2.2 Generelle input'!T422</f>
        <v>Højlast</v>
      </c>
      <c r="U100" s="194" t="str">
        <f xml:space="preserve"> '2.2 Generelle input'!U422</f>
        <v>Højlast</v>
      </c>
      <c r="V100" s="194" t="str">
        <f xml:space="preserve"> '2.2 Generelle input'!V422</f>
        <v>Højlast</v>
      </c>
    </row>
    <row r="101" spans="4:22" ht="15" customHeight="1">
      <c r="D101" s="124" t="s">
        <v>163</v>
      </c>
      <c r="K101" s="87" t="s">
        <v>41</v>
      </c>
      <c r="O101" s="202"/>
      <c r="P101" s="202"/>
      <c r="Q101" s="202"/>
      <c r="R101" s="194" t="str">
        <f xml:space="preserve"> '2.2 Generelle input'!R423</f>
        <v>Højlast</v>
      </c>
      <c r="S101" s="194" t="str">
        <f xml:space="preserve"> '2.2 Generelle input'!S423</f>
        <v>Højlast</v>
      </c>
      <c r="T101" s="194" t="str">
        <f xml:space="preserve"> '2.2 Generelle input'!T423</f>
        <v>Højlast</v>
      </c>
      <c r="U101" s="194" t="str">
        <f xml:space="preserve"> '2.2 Generelle input'!U423</f>
        <v>Højlast</v>
      </c>
      <c r="V101" s="194" t="str">
        <f xml:space="preserve"> '2.2 Generelle input'!V423</f>
        <v>Højlast</v>
      </c>
    </row>
    <row r="102" spans="4:22" ht="15" customHeight="1">
      <c r="D102" s="124" t="s">
        <v>164</v>
      </c>
      <c r="K102" s="87" t="s">
        <v>41</v>
      </c>
      <c r="O102" s="202"/>
      <c r="P102" s="202"/>
      <c r="Q102" s="202"/>
      <c r="R102" s="194" t="str">
        <f xml:space="preserve"> '2.2 Generelle input'!R424</f>
        <v>Højlast</v>
      </c>
      <c r="S102" s="194" t="str">
        <f xml:space="preserve"> '2.2 Generelle input'!S424</f>
        <v>Højlast</v>
      </c>
      <c r="T102" s="194" t="str">
        <f xml:space="preserve"> '2.2 Generelle input'!T424</f>
        <v>Højlast</v>
      </c>
      <c r="U102" s="194" t="str">
        <f xml:space="preserve"> '2.2 Generelle input'!U424</f>
        <v>Højlast</v>
      </c>
      <c r="V102" s="194" t="str">
        <f xml:space="preserve"> '2.2 Generelle input'!V424</f>
        <v>Højlast</v>
      </c>
    </row>
    <row r="103" spans="4:22" ht="15" customHeight="1">
      <c r="D103" s="124" t="s">
        <v>165</v>
      </c>
      <c r="K103" s="87" t="s">
        <v>41</v>
      </c>
      <c r="O103" s="202"/>
      <c r="P103" s="202"/>
      <c r="Q103" s="202"/>
      <c r="R103" s="194" t="str">
        <f xml:space="preserve"> '2.2 Generelle input'!R425</f>
        <v>Højlast</v>
      </c>
      <c r="S103" s="194" t="str">
        <f xml:space="preserve"> '2.2 Generelle input'!S425</f>
        <v>Højlast</v>
      </c>
      <c r="T103" s="194" t="str">
        <f xml:space="preserve"> '2.2 Generelle input'!T425</f>
        <v>Højlast</v>
      </c>
      <c r="U103" s="194" t="str">
        <f xml:space="preserve"> '2.2 Generelle input'!U425</f>
        <v>Højlast</v>
      </c>
      <c r="V103" s="194" t="str">
        <f xml:space="preserve"> '2.2 Generelle input'!V425</f>
        <v>Højlast</v>
      </c>
    </row>
    <row r="104" spans="4:22" ht="15" customHeight="1">
      <c r="D104" s="124" t="s">
        <v>166</v>
      </c>
      <c r="K104" s="87" t="s">
        <v>41</v>
      </c>
      <c r="O104" s="202"/>
      <c r="P104" s="202"/>
      <c r="Q104" s="202"/>
      <c r="R104" s="194" t="str">
        <f xml:space="preserve"> '2.2 Generelle input'!R426</f>
        <v>Højlast</v>
      </c>
      <c r="S104" s="194" t="str">
        <f xml:space="preserve"> '2.2 Generelle input'!S426</f>
        <v>Højlast</v>
      </c>
      <c r="T104" s="194" t="str">
        <f xml:space="preserve"> '2.2 Generelle input'!T426</f>
        <v>Højlast</v>
      </c>
      <c r="U104" s="194" t="str">
        <f xml:space="preserve"> '2.2 Generelle input'!U426</f>
        <v>Højlast</v>
      </c>
      <c r="V104" s="194" t="str">
        <f xml:space="preserve"> '2.2 Generelle input'!V426</f>
        <v>Højlast</v>
      </c>
    </row>
    <row r="105" spans="4:22" ht="15" customHeight="1">
      <c r="D105" s="124" t="s">
        <v>167</v>
      </c>
      <c r="K105" s="87" t="s">
        <v>41</v>
      </c>
      <c r="O105" s="202"/>
      <c r="P105" s="202"/>
      <c r="Q105" s="202"/>
      <c r="R105" s="194" t="str">
        <f xml:space="preserve"> '2.2 Generelle input'!R427</f>
        <v>Højlast</v>
      </c>
      <c r="S105" s="194" t="str">
        <f xml:space="preserve"> '2.2 Generelle input'!S427</f>
        <v>Højlast</v>
      </c>
      <c r="T105" s="194" t="str">
        <f xml:space="preserve"> '2.2 Generelle input'!T427</f>
        <v>Højlast</v>
      </c>
      <c r="U105" s="194" t="str">
        <f xml:space="preserve"> '2.2 Generelle input'!U427</f>
        <v>Højlast</v>
      </c>
      <c r="V105" s="194" t="str">
        <f xml:space="preserve"> '2.2 Generelle input'!V427</f>
        <v>Højlast</v>
      </c>
    </row>
    <row r="106" spans="4:22" ht="15" customHeight="1">
      <c r="D106" s="124" t="s">
        <v>168</v>
      </c>
      <c r="K106" s="87" t="s">
        <v>41</v>
      </c>
      <c r="O106" s="202"/>
      <c r="P106" s="202"/>
      <c r="Q106" s="202"/>
      <c r="R106" s="194" t="str">
        <f xml:space="preserve"> '2.2 Generelle input'!R428</f>
        <v>Højlast</v>
      </c>
      <c r="S106" s="194" t="str">
        <f xml:space="preserve"> '2.2 Generelle input'!S428</f>
        <v>Højlast</v>
      </c>
      <c r="T106" s="194" t="str">
        <f xml:space="preserve"> '2.2 Generelle input'!T428</f>
        <v>Højlast</v>
      </c>
      <c r="U106" s="194" t="str">
        <f xml:space="preserve"> '2.2 Generelle input'!U428</f>
        <v>Højlast</v>
      </c>
      <c r="V106" s="194" t="str">
        <f xml:space="preserve"> '2.2 Generelle input'!V428</f>
        <v>Højlast</v>
      </c>
    </row>
    <row r="107" spans="4:22" ht="15" customHeight="1">
      <c r="D107" s="124" t="s">
        <v>169</v>
      </c>
      <c r="K107" s="87" t="s">
        <v>41</v>
      </c>
      <c r="O107" s="202"/>
      <c r="P107" s="202"/>
      <c r="Q107" s="202"/>
      <c r="R107" s="194" t="str">
        <f xml:space="preserve"> '2.2 Generelle input'!R429</f>
        <v>Højlast</v>
      </c>
      <c r="S107" s="194" t="str">
        <f xml:space="preserve"> '2.2 Generelle input'!S429</f>
        <v>Højlast</v>
      </c>
      <c r="T107" s="194" t="str">
        <f xml:space="preserve"> '2.2 Generelle input'!T429</f>
        <v>Højlast</v>
      </c>
      <c r="U107" s="194" t="str">
        <f xml:space="preserve"> '2.2 Generelle input'!U429</f>
        <v>Højlast</v>
      </c>
      <c r="V107" s="194" t="str">
        <f xml:space="preserve"> '2.2 Generelle input'!V429</f>
        <v>Spidslast</v>
      </c>
    </row>
    <row r="108" spans="4:22" ht="15" customHeight="1">
      <c r="D108" s="124" t="s">
        <v>170</v>
      </c>
      <c r="K108" s="87" t="s">
        <v>41</v>
      </c>
      <c r="O108" s="202"/>
      <c r="P108" s="202"/>
      <c r="Q108" s="202"/>
      <c r="R108" s="194" t="str">
        <f xml:space="preserve"> '2.2 Generelle input'!R430</f>
        <v>Højlast</v>
      </c>
      <c r="S108" s="194" t="str">
        <f xml:space="preserve"> '2.2 Generelle input'!S430</f>
        <v>Højlast</v>
      </c>
      <c r="T108" s="194" t="str">
        <f xml:space="preserve"> '2.2 Generelle input'!T430</f>
        <v>Højlast</v>
      </c>
      <c r="U108" s="194" t="str">
        <f xml:space="preserve"> '2.2 Generelle input'!U430</f>
        <v>Højlast</v>
      </c>
      <c r="V108" s="194" t="str">
        <f xml:space="preserve"> '2.2 Generelle input'!V430</f>
        <v>Spidslast</v>
      </c>
    </row>
    <row r="109" spans="4:22" ht="15" customHeight="1">
      <c r="D109" s="124" t="s">
        <v>171</v>
      </c>
      <c r="K109" s="87" t="s">
        <v>41</v>
      </c>
      <c r="O109" s="202"/>
      <c r="P109" s="202"/>
      <c r="Q109" s="202"/>
      <c r="R109" s="194" t="str">
        <f xml:space="preserve"> '2.2 Generelle input'!R431</f>
        <v>Højlast</v>
      </c>
      <c r="S109" s="194" t="str">
        <f xml:space="preserve"> '2.2 Generelle input'!S431</f>
        <v>Højlast</v>
      </c>
      <c r="T109" s="194" t="str">
        <f xml:space="preserve"> '2.2 Generelle input'!T431</f>
        <v>Højlast</v>
      </c>
      <c r="U109" s="194" t="str">
        <f xml:space="preserve"> '2.2 Generelle input'!U431</f>
        <v>Højlast</v>
      </c>
      <c r="V109" s="194" t="str">
        <f xml:space="preserve"> '2.2 Generelle input'!V431</f>
        <v>Spidslast</v>
      </c>
    </row>
    <row r="110" spans="4:22" ht="15" customHeight="1">
      <c r="D110" s="124" t="s">
        <v>172</v>
      </c>
      <c r="K110" s="87" t="s">
        <v>41</v>
      </c>
      <c r="O110" s="202"/>
      <c r="P110" s="202"/>
      <c r="Q110" s="202"/>
      <c r="R110" s="194" t="str">
        <f xml:space="preserve"> '2.2 Generelle input'!R432</f>
        <v>Højlast</v>
      </c>
      <c r="S110" s="194" t="str">
        <f xml:space="preserve"> '2.2 Generelle input'!S432</f>
        <v>Højlast</v>
      </c>
      <c r="T110" s="194" t="str">
        <f xml:space="preserve"> '2.2 Generelle input'!T432</f>
        <v>Højlast</v>
      </c>
      <c r="U110" s="194" t="str">
        <f xml:space="preserve"> '2.2 Generelle input'!U432</f>
        <v>Højlast</v>
      </c>
      <c r="V110" s="194" t="str">
        <f xml:space="preserve"> '2.2 Generelle input'!V432</f>
        <v>Spidslast</v>
      </c>
    </row>
    <row r="111" spans="4:22" ht="15" customHeight="1">
      <c r="D111" s="124" t="s">
        <v>173</v>
      </c>
      <c r="K111" s="87" t="s">
        <v>41</v>
      </c>
      <c r="O111" s="202"/>
      <c r="P111" s="202"/>
      <c r="Q111" s="202"/>
      <c r="R111" s="194" t="str">
        <f xml:space="preserve"> '2.2 Generelle input'!R433</f>
        <v>Højlast</v>
      </c>
      <c r="S111" s="194" t="str">
        <f xml:space="preserve"> '2.2 Generelle input'!S433</f>
        <v>Højlast</v>
      </c>
      <c r="T111" s="194" t="str">
        <f xml:space="preserve"> '2.2 Generelle input'!T433</f>
        <v>Højlast</v>
      </c>
      <c r="U111" s="194" t="str">
        <f xml:space="preserve"> '2.2 Generelle input'!U433</f>
        <v>Højlast</v>
      </c>
      <c r="V111" s="194" t="str">
        <f xml:space="preserve"> '2.2 Generelle input'!V433</f>
        <v>Højlast</v>
      </c>
    </row>
    <row r="112" spans="4:22" ht="15" customHeight="1">
      <c r="D112" s="124" t="s">
        <v>174</v>
      </c>
      <c r="K112" s="87" t="s">
        <v>41</v>
      </c>
      <c r="O112" s="202"/>
      <c r="P112" s="202"/>
      <c r="Q112" s="202"/>
      <c r="R112" s="194" t="str">
        <f xml:space="preserve"> '2.2 Generelle input'!R434</f>
        <v>Højlast</v>
      </c>
      <c r="S112" s="194" t="str">
        <f xml:space="preserve"> '2.2 Generelle input'!S434</f>
        <v>Højlast</v>
      </c>
      <c r="T112" s="194" t="str">
        <f xml:space="preserve"> '2.2 Generelle input'!T434</f>
        <v>Højlast</v>
      </c>
      <c r="U112" s="194" t="str">
        <f xml:space="preserve"> '2.2 Generelle input'!U434</f>
        <v>Højlast</v>
      </c>
      <c r="V112" s="194" t="str">
        <f xml:space="preserve"> '2.2 Generelle input'!V434</f>
        <v>Højlast</v>
      </c>
    </row>
    <row r="113" spans="4:22" ht="15" customHeight="1">
      <c r="D113" s="125" t="s">
        <v>175</v>
      </c>
      <c r="E113" s="27"/>
      <c r="F113" s="27"/>
      <c r="G113" s="27"/>
      <c r="H113" s="27"/>
      <c r="I113" s="27"/>
      <c r="J113" s="27"/>
      <c r="K113" s="98" t="s">
        <v>41</v>
      </c>
      <c r="L113" s="27"/>
      <c r="M113" s="27"/>
      <c r="N113" s="27"/>
      <c r="O113" s="269"/>
      <c r="P113" s="269"/>
      <c r="Q113" s="269"/>
      <c r="R113" s="195" t="str">
        <f xml:space="preserve"> '2.2 Generelle input'!R435</f>
        <v>Højlast</v>
      </c>
      <c r="S113" s="195" t="str">
        <f xml:space="preserve"> '2.2 Generelle input'!S435</f>
        <v>Højlast</v>
      </c>
      <c r="T113" s="195" t="str">
        <f xml:space="preserve"> '2.2 Generelle input'!T435</f>
        <v>Højlast</v>
      </c>
      <c r="U113" s="195" t="str">
        <f xml:space="preserve"> '2.2 Generelle input'!U435</f>
        <v>Højlast</v>
      </c>
      <c r="V113" s="195" t="str">
        <f xml:space="preserve"> '2.2 Generelle input'!V435</f>
        <v>Højlast</v>
      </c>
    </row>
    <row r="115" spans="4:22" ht="15" customHeight="1">
      <c r="D115" s="88" t="s">
        <v>181</v>
      </c>
    </row>
    <row r="116" spans="4:22" ht="15" customHeight="1">
      <c r="D116" s="122" t="s">
        <v>152</v>
      </c>
      <c r="E116" s="15"/>
      <c r="F116" s="15"/>
      <c r="G116" s="15"/>
      <c r="H116" s="15"/>
      <c r="I116" s="15"/>
      <c r="J116" s="15"/>
      <c r="K116" s="117" t="s">
        <v>41</v>
      </c>
      <c r="L116" s="15"/>
      <c r="M116" s="15"/>
      <c r="N116" s="15"/>
      <c r="O116" s="274"/>
      <c r="P116" s="274"/>
      <c r="Q116" s="274"/>
      <c r="R116" s="193" t="str">
        <f xml:space="preserve"> '2.2 Generelle input'!R438</f>
        <v>Lavlast</v>
      </c>
      <c r="S116" s="193" t="str">
        <f xml:space="preserve"> '2.2 Generelle input'!S438</f>
        <v>Lavlast</v>
      </c>
      <c r="T116" s="193" t="str">
        <f xml:space="preserve"> '2.2 Generelle input'!T438</f>
        <v>Lavlast</v>
      </c>
      <c r="U116" s="193" t="str">
        <f xml:space="preserve"> '2.2 Generelle input'!U438</f>
        <v>Lavlast</v>
      </c>
      <c r="V116" s="193" t="str">
        <f xml:space="preserve"> '2.2 Generelle input'!V438</f>
        <v>Lavlast</v>
      </c>
    </row>
    <row r="117" spans="4:22" ht="15" customHeight="1">
      <c r="D117" s="124" t="s">
        <v>153</v>
      </c>
      <c r="K117" s="87" t="s">
        <v>41</v>
      </c>
      <c r="O117" s="202"/>
      <c r="P117" s="202"/>
      <c r="Q117" s="202"/>
      <c r="R117" s="194" t="str">
        <f xml:space="preserve"> '2.2 Generelle input'!R439</f>
        <v>Lavlast</v>
      </c>
      <c r="S117" s="194" t="str">
        <f xml:space="preserve"> '2.2 Generelle input'!S439</f>
        <v>Lavlast</v>
      </c>
      <c r="T117" s="194" t="str">
        <f xml:space="preserve"> '2.2 Generelle input'!T439</f>
        <v>Lavlast</v>
      </c>
      <c r="U117" s="194" t="str">
        <f xml:space="preserve"> '2.2 Generelle input'!U439</f>
        <v>Lavlast</v>
      </c>
      <c r="V117" s="194" t="str">
        <f xml:space="preserve"> '2.2 Generelle input'!V439</f>
        <v>Lavlast</v>
      </c>
    </row>
    <row r="118" spans="4:22" ht="15" customHeight="1">
      <c r="D118" s="124" t="s">
        <v>154</v>
      </c>
      <c r="K118" s="87" t="s">
        <v>41</v>
      </c>
      <c r="O118" s="202"/>
      <c r="P118" s="202"/>
      <c r="Q118" s="202"/>
      <c r="R118" s="194" t="str">
        <f xml:space="preserve"> '2.2 Generelle input'!R440</f>
        <v>Lavlast</v>
      </c>
      <c r="S118" s="194" t="str">
        <f xml:space="preserve"> '2.2 Generelle input'!S440</f>
        <v>Lavlast</v>
      </c>
      <c r="T118" s="194" t="str">
        <f xml:space="preserve"> '2.2 Generelle input'!T440</f>
        <v>Lavlast</v>
      </c>
      <c r="U118" s="194" t="str">
        <f xml:space="preserve"> '2.2 Generelle input'!U440</f>
        <v>Lavlast</v>
      </c>
      <c r="V118" s="194" t="str">
        <f xml:space="preserve"> '2.2 Generelle input'!V440</f>
        <v>Lavlast</v>
      </c>
    </row>
    <row r="119" spans="4:22" ht="15" customHeight="1">
      <c r="D119" s="124" t="s">
        <v>155</v>
      </c>
      <c r="K119" s="87" t="s">
        <v>41</v>
      </c>
      <c r="O119" s="202"/>
      <c r="P119" s="202"/>
      <c r="Q119" s="202"/>
      <c r="R119" s="194" t="str">
        <f xml:space="preserve"> '2.2 Generelle input'!R441</f>
        <v>Lavlast</v>
      </c>
      <c r="S119" s="194" t="str">
        <f xml:space="preserve"> '2.2 Generelle input'!S441</f>
        <v>Lavlast</v>
      </c>
      <c r="T119" s="194" t="str">
        <f xml:space="preserve"> '2.2 Generelle input'!T441</f>
        <v>Lavlast</v>
      </c>
      <c r="U119" s="194" t="str">
        <f xml:space="preserve"> '2.2 Generelle input'!U441</f>
        <v>Lavlast</v>
      </c>
      <c r="V119" s="194" t="str">
        <f xml:space="preserve"> '2.2 Generelle input'!V441</f>
        <v>Lavlast</v>
      </c>
    </row>
    <row r="120" spans="4:22" ht="15" customHeight="1">
      <c r="D120" s="124" t="s">
        <v>156</v>
      </c>
      <c r="K120" s="87" t="s">
        <v>41</v>
      </c>
      <c r="O120" s="202"/>
      <c r="P120" s="202"/>
      <c r="Q120" s="202"/>
      <c r="R120" s="194" t="str">
        <f xml:space="preserve"> '2.2 Generelle input'!R442</f>
        <v>Lavlast</v>
      </c>
      <c r="S120" s="194" t="str">
        <f xml:space="preserve"> '2.2 Generelle input'!S442</f>
        <v>Lavlast</v>
      </c>
      <c r="T120" s="194" t="str">
        <f xml:space="preserve"> '2.2 Generelle input'!T442</f>
        <v>Lavlast</v>
      </c>
      <c r="U120" s="194" t="str">
        <f xml:space="preserve"> '2.2 Generelle input'!U442</f>
        <v>Lavlast</v>
      </c>
      <c r="V120" s="194" t="str">
        <f xml:space="preserve"> '2.2 Generelle input'!V442</f>
        <v>Lavlast</v>
      </c>
    </row>
    <row r="121" spans="4:22" ht="15" customHeight="1">
      <c r="D121" s="124" t="s">
        <v>157</v>
      </c>
      <c r="K121" s="87" t="s">
        <v>41</v>
      </c>
      <c r="O121" s="202"/>
      <c r="P121" s="202"/>
      <c r="Q121" s="202"/>
      <c r="R121" s="194" t="str">
        <f xml:space="preserve"> '2.2 Generelle input'!R443</f>
        <v>Lavlast</v>
      </c>
      <c r="S121" s="194" t="str">
        <f xml:space="preserve"> '2.2 Generelle input'!S443</f>
        <v>Lavlast</v>
      </c>
      <c r="T121" s="194" t="str">
        <f xml:space="preserve"> '2.2 Generelle input'!T443</f>
        <v>Lavlast</v>
      </c>
      <c r="U121" s="194" t="str">
        <f xml:space="preserve"> '2.2 Generelle input'!U443</f>
        <v>Lavlast</v>
      </c>
      <c r="V121" s="194" t="str">
        <f xml:space="preserve"> '2.2 Generelle input'!V443</f>
        <v>Lavlast</v>
      </c>
    </row>
    <row r="122" spans="4:22" ht="15" customHeight="1">
      <c r="D122" s="124" t="s">
        <v>158</v>
      </c>
      <c r="K122" s="87" t="s">
        <v>41</v>
      </c>
      <c r="O122" s="202"/>
      <c r="P122" s="202"/>
      <c r="Q122" s="202"/>
      <c r="R122" s="194" t="str">
        <f xml:space="preserve"> '2.2 Generelle input'!R444</f>
        <v>Lavlast</v>
      </c>
      <c r="S122" s="194" t="str">
        <f xml:space="preserve"> '2.2 Generelle input'!S444</f>
        <v>Lavlast</v>
      </c>
      <c r="T122" s="194" t="str">
        <f xml:space="preserve"> '2.2 Generelle input'!T444</f>
        <v>Lavlast</v>
      </c>
      <c r="U122" s="194" t="str">
        <f xml:space="preserve"> '2.2 Generelle input'!U444</f>
        <v>Lavlast</v>
      </c>
      <c r="V122" s="194" t="str">
        <f xml:space="preserve"> '2.2 Generelle input'!V444</f>
        <v>Højlast</v>
      </c>
    </row>
    <row r="123" spans="4:22" ht="15" customHeight="1">
      <c r="D123" s="124" t="s">
        <v>159</v>
      </c>
      <c r="K123" s="87" t="s">
        <v>41</v>
      </c>
      <c r="O123" s="202"/>
      <c r="P123" s="202"/>
      <c r="Q123" s="202"/>
      <c r="R123" s="194" t="str">
        <f xml:space="preserve"> '2.2 Generelle input'!R445</f>
        <v>Lavlast</v>
      </c>
      <c r="S123" s="194" t="str">
        <f xml:space="preserve"> '2.2 Generelle input'!S445</f>
        <v>Lavlast</v>
      </c>
      <c r="T123" s="194" t="str">
        <f xml:space="preserve"> '2.2 Generelle input'!T445</f>
        <v>Lavlast</v>
      </c>
      <c r="U123" s="194" t="str">
        <f xml:space="preserve"> '2.2 Generelle input'!U445</f>
        <v>Lavlast</v>
      </c>
      <c r="V123" s="194" t="str">
        <f xml:space="preserve"> '2.2 Generelle input'!V445</f>
        <v>Højlast</v>
      </c>
    </row>
    <row r="124" spans="4:22" ht="15" customHeight="1">
      <c r="D124" s="124" t="s">
        <v>160</v>
      </c>
      <c r="K124" s="87" t="s">
        <v>41</v>
      </c>
      <c r="O124" s="202"/>
      <c r="P124" s="202"/>
      <c r="Q124" s="202"/>
      <c r="R124" s="194" t="str">
        <f xml:space="preserve"> '2.2 Generelle input'!R446</f>
        <v>Lavlast</v>
      </c>
      <c r="S124" s="194" t="str">
        <f xml:space="preserve"> '2.2 Generelle input'!S446</f>
        <v>Lavlast</v>
      </c>
      <c r="T124" s="194" t="str">
        <f xml:space="preserve"> '2.2 Generelle input'!T446</f>
        <v>Lavlast</v>
      </c>
      <c r="U124" s="194" t="str">
        <f xml:space="preserve"> '2.2 Generelle input'!U446</f>
        <v>Lavlast</v>
      </c>
      <c r="V124" s="194" t="str">
        <f xml:space="preserve"> '2.2 Generelle input'!V446</f>
        <v>Højlast</v>
      </c>
    </row>
    <row r="125" spans="4:22" ht="15" customHeight="1">
      <c r="D125" s="124" t="s">
        <v>161</v>
      </c>
      <c r="K125" s="87" t="s">
        <v>41</v>
      </c>
      <c r="O125" s="202"/>
      <c r="P125" s="202"/>
      <c r="Q125" s="202"/>
      <c r="R125" s="194" t="str">
        <f xml:space="preserve"> '2.2 Generelle input'!R447</f>
        <v>Lavlast</v>
      </c>
      <c r="S125" s="194" t="str">
        <f xml:space="preserve"> '2.2 Generelle input'!S447</f>
        <v>Lavlast</v>
      </c>
      <c r="T125" s="194" t="str">
        <f xml:space="preserve"> '2.2 Generelle input'!T447</f>
        <v>Lavlast</v>
      </c>
      <c r="U125" s="194" t="str">
        <f xml:space="preserve"> '2.2 Generelle input'!U447</f>
        <v>Lavlast</v>
      </c>
      <c r="V125" s="194" t="str">
        <f xml:space="preserve"> '2.2 Generelle input'!V447</f>
        <v>Højlast</v>
      </c>
    </row>
    <row r="126" spans="4:22" ht="15" customHeight="1">
      <c r="D126" s="124" t="s">
        <v>162</v>
      </c>
      <c r="K126" s="87" t="s">
        <v>41</v>
      </c>
      <c r="O126" s="202"/>
      <c r="P126" s="202"/>
      <c r="Q126" s="202"/>
      <c r="R126" s="194" t="str">
        <f xml:space="preserve"> '2.2 Generelle input'!R448</f>
        <v>Lavlast</v>
      </c>
      <c r="S126" s="194" t="str">
        <f xml:space="preserve"> '2.2 Generelle input'!S448</f>
        <v>Lavlast</v>
      </c>
      <c r="T126" s="194" t="str">
        <f xml:space="preserve"> '2.2 Generelle input'!T448</f>
        <v>Lavlast</v>
      </c>
      <c r="U126" s="194" t="str">
        <f xml:space="preserve"> '2.2 Generelle input'!U448</f>
        <v>Lavlast</v>
      </c>
      <c r="V126" s="194" t="str">
        <f xml:space="preserve"> '2.2 Generelle input'!V448</f>
        <v>Højlast</v>
      </c>
    </row>
    <row r="127" spans="4:22" ht="15" customHeight="1">
      <c r="D127" s="124" t="s">
        <v>163</v>
      </c>
      <c r="K127" s="87" t="s">
        <v>41</v>
      </c>
      <c r="O127" s="202"/>
      <c r="P127" s="202"/>
      <c r="Q127" s="202"/>
      <c r="R127" s="194" t="str">
        <f xml:space="preserve"> '2.2 Generelle input'!R449</f>
        <v>Lavlast</v>
      </c>
      <c r="S127" s="194" t="str">
        <f xml:space="preserve"> '2.2 Generelle input'!S449</f>
        <v>Lavlast</v>
      </c>
      <c r="T127" s="194" t="str">
        <f xml:space="preserve"> '2.2 Generelle input'!T449</f>
        <v>Lavlast</v>
      </c>
      <c r="U127" s="194" t="str">
        <f xml:space="preserve"> '2.2 Generelle input'!U449</f>
        <v>Lavlast</v>
      </c>
      <c r="V127" s="194" t="str">
        <f xml:space="preserve"> '2.2 Generelle input'!V449</f>
        <v>Højlast</v>
      </c>
    </row>
    <row r="128" spans="4:22" ht="15" customHeight="1">
      <c r="D128" s="124" t="s">
        <v>164</v>
      </c>
      <c r="K128" s="87" t="s">
        <v>41</v>
      </c>
      <c r="O128" s="202"/>
      <c r="P128" s="202"/>
      <c r="Q128" s="202"/>
      <c r="R128" s="194" t="str">
        <f xml:space="preserve"> '2.2 Generelle input'!R450</f>
        <v>Lavlast</v>
      </c>
      <c r="S128" s="194" t="str">
        <f xml:space="preserve"> '2.2 Generelle input'!S450</f>
        <v>Lavlast</v>
      </c>
      <c r="T128" s="194" t="str">
        <f xml:space="preserve"> '2.2 Generelle input'!T450</f>
        <v>Lavlast</v>
      </c>
      <c r="U128" s="194" t="str">
        <f xml:space="preserve"> '2.2 Generelle input'!U450</f>
        <v>Lavlast</v>
      </c>
      <c r="V128" s="194" t="str">
        <f xml:space="preserve"> '2.2 Generelle input'!V450</f>
        <v>Højlast</v>
      </c>
    </row>
    <row r="129" spans="2:22" ht="15" customHeight="1">
      <c r="D129" s="124" t="s">
        <v>165</v>
      </c>
      <c r="K129" s="87" t="s">
        <v>41</v>
      </c>
      <c r="O129" s="202"/>
      <c r="P129" s="202"/>
      <c r="Q129" s="202"/>
      <c r="R129" s="194" t="str">
        <f xml:space="preserve"> '2.2 Generelle input'!R451</f>
        <v>Lavlast</v>
      </c>
      <c r="S129" s="194" t="str">
        <f xml:space="preserve"> '2.2 Generelle input'!S451</f>
        <v>Lavlast</v>
      </c>
      <c r="T129" s="194" t="str">
        <f xml:space="preserve"> '2.2 Generelle input'!T451</f>
        <v>Lavlast</v>
      </c>
      <c r="U129" s="194" t="str">
        <f xml:space="preserve"> '2.2 Generelle input'!U451</f>
        <v>Lavlast</v>
      </c>
      <c r="V129" s="194" t="str">
        <f xml:space="preserve"> '2.2 Generelle input'!V451</f>
        <v>Højlast</v>
      </c>
    </row>
    <row r="130" spans="2:22" ht="15" customHeight="1">
      <c r="D130" s="124" t="s">
        <v>166</v>
      </c>
      <c r="K130" s="87" t="s">
        <v>41</v>
      </c>
      <c r="O130" s="202"/>
      <c r="P130" s="202"/>
      <c r="Q130" s="202"/>
      <c r="R130" s="194" t="str">
        <f xml:space="preserve"> '2.2 Generelle input'!R452</f>
        <v>Lavlast</v>
      </c>
      <c r="S130" s="194" t="str">
        <f xml:space="preserve"> '2.2 Generelle input'!S452</f>
        <v>Lavlast</v>
      </c>
      <c r="T130" s="194" t="str">
        <f xml:space="preserve"> '2.2 Generelle input'!T452</f>
        <v>Lavlast</v>
      </c>
      <c r="U130" s="194" t="str">
        <f xml:space="preserve"> '2.2 Generelle input'!U452</f>
        <v>Lavlast</v>
      </c>
      <c r="V130" s="194" t="str">
        <f xml:space="preserve"> '2.2 Generelle input'!V452</f>
        <v>Højlast</v>
      </c>
    </row>
    <row r="131" spans="2:22" ht="15" customHeight="1">
      <c r="D131" s="124" t="s">
        <v>167</v>
      </c>
      <c r="K131" s="87" t="s">
        <v>41</v>
      </c>
      <c r="O131" s="202"/>
      <c r="P131" s="202"/>
      <c r="Q131" s="202"/>
      <c r="R131" s="194" t="str">
        <f xml:space="preserve"> '2.2 Generelle input'!R453</f>
        <v>Lavlast</v>
      </c>
      <c r="S131" s="194" t="str">
        <f xml:space="preserve"> '2.2 Generelle input'!S453</f>
        <v>Lavlast</v>
      </c>
      <c r="T131" s="194" t="str">
        <f xml:space="preserve"> '2.2 Generelle input'!T453</f>
        <v>Lavlast</v>
      </c>
      <c r="U131" s="194" t="str">
        <f xml:space="preserve"> '2.2 Generelle input'!U453</f>
        <v>Lavlast</v>
      </c>
      <c r="V131" s="194" t="str">
        <f xml:space="preserve"> '2.2 Generelle input'!V453</f>
        <v>Højlast</v>
      </c>
    </row>
    <row r="132" spans="2:22" ht="15" customHeight="1">
      <c r="D132" s="124" t="s">
        <v>168</v>
      </c>
      <c r="K132" s="87" t="s">
        <v>41</v>
      </c>
      <c r="O132" s="202"/>
      <c r="P132" s="202"/>
      <c r="Q132" s="202"/>
      <c r="R132" s="194" t="str">
        <f xml:space="preserve"> '2.2 Generelle input'!R454</f>
        <v>Lavlast</v>
      </c>
      <c r="S132" s="194" t="str">
        <f xml:space="preserve"> '2.2 Generelle input'!S454</f>
        <v>Lavlast</v>
      </c>
      <c r="T132" s="194" t="str">
        <f xml:space="preserve"> '2.2 Generelle input'!T454</f>
        <v>Lavlast</v>
      </c>
      <c r="U132" s="194" t="str">
        <f xml:space="preserve"> '2.2 Generelle input'!U454</f>
        <v>Lavlast</v>
      </c>
      <c r="V132" s="194" t="str">
        <f xml:space="preserve"> '2.2 Generelle input'!V454</f>
        <v>Højlast</v>
      </c>
    </row>
    <row r="133" spans="2:22" ht="15" customHeight="1">
      <c r="D133" s="124" t="s">
        <v>169</v>
      </c>
      <c r="K133" s="87" t="s">
        <v>41</v>
      </c>
      <c r="O133" s="202"/>
      <c r="P133" s="202"/>
      <c r="Q133" s="202"/>
      <c r="R133" s="194" t="str">
        <f xml:space="preserve"> '2.2 Generelle input'!R455</f>
        <v>Lavlast</v>
      </c>
      <c r="S133" s="194" t="str">
        <f xml:space="preserve"> '2.2 Generelle input'!S455</f>
        <v>Lavlast</v>
      </c>
      <c r="T133" s="194" t="str">
        <f xml:space="preserve"> '2.2 Generelle input'!T455</f>
        <v>Lavlast</v>
      </c>
      <c r="U133" s="194" t="str">
        <f xml:space="preserve"> '2.2 Generelle input'!U455</f>
        <v>Lavlast</v>
      </c>
      <c r="V133" s="194" t="str">
        <f xml:space="preserve"> '2.2 Generelle input'!V455</f>
        <v>Spidslast</v>
      </c>
    </row>
    <row r="134" spans="2:22" ht="15" customHeight="1">
      <c r="D134" s="124" t="s">
        <v>170</v>
      </c>
      <c r="K134" s="87" t="s">
        <v>41</v>
      </c>
      <c r="O134" s="202"/>
      <c r="P134" s="202"/>
      <c r="Q134" s="202"/>
      <c r="R134" s="194" t="str">
        <f xml:space="preserve"> '2.2 Generelle input'!R456</f>
        <v>Lavlast</v>
      </c>
      <c r="S134" s="194" t="str">
        <f xml:space="preserve"> '2.2 Generelle input'!S456</f>
        <v>Lavlast</v>
      </c>
      <c r="T134" s="194" t="str">
        <f xml:space="preserve"> '2.2 Generelle input'!T456</f>
        <v>Lavlast</v>
      </c>
      <c r="U134" s="194" t="str">
        <f xml:space="preserve"> '2.2 Generelle input'!U456</f>
        <v>Lavlast</v>
      </c>
      <c r="V134" s="194" t="str">
        <f xml:space="preserve"> '2.2 Generelle input'!V456</f>
        <v>Spidslast</v>
      </c>
    </row>
    <row r="135" spans="2:22" ht="15" customHeight="1">
      <c r="D135" s="124" t="s">
        <v>171</v>
      </c>
      <c r="K135" s="87" t="s">
        <v>41</v>
      </c>
      <c r="O135" s="202"/>
      <c r="P135" s="202"/>
      <c r="Q135" s="202"/>
      <c r="R135" s="194" t="str">
        <f xml:space="preserve"> '2.2 Generelle input'!R457</f>
        <v>Lavlast</v>
      </c>
      <c r="S135" s="194" t="str">
        <f xml:space="preserve"> '2.2 Generelle input'!S457</f>
        <v>Lavlast</v>
      </c>
      <c r="T135" s="194" t="str">
        <f xml:space="preserve"> '2.2 Generelle input'!T457</f>
        <v>Lavlast</v>
      </c>
      <c r="U135" s="194" t="str">
        <f xml:space="preserve"> '2.2 Generelle input'!U457</f>
        <v>Lavlast</v>
      </c>
      <c r="V135" s="194" t="str">
        <f xml:space="preserve"> '2.2 Generelle input'!V457</f>
        <v>Spidslast</v>
      </c>
    </row>
    <row r="136" spans="2:22" ht="15" customHeight="1">
      <c r="D136" s="124" t="s">
        <v>172</v>
      </c>
      <c r="K136" s="87" t="s">
        <v>41</v>
      </c>
      <c r="O136" s="202"/>
      <c r="P136" s="202"/>
      <c r="Q136" s="202"/>
      <c r="R136" s="194" t="str">
        <f xml:space="preserve"> '2.2 Generelle input'!R458</f>
        <v>Lavlast</v>
      </c>
      <c r="S136" s="194" t="str">
        <f xml:space="preserve"> '2.2 Generelle input'!S458</f>
        <v>Lavlast</v>
      </c>
      <c r="T136" s="194" t="str">
        <f xml:space="preserve"> '2.2 Generelle input'!T458</f>
        <v>Lavlast</v>
      </c>
      <c r="U136" s="194" t="str">
        <f xml:space="preserve"> '2.2 Generelle input'!U458</f>
        <v>Lavlast</v>
      </c>
      <c r="V136" s="194" t="str">
        <f xml:space="preserve"> '2.2 Generelle input'!V458</f>
        <v>Spidslast</v>
      </c>
    </row>
    <row r="137" spans="2:22" ht="15" customHeight="1">
      <c r="D137" s="124" t="s">
        <v>173</v>
      </c>
      <c r="K137" s="87" t="s">
        <v>41</v>
      </c>
      <c r="O137" s="202"/>
      <c r="P137" s="202"/>
      <c r="Q137" s="202"/>
      <c r="R137" s="194" t="str">
        <f xml:space="preserve"> '2.2 Generelle input'!R459</f>
        <v>Lavlast</v>
      </c>
      <c r="S137" s="194" t="str">
        <f xml:space="preserve"> '2.2 Generelle input'!S459</f>
        <v>Lavlast</v>
      </c>
      <c r="T137" s="194" t="str">
        <f xml:space="preserve"> '2.2 Generelle input'!T459</f>
        <v>Lavlast</v>
      </c>
      <c r="U137" s="194" t="str">
        <f xml:space="preserve"> '2.2 Generelle input'!U459</f>
        <v>Lavlast</v>
      </c>
      <c r="V137" s="194" t="str">
        <f xml:space="preserve"> '2.2 Generelle input'!V459</f>
        <v>Højlast</v>
      </c>
    </row>
    <row r="138" spans="2:22" ht="15" customHeight="1">
      <c r="D138" s="124" t="s">
        <v>174</v>
      </c>
      <c r="K138" s="87" t="s">
        <v>41</v>
      </c>
      <c r="O138" s="202"/>
      <c r="P138" s="202"/>
      <c r="Q138" s="202"/>
      <c r="R138" s="194" t="str">
        <f xml:space="preserve"> '2.2 Generelle input'!R460</f>
        <v>Lavlast</v>
      </c>
      <c r="S138" s="194" t="str">
        <f xml:space="preserve"> '2.2 Generelle input'!S460</f>
        <v>Lavlast</v>
      </c>
      <c r="T138" s="194" t="str">
        <f xml:space="preserve"> '2.2 Generelle input'!T460</f>
        <v>Lavlast</v>
      </c>
      <c r="U138" s="194" t="str">
        <f xml:space="preserve"> '2.2 Generelle input'!U460</f>
        <v>Lavlast</v>
      </c>
      <c r="V138" s="194" t="str">
        <f xml:space="preserve"> '2.2 Generelle input'!V460</f>
        <v>Højlast</v>
      </c>
    </row>
    <row r="139" spans="2:22" ht="15" customHeight="1">
      <c r="D139" s="125" t="s">
        <v>175</v>
      </c>
      <c r="E139" s="27"/>
      <c r="F139" s="27"/>
      <c r="G139" s="27"/>
      <c r="H139" s="27"/>
      <c r="I139" s="27"/>
      <c r="J139" s="27"/>
      <c r="K139" s="98" t="s">
        <v>41</v>
      </c>
      <c r="L139" s="27"/>
      <c r="M139" s="27"/>
      <c r="N139" s="27"/>
      <c r="O139" s="269"/>
      <c r="P139" s="269"/>
      <c r="Q139" s="269"/>
      <c r="R139" s="195" t="str">
        <f xml:space="preserve"> '2.2 Generelle input'!R461</f>
        <v>Lavlast</v>
      </c>
      <c r="S139" s="195" t="str">
        <f xml:space="preserve"> '2.2 Generelle input'!S461</f>
        <v>Lavlast</v>
      </c>
      <c r="T139" s="195" t="str">
        <f xml:space="preserve"> '2.2 Generelle input'!T461</f>
        <v>Lavlast</v>
      </c>
      <c r="U139" s="195" t="str">
        <f xml:space="preserve"> '2.2 Generelle input'!U461</f>
        <v>Lavlast</v>
      </c>
      <c r="V139" s="195" t="str">
        <f xml:space="preserve"> '2.2 Generelle input'!V461</f>
        <v>Højlast</v>
      </c>
    </row>
    <row r="143" spans="2:22" s="475" customFormat="1" ht="15" customHeight="1">
      <c r="B143" s="479" t="str">
        <f xml:space="preserve"> COUNTA(B$10:B36) &amp; ") Budgetteret forbrug"</f>
        <v>3) Budgetteret forbrug</v>
      </c>
      <c r="C143" s="477"/>
      <c r="D143" s="478"/>
      <c r="K143" s="472"/>
    </row>
    <row r="144" spans="2:22" s="205" customFormat="1" ht="15" customHeight="1">
      <c r="C144" s="206"/>
      <c r="D144" s="207"/>
      <c r="K144" s="208"/>
    </row>
    <row r="145" spans="1:23" customFormat="1" ht="15" customHeight="1">
      <c r="A145" s="1"/>
      <c r="B145" s="1"/>
      <c r="C145" s="2"/>
      <c r="D145" s="88" t="s">
        <v>504</v>
      </c>
      <c r="E145" s="1"/>
      <c r="F145" s="107"/>
      <c r="G145" s="107"/>
      <c r="H145" s="107"/>
      <c r="I145" s="107"/>
      <c r="J145" s="107"/>
      <c r="K145" s="87"/>
      <c r="L145" s="85"/>
      <c r="M145" s="85"/>
      <c r="N145" s="107"/>
      <c r="O145" s="107"/>
      <c r="P145" s="107"/>
      <c r="Q145" s="107"/>
      <c r="R145" s="1"/>
      <c r="S145" s="1"/>
      <c r="T145" s="1"/>
      <c r="U145" s="1"/>
      <c r="V145" s="1"/>
      <c r="W145" s="89" t="s">
        <v>16</v>
      </c>
    </row>
    <row r="146" spans="1:23" customFormat="1" ht="15" customHeight="1">
      <c r="A146" s="1"/>
      <c r="B146" s="1"/>
      <c r="C146" s="2"/>
      <c r="D146" s="122" t="s">
        <v>152</v>
      </c>
      <c r="E146" s="15"/>
      <c r="F146" s="116"/>
      <c r="G146" s="116"/>
      <c r="H146" s="116"/>
      <c r="I146" s="116"/>
      <c r="J146" s="116"/>
      <c r="K146" s="117" t="str">
        <f t="shared" ref="K146:K170" si="1">Model.Units2</f>
        <v>kWh</v>
      </c>
      <c r="L146" s="123"/>
      <c r="M146" s="123"/>
      <c r="N146" s="116"/>
      <c r="O146" s="369"/>
      <c r="P146" s="369"/>
      <c r="Q146" s="369"/>
      <c r="R146" s="15">
        <f xml:space="preserve"> '2.3 Selskabsspecifikke input'!R190</f>
        <v>0</v>
      </c>
      <c r="S146" s="15">
        <f xml:space="preserve"> '2.3 Selskabsspecifikke input'!S190</f>
        <v>0</v>
      </c>
      <c r="T146" s="15">
        <f xml:space="preserve"> '2.3 Selskabsspecifikke input'!T190</f>
        <v>0</v>
      </c>
      <c r="U146" s="15">
        <f xml:space="preserve"> '2.3 Selskabsspecifikke input'!U190</f>
        <v>0</v>
      </c>
      <c r="V146" s="15">
        <f xml:space="preserve"> '2.3 Selskabsspecifikke input'!V190</f>
        <v>0</v>
      </c>
      <c r="W146" s="18">
        <f xml:space="preserve"> SUM( R146:V146 )</f>
        <v>0</v>
      </c>
    </row>
    <row r="147" spans="1:23" customFormat="1" ht="15" customHeight="1">
      <c r="A147" s="1"/>
      <c r="B147" s="1"/>
      <c r="C147" s="2"/>
      <c r="D147" s="124" t="s">
        <v>153</v>
      </c>
      <c r="E147" s="1"/>
      <c r="F147" s="107"/>
      <c r="G147" s="107"/>
      <c r="H147" s="107"/>
      <c r="I147" s="107"/>
      <c r="J147" s="107"/>
      <c r="K147" s="87" t="str">
        <f t="shared" si="1"/>
        <v>kWh</v>
      </c>
      <c r="L147" s="85"/>
      <c r="M147" s="85"/>
      <c r="N147" s="107"/>
      <c r="O147" s="370"/>
      <c r="P147" s="370"/>
      <c r="Q147" s="370"/>
      <c r="R147" s="1">
        <f xml:space="preserve"> '2.3 Selskabsspecifikke input'!R191</f>
        <v>0</v>
      </c>
      <c r="S147" s="1">
        <f xml:space="preserve"> '2.3 Selskabsspecifikke input'!S191</f>
        <v>0</v>
      </c>
      <c r="T147" s="1">
        <f xml:space="preserve"> '2.3 Selskabsspecifikke input'!T191</f>
        <v>0</v>
      </c>
      <c r="U147" s="1">
        <f xml:space="preserve"> '2.3 Selskabsspecifikke input'!U191</f>
        <v>0</v>
      </c>
      <c r="V147" s="1">
        <f xml:space="preserve"> '2.3 Selskabsspecifikke input'!V191</f>
        <v>0</v>
      </c>
      <c r="W147" s="4">
        <f t="shared" ref="W147:W169" si="2" xml:space="preserve"> SUM( R147:V147 )</f>
        <v>0</v>
      </c>
    </row>
    <row r="148" spans="1:23" customFormat="1" ht="15" customHeight="1">
      <c r="A148" s="1"/>
      <c r="B148" s="1"/>
      <c r="C148" s="2"/>
      <c r="D148" s="124" t="s">
        <v>154</v>
      </c>
      <c r="E148" s="1"/>
      <c r="F148" s="107"/>
      <c r="G148" s="107"/>
      <c r="H148" s="107"/>
      <c r="I148" s="107"/>
      <c r="J148" s="107"/>
      <c r="K148" s="87" t="str">
        <f t="shared" si="1"/>
        <v>kWh</v>
      </c>
      <c r="L148" s="85"/>
      <c r="M148" s="85"/>
      <c r="N148" s="107"/>
      <c r="O148" s="370"/>
      <c r="P148" s="370"/>
      <c r="Q148" s="370"/>
      <c r="R148" s="1">
        <f xml:space="preserve"> '2.3 Selskabsspecifikke input'!R192</f>
        <v>0</v>
      </c>
      <c r="S148" s="1">
        <f xml:space="preserve"> '2.3 Selskabsspecifikke input'!S192</f>
        <v>0</v>
      </c>
      <c r="T148" s="1">
        <f xml:space="preserve"> '2.3 Selskabsspecifikke input'!T192</f>
        <v>0</v>
      </c>
      <c r="U148" s="1">
        <f xml:space="preserve"> '2.3 Selskabsspecifikke input'!U192</f>
        <v>0</v>
      </c>
      <c r="V148" s="1">
        <f xml:space="preserve"> '2.3 Selskabsspecifikke input'!V192</f>
        <v>0</v>
      </c>
      <c r="W148" s="4">
        <f t="shared" si="2"/>
        <v>0</v>
      </c>
    </row>
    <row r="149" spans="1:23" customFormat="1" ht="15" customHeight="1">
      <c r="A149" s="1"/>
      <c r="B149" s="1"/>
      <c r="C149" s="2"/>
      <c r="D149" s="124" t="s">
        <v>155</v>
      </c>
      <c r="E149" s="1"/>
      <c r="F149" s="107"/>
      <c r="G149" s="107"/>
      <c r="H149" s="107"/>
      <c r="I149" s="107"/>
      <c r="J149" s="107"/>
      <c r="K149" s="87" t="str">
        <f t="shared" si="1"/>
        <v>kWh</v>
      </c>
      <c r="L149" s="85"/>
      <c r="M149" s="85"/>
      <c r="N149" s="107"/>
      <c r="O149" s="370"/>
      <c r="P149" s="370"/>
      <c r="Q149" s="370"/>
      <c r="R149" s="1">
        <f xml:space="preserve"> '2.3 Selskabsspecifikke input'!R193</f>
        <v>0</v>
      </c>
      <c r="S149" s="1">
        <f xml:space="preserve"> '2.3 Selskabsspecifikke input'!S193</f>
        <v>0</v>
      </c>
      <c r="T149" s="1">
        <f xml:space="preserve"> '2.3 Selskabsspecifikke input'!T193</f>
        <v>0</v>
      </c>
      <c r="U149" s="1">
        <f xml:space="preserve"> '2.3 Selskabsspecifikke input'!U193</f>
        <v>0</v>
      </c>
      <c r="V149" s="1">
        <f xml:space="preserve"> '2.3 Selskabsspecifikke input'!V193</f>
        <v>0</v>
      </c>
      <c r="W149" s="4">
        <f t="shared" si="2"/>
        <v>0</v>
      </c>
    </row>
    <row r="150" spans="1:23" customFormat="1" ht="15" customHeight="1">
      <c r="A150" s="1"/>
      <c r="B150" s="1"/>
      <c r="C150" s="2"/>
      <c r="D150" s="124" t="s">
        <v>156</v>
      </c>
      <c r="E150" s="1"/>
      <c r="F150" s="107"/>
      <c r="G150" s="107"/>
      <c r="H150" s="107"/>
      <c r="I150" s="107"/>
      <c r="J150" s="107"/>
      <c r="K150" s="87" t="str">
        <f t="shared" si="1"/>
        <v>kWh</v>
      </c>
      <c r="L150" s="85"/>
      <c r="M150" s="85"/>
      <c r="N150" s="107"/>
      <c r="O150" s="370"/>
      <c r="P150" s="370"/>
      <c r="Q150" s="370"/>
      <c r="R150" s="1">
        <f xml:space="preserve"> '2.3 Selskabsspecifikke input'!R194</f>
        <v>0</v>
      </c>
      <c r="S150" s="1">
        <f xml:space="preserve"> '2.3 Selskabsspecifikke input'!S194</f>
        <v>0</v>
      </c>
      <c r="T150" s="1">
        <f xml:space="preserve"> '2.3 Selskabsspecifikke input'!T194</f>
        <v>0</v>
      </c>
      <c r="U150" s="1">
        <f xml:space="preserve"> '2.3 Selskabsspecifikke input'!U194</f>
        <v>0</v>
      </c>
      <c r="V150" s="1">
        <f xml:space="preserve"> '2.3 Selskabsspecifikke input'!V194</f>
        <v>0</v>
      </c>
      <c r="W150" s="4">
        <f t="shared" si="2"/>
        <v>0</v>
      </c>
    </row>
    <row r="151" spans="1:23" customFormat="1" ht="15" customHeight="1">
      <c r="A151" s="1"/>
      <c r="B151" s="1"/>
      <c r="C151" s="2"/>
      <c r="D151" s="124" t="s">
        <v>157</v>
      </c>
      <c r="E151" s="1"/>
      <c r="F151" s="107"/>
      <c r="G151" s="107"/>
      <c r="H151" s="107"/>
      <c r="I151" s="107"/>
      <c r="J151" s="107"/>
      <c r="K151" s="87" t="str">
        <f t="shared" si="1"/>
        <v>kWh</v>
      </c>
      <c r="L151" s="85"/>
      <c r="M151" s="85"/>
      <c r="N151" s="107"/>
      <c r="O151" s="370"/>
      <c r="P151" s="370"/>
      <c r="Q151" s="370"/>
      <c r="R151" s="1">
        <f xml:space="preserve"> '2.3 Selskabsspecifikke input'!R195</f>
        <v>0</v>
      </c>
      <c r="S151" s="1">
        <f xml:space="preserve"> '2.3 Selskabsspecifikke input'!S195</f>
        <v>0</v>
      </c>
      <c r="T151" s="1">
        <f xml:space="preserve"> '2.3 Selskabsspecifikke input'!T195</f>
        <v>0</v>
      </c>
      <c r="U151" s="1">
        <f xml:space="preserve"> '2.3 Selskabsspecifikke input'!U195</f>
        <v>0</v>
      </c>
      <c r="V151" s="1">
        <f xml:space="preserve"> '2.3 Selskabsspecifikke input'!V195</f>
        <v>0</v>
      </c>
      <c r="W151" s="4">
        <f t="shared" si="2"/>
        <v>0</v>
      </c>
    </row>
    <row r="152" spans="1:23" customFormat="1" ht="15" customHeight="1">
      <c r="A152" s="1"/>
      <c r="B152" s="1"/>
      <c r="C152" s="2"/>
      <c r="D152" s="124" t="s">
        <v>158</v>
      </c>
      <c r="E152" s="1"/>
      <c r="F152" s="107"/>
      <c r="G152" s="107"/>
      <c r="H152" s="107"/>
      <c r="I152" s="107"/>
      <c r="J152" s="107"/>
      <c r="K152" s="87" t="str">
        <f t="shared" si="1"/>
        <v>kWh</v>
      </c>
      <c r="L152" s="85"/>
      <c r="M152" s="85"/>
      <c r="N152" s="107"/>
      <c r="O152" s="370"/>
      <c r="P152" s="370"/>
      <c r="Q152" s="370"/>
      <c r="R152" s="1">
        <f xml:space="preserve"> '2.3 Selskabsspecifikke input'!R196</f>
        <v>0</v>
      </c>
      <c r="S152" s="1">
        <f xml:space="preserve"> '2.3 Selskabsspecifikke input'!S196</f>
        <v>0</v>
      </c>
      <c r="T152" s="1">
        <f xml:space="preserve"> '2.3 Selskabsspecifikke input'!T196</f>
        <v>0</v>
      </c>
      <c r="U152" s="1">
        <f xml:space="preserve"> '2.3 Selskabsspecifikke input'!U196</f>
        <v>0</v>
      </c>
      <c r="V152" s="1">
        <f xml:space="preserve"> '2.3 Selskabsspecifikke input'!V196</f>
        <v>0</v>
      </c>
      <c r="W152" s="4">
        <f t="shared" si="2"/>
        <v>0</v>
      </c>
    </row>
    <row r="153" spans="1:23" customFormat="1" ht="15" customHeight="1">
      <c r="A153" s="1"/>
      <c r="B153" s="1"/>
      <c r="C153" s="2"/>
      <c r="D153" s="124" t="s">
        <v>159</v>
      </c>
      <c r="E153" s="1"/>
      <c r="F153" s="107"/>
      <c r="G153" s="107"/>
      <c r="H153" s="107"/>
      <c r="I153" s="107"/>
      <c r="J153" s="107"/>
      <c r="K153" s="87" t="str">
        <f t="shared" si="1"/>
        <v>kWh</v>
      </c>
      <c r="L153" s="85"/>
      <c r="M153" s="85"/>
      <c r="N153" s="107"/>
      <c r="O153" s="370"/>
      <c r="P153" s="370"/>
      <c r="Q153" s="370"/>
      <c r="R153" s="1">
        <f xml:space="preserve"> '2.3 Selskabsspecifikke input'!R197</f>
        <v>0</v>
      </c>
      <c r="S153" s="1">
        <f xml:space="preserve"> '2.3 Selskabsspecifikke input'!S197</f>
        <v>0</v>
      </c>
      <c r="T153" s="1">
        <f xml:space="preserve"> '2.3 Selskabsspecifikke input'!T197</f>
        <v>0</v>
      </c>
      <c r="U153" s="1">
        <f xml:space="preserve"> '2.3 Selskabsspecifikke input'!U197</f>
        <v>0</v>
      </c>
      <c r="V153" s="1">
        <f xml:space="preserve"> '2.3 Selskabsspecifikke input'!V197</f>
        <v>0</v>
      </c>
      <c r="W153" s="4">
        <f t="shared" si="2"/>
        <v>0</v>
      </c>
    </row>
    <row r="154" spans="1:23" customFormat="1" ht="15" customHeight="1">
      <c r="A154" s="1"/>
      <c r="B154" s="1"/>
      <c r="C154" s="2"/>
      <c r="D154" s="124" t="s">
        <v>160</v>
      </c>
      <c r="E154" s="1"/>
      <c r="F154" s="107"/>
      <c r="G154" s="107"/>
      <c r="H154" s="107"/>
      <c r="I154" s="107"/>
      <c r="J154" s="107"/>
      <c r="K154" s="87" t="str">
        <f t="shared" si="1"/>
        <v>kWh</v>
      </c>
      <c r="L154" s="85"/>
      <c r="M154" s="85"/>
      <c r="N154" s="107"/>
      <c r="O154" s="370"/>
      <c r="P154" s="370"/>
      <c r="Q154" s="370"/>
      <c r="R154" s="1">
        <f xml:space="preserve"> '2.3 Selskabsspecifikke input'!R198</f>
        <v>0</v>
      </c>
      <c r="S154" s="1">
        <f xml:space="preserve"> '2.3 Selskabsspecifikke input'!S198</f>
        <v>0</v>
      </c>
      <c r="T154" s="1">
        <f xml:space="preserve"> '2.3 Selskabsspecifikke input'!T198</f>
        <v>0</v>
      </c>
      <c r="U154" s="1">
        <f xml:space="preserve"> '2.3 Selskabsspecifikke input'!U198</f>
        <v>0</v>
      </c>
      <c r="V154" s="1">
        <f xml:space="preserve"> '2.3 Selskabsspecifikke input'!V198</f>
        <v>0</v>
      </c>
      <c r="W154" s="4">
        <f t="shared" si="2"/>
        <v>0</v>
      </c>
    </row>
    <row r="155" spans="1:23" customFormat="1" ht="15" customHeight="1">
      <c r="A155" s="1"/>
      <c r="B155" s="1"/>
      <c r="C155" s="2"/>
      <c r="D155" s="124" t="s">
        <v>161</v>
      </c>
      <c r="E155" s="1"/>
      <c r="F155" s="107"/>
      <c r="G155" s="107"/>
      <c r="H155" s="107"/>
      <c r="I155" s="107"/>
      <c r="J155" s="107"/>
      <c r="K155" s="87" t="str">
        <f t="shared" si="1"/>
        <v>kWh</v>
      </c>
      <c r="L155" s="85"/>
      <c r="M155" s="85"/>
      <c r="N155" s="107"/>
      <c r="O155" s="370"/>
      <c r="P155" s="370"/>
      <c r="Q155" s="370"/>
      <c r="R155" s="1">
        <f xml:space="preserve"> '2.3 Selskabsspecifikke input'!R199</f>
        <v>0</v>
      </c>
      <c r="S155" s="1">
        <f xml:space="preserve"> '2.3 Selskabsspecifikke input'!S199</f>
        <v>0</v>
      </c>
      <c r="T155" s="1">
        <f xml:space="preserve"> '2.3 Selskabsspecifikke input'!T199</f>
        <v>0</v>
      </c>
      <c r="U155" s="1">
        <f xml:space="preserve"> '2.3 Selskabsspecifikke input'!U199</f>
        <v>0</v>
      </c>
      <c r="V155" s="1">
        <f xml:space="preserve"> '2.3 Selskabsspecifikke input'!V199</f>
        <v>0</v>
      </c>
      <c r="W155" s="4">
        <f t="shared" si="2"/>
        <v>0</v>
      </c>
    </row>
    <row r="156" spans="1:23" customFormat="1" ht="15" customHeight="1">
      <c r="A156" s="1"/>
      <c r="B156" s="1"/>
      <c r="C156" s="2"/>
      <c r="D156" s="124" t="s">
        <v>162</v>
      </c>
      <c r="E156" s="1"/>
      <c r="F156" s="107"/>
      <c r="G156" s="107"/>
      <c r="H156" s="107"/>
      <c r="I156" s="107"/>
      <c r="J156" s="107"/>
      <c r="K156" s="87" t="str">
        <f t="shared" si="1"/>
        <v>kWh</v>
      </c>
      <c r="L156" s="85"/>
      <c r="M156" s="85"/>
      <c r="N156" s="107"/>
      <c r="O156" s="370"/>
      <c r="P156" s="370"/>
      <c r="Q156" s="370"/>
      <c r="R156" s="1">
        <f xml:space="preserve"> '2.3 Selskabsspecifikke input'!R200</f>
        <v>0</v>
      </c>
      <c r="S156" s="1">
        <f xml:space="preserve"> '2.3 Selskabsspecifikke input'!S200</f>
        <v>0</v>
      </c>
      <c r="T156" s="1">
        <f xml:space="preserve"> '2.3 Selskabsspecifikke input'!T200</f>
        <v>0</v>
      </c>
      <c r="U156" s="1">
        <f xml:space="preserve"> '2.3 Selskabsspecifikke input'!U200</f>
        <v>0</v>
      </c>
      <c r="V156" s="1">
        <f xml:space="preserve"> '2.3 Selskabsspecifikke input'!V200</f>
        <v>0</v>
      </c>
      <c r="W156" s="4">
        <f t="shared" si="2"/>
        <v>0</v>
      </c>
    </row>
    <row r="157" spans="1:23" customFormat="1" ht="15" customHeight="1">
      <c r="A157" s="1"/>
      <c r="B157" s="1"/>
      <c r="C157" s="2"/>
      <c r="D157" s="124" t="s">
        <v>163</v>
      </c>
      <c r="E157" s="1"/>
      <c r="F157" s="107"/>
      <c r="G157" s="107"/>
      <c r="H157" s="107"/>
      <c r="I157" s="107"/>
      <c r="J157" s="107"/>
      <c r="K157" s="87" t="str">
        <f t="shared" si="1"/>
        <v>kWh</v>
      </c>
      <c r="L157" s="85"/>
      <c r="M157" s="85"/>
      <c r="N157" s="107"/>
      <c r="O157" s="370"/>
      <c r="P157" s="370"/>
      <c r="Q157" s="370"/>
      <c r="R157" s="1">
        <f xml:space="preserve"> '2.3 Selskabsspecifikke input'!R201</f>
        <v>0</v>
      </c>
      <c r="S157" s="1">
        <f xml:space="preserve"> '2.3 Selskabsspecifikke input'!S201</f>
        <v>0</v>
      </c>
      <c r="T157" s="1">
        <f xml:space="preserve"> '2.3 Selskabsspecifikke input'!T201</f>
        <v>0</v>
      </c>
      <c r="U157" s="1">
        <f xml:space="preserve"> '2.3 Selskabsspecifikke input'!U201</f>
        <v>0</v>
      </c>
      <c r="V157" s="1">
        <f xml:space="preserve"> '2.3 Selskabsspecifikke input'!V201</f>
        <v>0</v>
      </c>
      <c r="W157" s="4">
        <f t="shared" si="2"/>
        <v>0</v>
      </c>
    </row>
    <row r="158" spans="1:23" customFormat="1" ht="15" customHeight="1">
      <c r="A158" s="1"/>
      <c r="B158" s="1"/>
      <c r="C158" s="2"/>
      <c r="D158" s="124" t="s">
        <v>164</v>
      </c>
      <c r="E158" s="1"/>
      <c r="F158" s="107"/>
      <c r="G158" s="107"/>
      <c r="H158" s="107"/>
      <c r="I158" s="107"/>
      <c r="J158" s="107"/>
      <c r="K158" s="87" t="str">
        <f t="shared" si="1"/>
        <v>kWh</v>
      </c>
      <c r="L158" s="85"/>
      <c r="M158" s="85"/>
      <c r="N158" s="107"/>
      <c r="O158" s="370"/>
      <c r="P158" s="370"/>
      <c r="Q158" s="370"/>
      <c r="R158" s="1">
        <f xml:space="preserve"> '2.3 Selskabsspecifikke input'!R202</f>
        <v>0</v>
      </c>
      <c r="S158" s="1">
        <f xml:space="preserve"> '2.3 Selskabsspecifikke input'!S202</f>
        <v>0</v>
      </c>
      <c r="T158" s="1">
        <f xml:space="preserve"> '2.3 Selskabsspecifikke input'!T202</f>
        <v>0</v>
      </c>
      <c r="U158" s="1">
        <f xml:space="preserve"> '2.3 Selskabsspecifikke input'!U202</f>
        <v>0</v>
      </c>
      <c r="V158" s="1">
        <f xml:space="preserve"> '2.3 Selskabsspecifikke input'!V202</f>
        <v>0</v>
      </c>
      <c r="W158" s="4">
        <f t="shared" si="2"/>
        <v>0</v>
      </c>
    </row>
    <row r="159" spans="1:23" customFormat="1" ht="15" customHeight="1">
      <c r="A159" s="1"/>
      <c r="B159" s="1"/>
      <c r="C159" s="2"/>
      <c r="D159" s="124" t="s">
        <v>165</v>
      </c>
      <c r="E159" s="1"/>
      <c r="F159" s="107"/>
      <c r="G159" s="107"/>
      <c r="H159" s="107"/>
      <c r="I159" s="107"/>
      <c r="J159" s="107"/>
      <c r="K159" s="87" t="str">
        <f t="shared" si="1"/>
        <v>kWh</v>
      </c>
      <c r="L159" s="85"/>
      <c r="M159" s="85"/>
      <c r="N159" s="107"/>
      <c r="O159" s="370"/>
      <c r="P159" s="370"/>
      <c r="Q159" s="370"/>
      <c r="R159" s="1">
        <f xml:space="preserve"> '2.3 Selskabsspecifikke input'!R203</f>
        <v>0</v>
      </c>
      <c r="S159" s="1">
        <f xml:space="preserve"> '2.3 Selskabsspecifikke input'!S203</f>
        <v>0</v>
      </c>
      <c r="T159" s="1">
        <f xml:space="preserve"> '2.3 Selskabsspecifikke input'!T203</f>
        <v>0</v>
      </c>
      <c r="U159" s="1">
        <f xml:space="preserve"> '2.3 Selskabsspecifikke input'!U203</f>
        <v>0</v>
      </c>
      <c r="V159" s="1">
        <f xml:space="preserve"> '2.3 Selskabsspecifikke input'!V203</f>
        <v>0</v>
      </c>
      <c r="W159" s="4">
        <f t="shared" si="2"/>
        <v>0</v>
      </c>
    </row>
    <row r="160" spans="1:23" customFormat="1" ht="15" customHeight="1">
      <c r="A160" s="1"/>
      <c r="B160" s="1"/>
      <c r="C160" s="2"/>
      <c r="D160" s="124" t="s">
        <v>166</v>
      </c>
      <c r="E160" s="1"/>
      <c r="F160" s="107"/>
      <c r="G160" s="107"/>
      <c r="H160" s="107"/>
      <c r="I160" s="107"/>
      <c r="J160" s="107"/>
      <c r="K160" s="87" t="str">
        <f t="shared" si="1"/>
        <v>kWh</v>
      </c>
      <c r="L160" s="85"/>
      <c r="M160" s="85"/>
      <c r="N160" s="107"/>
      <c r="O160" s="370"/>
      <c r="P160" s="370"/>
      <c r="Q160" s="370"/>
      <c r="R160" s="1">
        <f xml:space="preserve"> '2.3 Selskabsspecifikke input'!R204</f>
        <v>0</v>
      </c>
      <c r="S160" s="1">
        <f xml:space="preserve"> '2.3 Selskabsspecifikke input'!S204</f>
        <v>0</v>
      </c>
      <c r="T160" s="1">
        <f xml:space="preserve"> '2.3 Selskabsspecifikke input'!T204</f>
        <v>0</v>
      </c>
      <c r="U160" s="1">
        <f xml:space="preserve"> '2.3 Selskabsspecifikke input'!U204</f>
        <v>0</v>
      </c>
      <c r="V160" s="1">
        <f xml:space="preserve"> '2.3 Selskabsspecifikke input'!V204</f>
        <v>0</v>
      </c>
      <c r="W160" s="4">
        <f t="shared" si="2"/>
        <v>0</v>
      </c>
    </row>
    <row r="161" spans="1:23" customFormat="1" ht="15" customHeight="1">
      <c r="A161" s="1"/>
      <c r="B161" s="1"/>
      <c r="C161" s="2"/>
      <c r="D161" s="124" t="s">
        <v>167</v>
      </c>
      <c r="E161" s="1"/>
      <c r="F161" s="107"/>
      <c r="G161" s="107"/>
      <c r="H161" s="107"/>
      <c r="I161" s="107"/>
      <c r="J161" s="107"/>
      <c r="K161" s="87" t="str">
        <f t="shared" si="1"/>
        <v>kWh</v>
      </c>
      <c r="L161" s="85"/>
      <c r="M161" s="85"/>
      <c r="N161" s="107"/>
      <c r="O161" s="370"/>
      <c r="P161" s="370"/>
      <c r="Q161" s="370"/>
      <c r="R161" s="1">
        <f xml:space="preserve"> '2.3 Selskabsspecifikke input'!R205</f>
        <v>0</v>
      </c>
      <c r="S161" s="1">
        <f xml:space="preserve"> '2.3 Selskabsspecifikke input'!S205</f>
        <v>0</v>
      </c>
      <c r="T161" s="1">
        <f xml:space="preserve"> '2.3 Selskabsspecifikke input'!T205</f>
        <v>0</v>
      </c>
      <c r="U161" s="1">
        <f xml:space="preserve"> '2.3 Selskabsspecifikke input'!U205</f>
        <v>0</v>
      </c>
      <c r="V161" s="1">
        <f xml:space="preserve"> '2.3 Selskabsspecifikke input'!V205</f>
        <v>0</v>
      </c>
      <c r="W161" s="4">
        <f t="shared" si="2"/>
        <v>0</v>
      </c>
    </row>
    <row r="162" spans="1:23" customFormat="1" ht="15" customHeight="1">
      <c r="A162" s="1"/>
      <c r="B162" s="1"/>
      <c r="C162" s="2"/>
      <c r="D162" s="124" t="s">
        <v>168</v>
      </c>
      <c r="E162" s="1"/>
      <c r="F162" s="107"/>
      <c r="G162" s="107"/>
      <c r="H162" s="107"/>
      <c r="I162" s="107"/>
      <c r="J162" s="107"/>
      <c r="K162" s="87" t="str">
        <f t="shared" si="1"/>
        <v>kWh</v>
      </c>
      <c r="L162" s="85"/>
      <c r="M162" s="85"/>
      <c r="N162" s="107"/>
      <c r="O162" s="370"/>
      <c r="P162" s="370"/>
      <c r="Q162" s="370"/>
      <c r="R162" s="1">
        <f xml:space="preserve"> '2.3 Selskabsspecifikke input'!R206</f>
        <v>0</v>
      </c>
      <c r="S162" s="1">
        <f xml:space="preserve"> '2.3 Selskabsspecifikke input'!S206</f>
        <v>0</v>
      </c>
      <c r="T162" s="1">
        <f xml:space="preserve"> '2.3 Selskabsspecifikke input'!T206</f>
        <v>0</v>
      </c>
      <c r="U162" s="1">
        <f xml:space="preserve"> '2.3 Selskabsspecifikke input'!U206</f>
        <v>0</v>
      </c>
      <c r="V162" s="1">
        <f xml:space="preserve"> '2.3 Selskabsspecifikke input'!V206</f>
        <v>0</v>
      </c>
      <c r="W162" s="4">
        <f t="shared" si="2"/>
        <v>0</v>
      </c>
    </row>
    <row r="163" spans="1:23" customFormat="1" ht="15" customHeight="1">
      <c r="A163" s="1"/>
      <c r="B163" s="1"/>
      <c r="C163" s="2"/>
      <c r="D163" s="124" t="s">
        <v>169</v>
      </c>
      <c r="E163" s="1"/>
      <c r="F163" s="107"/>
      <c r="G163" s="107"/>
      <c r="H163" s="107"/>
      <c r="I163" s="107"/>
      <c r="J163" s="107"/>
      <c r="K163" s="87" t="str">
        <f t="shared" si="1"/>
        <v>kWh</v>
      </c>
      <c r="L163" s="85"/>
      <c r="M163" s="85"/>
      <c r="N163" s="107"/>
      <c r="O163" s="370"/>
      <c r="P163" s="370"/>
      <c r="Q163" s="370"/>
      <c r="R163" s="1">
        <f xml:space="preserve"> '2.3 Selskabsspecifikke input'!R207</f>
        <v>0</v>
      </c>
      <c r="S163" s="1">
        <f xml:space="preserve"> '2.3 Selskabsspecifikke input'!S207</f>
        <v>0</v>
      </c>
      <c r="T163" s="1">
        <f xml:space="preserve"> '2.3 Selskabsspecifikke input'!T207</f>
        <v>0</v>
      </c>
      <c r="U163" s="1">
        <f xml:space="preserve"> '2.3 Selskabsspecifikke input'!U207</f>
        <v>0</v>
      </c>
      <c r="V163" s="1">
        <f xml:space="preserve"> '2.3 Selskabsspecifikke input'!V207</f>
        <v>0</v>
      </c>
      <c r="W163" s="4">
        <f t="shared" si="2"/>
        <v>0</v>
      </c>
    </row>
    <row r="164" spans="1:23" customFormat="1" ht="15" customHeight="1">
      <c r="A164" s="1"/>
      <c r="B164" s="1"/>
      <c r="C164" s="2"/>
      <c r="D164" s="124" t="s">
        <v>170</v>
      </c>
      <c r="E164" s="1"/>
      <c r="F164" s="107"/>
      <c r="G164" s="107"/>
      <c r="H164" s="107"/>
      <c r="I164" s="107"/>
      <c r="J164" s="107"/>
      <c r="K164" s="87" t="str">
        <f t="shared" si="1"/>
        <v>kWh</v>
      </c>
      <c r="L164" s="85"/>
      <c r="M164" s="85"/>
      <c r="N164" s="107"/>
      <c r="O164" s="370"/>
      <c r="P164" s="370"/>
      <c r="Q164" s="370"/>
      <c r="R164" s="1">
        <f xml:space="preserve"> '2.3 Selskabsspecifikke input'!R208</f>
        <v>0</v>
      </c>
      <c r="S164" s="1">
        <f xml:space="preserve"> '2.3 Selskabsspecifikke input'!S208</f>
        <v>0</v>
      </c>
      <c r="T164" s="1">
        <f xml:space="preserve"> '2.3 Selskabsspecifikke input'!T208</f>
        <v>0</v>
      </c>
      <c r="U164" s="1">
        <f xml:space="preserve"> '2.3 Selskabsspecifikke input'!U208</f>
        <v>0</v>
      </c>
      <c r="V164" s="1">
        <f xml:space="preserve"> '2.3 Selskabsspecifikke input'!V208</f>
        <v>0</v>
      </c>
      <c r="W164" s="4">
        <f t="shared" si="2"/>
        <v>0</v>
      </c>
    </row>
    <row r="165" spans="1:23" customFormat="1" ht="15" customHeight="1">
      <c r="A165" s="1"/>
      <c r="B165" s="1"/>
      <c r="C165" s="2"/>
      <c r="D165" s="124" t="s">
        <v>171</v>
      </c>
      <c r="E165" s="1"/>
      <c r="F165" s="107"/>
      <c r="G165" s="107"/>
      <c r="H165" s="107"/>
      <c r="I165" s="107"/>
      <c r="J165" s="107"/>
      <c r="K165" s="87" t="str">
        <f t="shared" si="1"/>
        <v>kWh</v>
      </c>
      <c r="L165" s="85"/>
      <c r="M165" s="85"/>
      <c r="N165" s="107"/>
      <c r="O165" s="370"/>
      <c r="P165" s="370"/>
      <c r="Q165" s="370"/>
      <c r="R165" s="1">
        <f xml:space="preserve"> '2.3 Selskabsspecifikke input'!R209</f>
        <v>0</v>
      </c>
      <c r="S165" s="1">
        <f xml:space="preserve"> '2.3 Selskabsspecifikke input'!S209</f>
        <v>0</v>
      </c>
      <c r="T165" s="1">
        <f xml:space="preserve"> '2.3 Selskabsspecifikke input'!T209</f>
        <v>0</v>
      </c>
      <c r="U165" s="1">
        <f xml:space="preserve"> '2.3 Selskabsspecifikke input'!U209</f>
        <v>0</v>
      </c>
      <c r="V165" s="1">
        <f xml:space="preserve"> '2.3 Selskabsspecifikke input'!V209</f>
        <v>0</v>
      </c>
      <c r="W165" s="4">
        <f t="shared" si="2"/>
        <v>0</v>
      </c>
    </row>
    <row r="166" spans="1:23" customFormat="1" ht="15" customHeight="1">
      <c r="A166" s="1"/>
      <c r="B166" s="1"/>
      <c r="C166" s="2"/>
      <c r="D166" s="124" t="s">
        <v>172</v>
      </c>
      <c r="E166" s="1"/>
      <c r="F166" s="107"/>
      <c r="G166" s="107"/>
      <c r="H166" s="107"/>
      <c r="I166" s="107"/>
      <c r="J166" s="107"/>
      <c r="K166" s="87" t="str">
        <f t="shared" si="1"/>
        <v>kWh</v>
      </c>
      <c r="L166" s="85"/>
      <c r="M166" s="85"/>
      <c r="N166" s="107"/>
      <c r="O166" s="370"/>
      <c r="P166" s="370"/>
      <c r="Q166" s="370"/>
      <c r="R166" s="1">
        <f xml:space="preserve"> '2.3 Selskabsspecifikke input'!R210</f>
        <v>0</v>
      </c>
      <c r="S166" s="1">
        <f xml:space="preserve"> '2.3 Selskabsspecifikke input'!S210</f>
        <v>0</v>
      </c>
      <c r="T166" s="1">
        <f xml:space="preserve"> '2.3 Selskabsspecifikke input'!T210</f>
        <v>0</v>
      </c>
      <c r="U166" s="1">
        <f xml:space="preserve"> '2.3 Selskabsspecifikke input'!U210</f>
        <v>0</v>
      </c>
      <c r="V166" s="1">
        <f xml:space="preserve"> '2.3 Selskabsspecifikke input'!V210</f>
        <v>0</v>
      </c>
      <c r="W166" s="4">
        <f t="shared" si="2"/>
        <v>0</v>
      </c>
    </row>
    <row r="167" spans="1:23" customFormat="1" ht="15" customHeight="1">
      <c r="A167" s="1"/>
      <c r="B167" s="1"/>
      <c r="C167" s="2"/>
      <c r="D167" s="124" t="s">
        <v>173</v>
      </c>
      <c r="E167" s="1"/>
      <c r="F167" s="107"/>
      <c r="G167" s="107"/>
      <c r="H167" s="107"/>
      <c r="I167" s="107"/>
      <c r="J167" s="107"/>
      <c r="K167" s="87" t="str">
        <f t="shared" si="1"/>
        <v>kWh</v>
      </c>
      <c r="L167" s="85"/>
      <c r="M167" s="85"/>
      <c r="N167" s="107"/>
      <c r="O167" s="370"/>
      <c r="P167" s="370"/>
      <c r="Q167" s="370"/>
      <c r="R167" s="1">
        <f xml:space="preserve"> '2.3 Selskabsspecifikke input'!R211</f>
        <v>0</v>
      </c>
      <c r="S167" s="1">
        <f xml:space="preserve"> '2.3 Selskabsspecifikke input'!S211</f>
        <v>0</v>
      </c>
      <c r="T167" s="1">
        <f xml:space="preserve"> '2.3 Selskabsspecifikke input'!T211</f>
        <v>0</v>
      </c>
      <c r="U167" s="1">
        <f xml:space="preserve"> '2.3 Selskabsspecifikke input'!U211</f>
        <v>0</v>
      </c>
      <c r="V167" s="1">
        <f xml:space="preserve"> '2.3 Selskabsspecifikke input'!V211</f>
        <v>0</v>
      </c>
      <c r="W167" s="4">
        <f t="shared" si="2"/>
        <v>0</v>
      </c>
    </row>
    <row r="168" spans="1:23" customFormat="1" ht="15" customHeight="1">
      <c r="A168" s="1"/>
      <c r="B168" s="1"/>
      <c r="C168" s="2"/>
      <c r="D168" s="124" t="s">
        <v>174</v>
      </c>
      <c r="E168" s="1"/>
      <c r="F168" s="107"/>
      <c r="G168" s="107"/>
      <c r="H168" s="107"/>
      <c r="I168" s="107"/>
      <c r="J168" s="107"/>
      <c r="K168" s="87" t="str">
        <f t="shared" si="1"/>
        <v>kWh</v>
      </c>
      <c r="L168" s="85"/>
      <c r="M168" s="85"/>
      <c r="N168" s="107"/>
      <c r="O168" s="370"/>
      <c r="P168" s="370"/>
      <c r="Q168" s="370"/>
      <c r="R168" s="1">
        <f xml:space="preserve"> '2.3 Selskabsspecifikke input'!R212</f>
        <v>0</v>
      </c>
      <c r="S168" s="1">
        <f xml:space="preserve"> '2.3 Selskabsspecifikke input'!S212</f>
        <v>0</v>
      </c>
      <c r="T168" s="1">
        <f xml:space="preserve"> '2.3 Selskabsspecifikke input'!T212</f>
        <v>0</v>
      </c>
      <c r="U168" s="1">
        <f xml:space="preserve"> '2.3 Selskabsspecifikke input'!U212</f>
        <v>0</v>
      </c>
      <c r="V168" s="1">
        <f xml:space="preserve"> '2.3 Selskabsspecifikke input'!V212</f>
        <v>0</v>
      </c>
      <c r="W168" s="4">
        <f t="shared" si="2"/>
        <v>0</v>
      </c>
    </row>
    <row r="169" spans="1:23" customFormat="1" ht="15" customHeight="1">
      <c r="A169" s="1"/>
      <c r="B169" s="1"/>
      <c r="C169" s="2"/>
      <c r="D169" s="125" t="s">
        <v>175</v>
      </c>
      <c r="E169" s="27"/>
      <c r="F169" s="115"/>
      <c r="G169" s="115"/>
      <c r="H169" s="115"/>
      <c r="I169" s="115"/>
      <c r="J169" s="115"/>
      <c r="K169" s="98" t="str">
        <f t="shared" si="1"/>
        <v>kWh</v>
      </c>
      <c r="L169" s="99"/>
      <c r="M169" s="99"/>
      <c r="N169" s="115"/>
      <c r="O169" s="368"/>
      <c r="P169" s="368"/>
      <c r="Q169" s="368"/>
      <c r="R169" s="27">
        <f xml:space="preserve"> '2.3 Selskabsspecifikke input'!R213</f>
        <v>0</v>
      </c>
      <c r="S169" s="27">
        <f xml:space="preserve"> '2.3 Selskabsspecifikke input'!S213</f>
        <v>0</v>
      </c>
      <c r="T169" s="27">
        <f xml:space="preserve"> '2.3 Selskabsspecifikke input'!T213</f>
        <v>0</v>
      </c>
      <c r="U169" s="27">
        <f xml:space="preserve"> '2.3 Selskabsspecifikke input'!U213</f>
        <v>0</v>
      </c>
      <c r="V169" s="27">
        <f xml:space="preserve"> '2.3 Selskabsspecifikke input'!V213</f>
        <v>0</v>
      </c>
      <c r="W169" s="35">
        <f t="shared" si="2"/>
        <v>0</v>
      </c>
    </row>
    <row r="170" spans="1:23" customFormat="1" ht="15" customHeight="1">
      <c r="A170" s="1"/>
      <c r="B170" s="1"/>
      <c r="C170" s="2"/>
      <c r="D170" s="188" t="s">
        <v>16</v>
      </c>
      <c r="E170" s="186"/>
      <c r="F170" s="120"/>
      <c r="G170" s="120"/>
      <c r="H170" s="120"/>
      <c r="I170" s="120"/>
      <c r="J170" s="120"/>
      <c r="K170" s="106" t="str">
        <f t="shared" si="1"/>
        <v>kWh</v>
      </c>
      <c r="L170" s="105"/>
      <c r="M170" s="105"/>
      <c r="N170" s="120"/>
      <c r="O170" s="371"/>
      <c r="P170" s="371"/>
      <c r="Q170" s="371"/>
      <c r="R170" s="186">
        <f t="shared" ref="R170:W170" si="3" xml:space="preserve"> SUM( R146:R169 )</f>
        <v>0</v>
      </c>
      <c r="S170" s="186">
        <f t="shared" si="3"/>
        <v>0</v>
      </c>
      <c r="T170" s="186">
        <f t="shared" si="3"/>
        <v>0</v>
      </c>
      <c r="U170" s="186">
        <f t="shared" si="3"/>
        <v>0</v>
      </c>
      <c r="V170" s="186">
        <f t="shared" si="3"/>
        <v>0</v>
      </c>
      <c r="W170" s="186">
        <f t="shared" si="3"/>
        <v>0</v>
      </c>
    </row>
    <row r="171" spans="1:23" customFormat="1" ht="15" customHeight="1">
      <c r="A171" s="1"/>
      <c r="B171" s="1"/>
      <c r="C171" s="2"/>
      <c r="D171" s="85"/>
      <c r="E171" s="1"/>
      <c r="F171" s="107"/>
      <c r="G171" s="107"/>
      <c r="H171" s="107"/>
      <c r="I171" s="107"/>
      <c r="J171" s="107"/>
      <c r="K171" s="87"/>
      <c r="L171" s="85"/>
      <c r="M171" s="85"/>
      <c r="N171" s="107"/>
      <c r="O171" s="107"/>
      <c r="P171" s="107"/>
      <c r="Q171" s="107"/>
      <c r="R171" s="1"/>
      <c r="S171" s="1"/>
      <c r="T171" s="1"/>
      <c r="U171" s="1"/>
      <c r="V171" s="1"/>
      <c r="W171" s="1"/>
    </row>
    <row r="172" spans="1:23" customFormat="1" ht="15" customHeight="1">
      <c r="A172" s="1"/>
      <c r="B172" s="1"/>
      <c r="C172" s="2"/>
      <c r="D172" s="97" t="s">
        <v>505</v>
      </c>
      <c r="E172" s="27"/>
      <c r="F172" s="115"/>
      <c r="G172" s="115"/>
      <c r="H172" s="115"/>
      <c r="I172" s="115"/>
      <c r="J172" s="115"/>
      <c r="K172" s="98"/>
      <c r="L172" s="99"/>
      <c r="M172" s="99"/>
      <c r="N172" s="115"/>
      <c r="O172" s="115"/>
      <c r="P172" s="115"/>
      <c r="Q172" s="115"/>
      <c r="R172" s="27"/>
      <c r="S172" s="27"/>
      <c r="T172" s="27"/>
      <c r="U172" s="27"/>
      <c r="V172" s="1"/>
      <c r="W172" s="89" t="s">
        <v>16</v>
      </c>
    </row>
    <row r="173" spans="1:23" customFormat="1" ht="15" customHeight="1">
      <c r="A173" s="1"/>
      <c r="B173" s="1"/>
      <c r="C173" s="2"/>
      <c r="D173" s="124" t="s">
        <v>152</v>
      </c>
      <c r="E173" s="1"/>
      <c r="F173" s="107"/>
      <c r="G173" s="107"/>
      <c r="H173" s="107"/>
      <c r="I173" s="107"/>
      <c r="J173" s="107"/>
      <c r="K173" s="87" t="str">
        <f t="shared" ref="K173:K197" si="4">Model.Units2</f>
        <v>kWh</v>
      </c>
      <c r="L173" s="85"/>
      <c r="M173" s="85"/>
      <c r="N173" s="107"/>
      <c r="O173" s="370"/>
      <c r="P173" s="370"/>
      <c r="Q173" s="370"/>
      <c r="R173" s="15">
        <f xml:space="preserve"> '2.3 Selskabsspecifikke input'!R217</f>
        <v>0</v>
      </c>
      <c r="S173" s="15">
        <f xml:space="preserve"> '2.3 Selskabsspecifikke input'!S217</f>
        <v>0</v>
      </c>
      <c r="T173" s="15">
        <f xml:space="preserve"> '2.3 Selskabsspecifikke input'!T217</f>
        <v>0</v>
      </c>
      <c r="U173" s="15">
        <f xml:space="preserve"> '2.3 Selskabsspecifikke input'!U217</f>
        <v>0</v>
      </c>
      <c r="V173" s="15">
        <f xml:space="preserve"> '2.3 Selskabsspecifikke input'!V217</f>
        <v>0</v>
      </c>
      <c r="W173" s="18">
        <f xml:space="preserve"> SUM( R173:V173 )</f>
        <v>0</v>
      </c>
    </row>
    <row r="174" spans="1:23" customFormat="1" ht="15" customHeight="1">
      <c r="A174" s="1"/>
      <c r="B174" s="1"/>
      <c r="C174" s="2"/>
      <c r="D174" s="124" t="s">
        <v>153</v>
      </c>
      <c r="E174" s="1"/>
      <c r="F174" s="107"/>
      <c r="G174" s="107"/>
      <c r="H174" s="107"/>
      <c r="I174" s="107"/>
      <c r="J174" s="107"/>
      <c r="K174" s="87" t="str">
        <f t="shared" si="4"/>
        <v>kWh</v>
      </c>
      <c r="L174" s="85"/>
      <c r="M174" s="85"/>
      <c r="N174" s="107"/>
      <c r="O174" s="370"/>
      <c r="P174" s="370"/>
      <c r="Q174" s="370"/>
      <c r="R174" s="1">
        <f xml:space="preserve"> '2.3 Selskabsspecifikke input'!R218</f>
        <v>0</v>
      </c>
      <c r="S174" s="1">
        <f xml:space="preserve"> '2.3 Selskabsspecifikke input'!S218</f>
        <v>0</v>
      </c>
      <c r="T174" s="1">
        <f xml:space="preserve"> '2.3 Selskabsspecifikke input'!T218</f>
        <v>0</v>
      </c>
      <c r="U174" s="1">
        <f xml:space="preserve"> '2.3 Selskabsspecifikke input'!U218</f>
        <v>0</v>
      </c>
      <c r="V174" s="1">
        <f xml:space="preserve"> '2.3 Selskabsspecifikke input'!V218</f>
        <v>0</v>
      </c>
      <c r="W174" s="4">
        <f t="shared" ref="W174:W196" si="5" xml:space="preserve"> SUM( R174:V174 )</f>
        <v>0</v>
      </c>
    </row>
    <row r="175" spans="1:23" customFormat="1" ht="15" customHeight="1">
      <c r="A175" s="1"/>
      <c r="B175" s="1"/>
      <c r="C175" s="2"/>
      <c r="D175" s="124" t="s">
        <v>154</v>
      </c>
      <c r="E175" s="1"/>
      <c r="F175" s="107"/>
      <c r="G175" s="107"/>
      <c r="H175" s="107"/>
      <c r="I175" s="107"/>
      <c r="J175" s="107"/>
      <c r="K175" s="87" t="str">
        <f t="shared" si="4"/>
        <v>kWh</v>
      </c>
      <c r="L175" s="85"/>
      <c r="M175" s="85"/>
      <c r="N175" s="107"/>
      <c r="O175" s="370"/>
      <c r="P175" s="370"/>
      <c r="Q175" s="370"/>
      <c r="R175" s="1">
        <f xml:space="preserve"> '2.3 Selskabsspecifikke input'!R219</f>
        <v>0</v>
      </c>
      <c r="S175" s="1">
        <f xml:space="preserve"> '2.3 Selskabsspecifikke input'!S219</f>
        <v>0</v>
      </c>
      <c r="T175" s="1">
        <f xml:space="preserve"> '2.3 Selskabsspecifikke input'!T219</f>
        <v>0</v>
      </c>
      <c r="U175" s="1">
        <f xml:space="preserve"> '2.3 Selskabsspecifikke input'!U219</f>
        <v>0</v>
      </c>
      <c r="V175" s="1">
        <f xml:space="preserve"> '2.3 Selskabsspecifikke input'!V219</f>
        <v>0</v>
      </c>
      <c r="W175" s="4">
        <f t="shared" si="5"/>
        <v>0</v>
      </c>
    </row>
    <row r="176" spans="1:23" customFormat="1" ht="15" customHeight="1">
      <c r="A176" s="1"/>
      <c r="B176" s="1"/>
      <c r="C176" s="2"/>
      <c r="D176" s="124" t="s">
        <v>155</v>
      </c>
      <c r="E176" s="1"/>
      <c r="F176" s="107"/>
      <c r="G176" s="107"/>
      <c r="H176" s="107"/>
      <c r="I176" s="107"/>
      <c r="J176" s="107"/>
      <c r="K176" s="87" t="str">
        <f t="shared" si="4"/>
        <v>kWh</v>
      </c>
      <c r="L176" s="85"/>
      <c r="M176" s="85"/>
      <c r="N176" s="107"/>
      <c r="O176" s="370"/>
      <c r="P176" s="370"/>
      <c r="Q176" s="370"/>
      <c r="R176" s="1">
        <f xml:space="preserve"> '2.3 Selskabsspecifikke input'!R220</f>
        <v>0</v>
      </c>
      <c r="S176" s="1">
        <f xml:space="preserve"> '2.3 Selskabsspecifikke input'!S220</f>
        <v>0</v>
      </c>
      <c r="T176" s="1">
        <f xml:space="preserve"> '2.3 Selskabsspecifikke input'!T220</f>
        <v>0</v>
      </c>
      <c r="U176" s="1">
        <f xml:space="preserve"> '2.3 Selskabsspecifikke input'!U220</f>
        <v>0</v>
      </c>
      <c r="V176" s="1">
        <f xml:space="preserve"> '2.3 Selskabsspecifikke input'!V220</f>
        <v>0</v>
      </c>
      <c r="W176" s="4">
        <f t="shared" si="5"/>
        <v>0</v>
      </c>
    </row>
    <row r="177" spans="1:23" customFormat="1" ht="15" customHeight="1">
      <c r="A177" s="1"/>
      <c r="B177" s="1"/>
      <c r="C177" s="2"/>
      <c r="D177" s="124" t="s">
        <v>156</v>
      </c>
      <c r="E177" s="1"/>
      <c r="F177" s="107"/>
      <c r="G177" s="107"/>
      <c r="H177" s="107"/>
      <c r="I177" s="107"/>
      <c r="J177" s="107"/>
      <c r="K177" s="87" t="str">
        <f t="shared" si="4"/>
        <v>kWh</v>
      </c>
      <c r="L177" s="85"/>
      <c r="M177" s="85"/>
      <c r="N177" s="107"/>
      <c r="O177" s="370"/>
      <c r="P177" s="370"/>
      <c r="Q177" s="370"/>
      <c r="R177" s="1">
        <f xml:space="preserve"> '2.3 Selskabsspecifikke input'!R221</f>
        <v>0</v>
      </c>
      <c r="S177" s="1">
        <f xml:space="preserve"> '2.3 Selskabsspecifikke input'!S221</f>
        <v>0</v>
      </c>
      <c r="T177" s="1">
        <f xml:space="preserve"> '2.3 Selskabsspecifikke input'!T221</f>
        <v>0</v>
      </c>
      <c r="U177" s="1">
        <f xml:space="preserve"> '2.3 Selskabsspecifikke input'!U221</f>
        <v>0</v>
      </c>
      <c r="V177" s="1">
        <f xml:space="preserve"> '2.3 Selskabsspecifikke input'!V221</f>
        <v>0</v>
      </c>
      <c r="W177" s="4">
        <f t="shared" si="5"/>
        <v>0</v>
      </c>
    </row>
    <row r="178" spans="1:23" customFormat="1" ht="15" customHeight="1">
      <c r="A178" s="1"/>
      <c r="B178" s="1"/>
      <c r="C178" s="2"/>
      <c r="D178" s="124" t="s">
        <v>157</v>
      </c>
      <c r="E178" s="1"/>
      <c r="F178" s="107"/>
      <c r="G178" s="107"/>
      <c r="H178" s="107"/>
      <c r="I178" s="107"/>
      <c r="J178" s="107"/>
      <c r="K178" s="87" t="str">
        <f t="shared" si="4"/>
        <v>kWh</v>
      </c>
      <c r="L178" s="85"/>
      <c r="M178" s="85"/>
      <c r="N178" s="107"/>
      <c r="O178" s="370"/>
      <c r="P178" s="370"/>
      <c r="Q178" s="370"/>
      <c r="R178" s="1">
        <f xml:space="preserve"> '2.3 Selskabsspecifikke input'!R222</f>
        <v>0</v>
      </c>
      <c r="S178" s="1">
        <f xml:space="preserve"> '2.3 Selskabsspecifikke input'!S222</f>
        <v>0</v>
      </c>
      <c r="T178" s="1">
        <f xml:space="preserve"> '2.3 Selskabsspecifikke input'!T222</f>
        <v>0</v>
      </c>
      <c r="U178" s="1">
        <f xml:space="preserve"> '2.3 Selskabsspecifikke input'!U222</f>
        <v>0</v>
      </c>
      <c r="V178" s="1">
        <f xml:space="preserve"> '2.3 Selskabsspecifikke input'!V222</f>
        <v>0</v>
      </c>
      <c r="W178" s="4">
        <f t="shared" si="5"/>
        <v>0</v>
      </c>
    </row>
    <row r="179" spans="1:23" customFormat="1" ht="15" customHeight="1">
      <c r="A179" s="1"/>
      <c r="B179" s="1"/>
      <c r="C179" s="2"/>
      <c r="D179" s="124" t="s">
        <v>158</v>
      </c>
      <c r="E179" s="1"/>
      <c r="F179" s="107"/>
      <c r="G179" s="107"/>
      <c r="H179" s="107"/>
      <c r="I179" s="107"/>
      <c r="J179" s="107"/>
      <c r="K179" s="87" t="str">
        <f t="shared" si="4"/>
        <v>kWh</v>
      </c>
      <c r="L179" s="85"/>
      <c r="M179" s="85"/>
      <c r="N179" s="107"/>
      <c r="O179" s="370"/>
      <c r="P179" s="370"/>
      <c r="Q179" s="370"/>
      <c r="R179" s="1">
        <f xml:space="preserve"> '2.3 Selskabsspecifikke input'!R223</f>
        <v>0</v>
      </c>
      <c r="S179" s="1">
        <f xml:space="preserve"> '2.3 Selskabsspecifikke input'!S223</f>
        <v>0</v>
      </c>
      <c r="T179" s="1">
        <f xml:space="preserve"> '2.3 Selskabsspecifikke input'!T223</f>
        <v>0</v>
      </c>
      <c r="U179" s="1">
        <f xml:space="preserve"> '2.3 Selskabsspecifikke input'!U223</f>
        <v>0</v>
      </c>
      <c r="V179" s="1">
        <f xml:space="preserve"> '2.3 Selskabsspecifikke input'!V223</f>
        <v>0</v>
      </c>
      <c r="W179" s="4">
        <f t="shared" si="5"/>
        <v>0</v>
      </c>
    </row>
    <row r="180" spans="1:23" customFormat="1" ht="15" customHeight="1">
      <c r="A180" s="1"/>
      <c r="B180" s="1"/>
      <c r="C180" s="2"/>
      <c r="D180" s="124" t="s">
        <v>159</v>
      </c>
      <c r="E180" s="1"/>
      <c r="F180" s="107"/>
      <c r="G180" s="107"/>
      <c r="H180" s="107"/>
      <c r="I180" s="107"/>
      <c r="J180" s="107"/>
      <c r="K180" s="87" t="str">
        <f t="shared" si="4"/>
        <v>kWh</v>
      </c>
      <c r="L180" s="85"/>
      <c r="M180" s="85"/>
      <c r="N180" s="107"/>
      <c r="O180" s="370"/>
      <c r="P180" s="370"/>
      <c r="Q180" s="370"/>
      <c r="R180" s="1">
        <f xml:space="preserve"> '2.3 Selskabsspecifikke input'!R224</f>
        <v>0</v>
      </c>
      <c r="S180" s="1">
        <f xml:space="preserve"> '2.3 Selskabsspecifikke input'!S224</f>
        <v>0</v>
      </c>
      <c r="T180" s="1">
        <f xml:space="preserve"> '2.3 Selskabsspecifikke input'!T224</f>
        <v>0</v>
      </c>
      <c r="U180" s="1">
        <f xml:space="preserve"> '2.3 Selskabsspecifikke input'!U224</f>
        <v>0</v>
      </c>
      <c r="V180" s="1">
        <f xml:space="preserve"> '2.3 Selskabsspecifikke input'!V224</f>
        <v>0</v>
      </c>
      <c r="W180" s="4">
        <f t="shared" si="5"/>
        <v>0</v>
      </c>
    </row>
    <row r="181" spans="1:23" customFormat="1" ht="15" customHeight="1">
      <c r="A181" s="1"/>
      <c r="B181" s="1"/>
      <c r="C181" s="2"/>
      <c r="D181" s="124" t="s">
        <v>160</v>
      </c>
      <c r="E181" s="1"/>
      <c r="F181" s="107"/>
      <c r="G181" s="107"/>
      <c r="H181" s="107"/>
      <c r="I181" s="107"/>
      <c r="J181" s="107"/>
      <c r="K181" s="87" t="str">
        <f t="shared" si="4"/>
        <v>kWh</v>
      </c>
      <c r="L181" s="85"/>
      <c r="M181" s="85"/>
      <c r="N181" s="107"/>
      <c r="O181" s="370"/>
      <c r="P181" s="370"/>
      <c r="Q181" s="370"/>
      <c r="R181" s="1">
        <f xml:space="preserve"> '2.3 Selskabsspecifikke input'!R225</f>
        <v>0</v>
      </c>
      <c r="S181" s="1">
        <f xml:space="preserve"> '2.3 Selskabsspecifikke input'!S225</f>
        <v>0</v>
      </c>
      <c r="T181" s="1">
        <f xml:space="preserve"> '2.3 Selskabsspecifikke input'!T225</f>
        <v>0</v>
      </c>
      <c r="U181" s="1">
        <f xml:space="preserve"> '2.3 Selskabsspecifikke input'!U225</f>
        <v>0</v>
      </c>
      <c r="V181" s="1">
        <f xml:space="preserve"> '2.3 Selskabsspecifikke input'!V225</f>
        <v>0</v>
      </c>
      <c r="W181" s="4">
        <f t="shared" si="5"/>
        <v>0</v>
      </c>
    </row>
    <row r="182" spans="1:23" customFormat="1" ht="15" customHeight="1">
      <c r="A182" s="1"/>
      <c r="B182" s="1"/>
      <c r="C182" s="2"/>
      <c r="D182" s="124" t="s">
        <v>161</v>
      </c>
      <c r="E182" s="1"/>
      <c r="F182" s="107"/>
      <c r="G182" s="107"/>
      <c r="H182" s="107"/>
      <c r="I182" s="107"/>
      <c r="J182" s="107"/>
      <c r="K182" s="87" t="str">
        <f t="shared" si="4"/>
        <v>kWh</v>
      </c>
      <c r="L182" s="85"/>
      <c r="M182" s="85"/>
      <c r="N182" s="107"/>
      <c r="O182" s="370"/>
      <c r="P182" s="370"/>
      <c r="Q182" s="370"/>
      <c r="R182" s="1">
        <f xml:space="preserve"> '2.3 Selskabsspecifikke input'!R226</f>
        <v>0</v>
      </c>
      <c r="S182" s="1">
        <f xml:space="preserve"> '2.3 Selskabsspecifikke input'!S226</f>
        <v>0</v>
      </c>
      <c r="T182" s="1">
        <f xml:space="preserve"> '2.3 Selskabsspecifikke input'!T226</f>
        <v>0</v>
      </c>
      <c r="U182" s="1">
        <f xml:space="preserve"> '2.3 Selskabsspecifikke input'!U226</f>
        <v>0</v>
      </c>
      <c r="V182" s="1">
        <f xml:space="preserve"> '2.3 Selskabsspecifikke input'!V226</f>
        <v>0</v>
      </c>
      <c r="W182" s="4">
        <f t="shared" si="5"/>
        <v>0</v>
      </c>
    </row>
    <row r="183" spans="1:23" customFormat="1" ht="15" customHeight="1">
      <c r="A183" s="1"/>
      <c r="B183" s="1"/>
      <c r="C183" s="2"/>
      <c r="D183" s="124" t="s">
        <v>162</v>
      </c>
      <c r="E183" s="1"/>
      <c r="F183" s="107"/>
      <c r="G183" s="107"/>
      <c r="H183" s="107"/>
      <c r="I183" s="107"/>
      <c r="J183" s="107"/>
      <c r="K183" s="87" t="str">
        <f t="shared" si="4"/>
        <v>kWh</v>
      </c>
      <c r="L183" s="85"/>
      <c r="M183" s="85"/>
      <c r="N183" s="107"/>
      <c r="O183" s="370"/>
      <c r="P183" s="370"/>
      <c r="Q183" s="370"/>
      <c r="R183" s="1">
        <f xml:space="preserve"> '2.3 Selskabsspecifikke input'!R227</f>
        <v>0</v>
      </c>
      <c r="S183" s="1">
        <f xml:space="preserve"> '2.3 Selskabsspecifikke input'!S227</f>
        <v>0</v>
      </c>
      <c r="T183" s="1">
        <f xml:space="preserve"> '2.3 Selskabsspecifikke input'!T227</f>
        <v>0</v>
      </c>
      <c r="U183" s="1">
        <f xml:space="preserve"> '2.3 Selskabsspecifikke input'!U227</f>
        <v>0</v>
      </c>
      <c r="V183" s="1">
        <f xml:space="preserve"> '2.3 Selskabsspecifikke input'!V227</f>
        <v>0</v>
      </c>
      <c r="W183" s="4">
        <f t="shared" si="5"/>
        <v>0</v>
      </c>
    </row>
    <row r="184" spans="1:23" customFormat="1" ht="15" customHeight="1">
      <c r="A184" s="1"/>
      <c r="B184" s="1"/>
      <c r="C184" s="2"/>
      <c r="D184" s="124" t="s">
        <v>163</v>
      </c>
      <c r="E184" s="1"/>
      <c r="F184" s="107"/>
      <c r="G184" s="107"/>
      <c r="H184" s="107"/>
      <c r="I184" s="107"/>
      <c r="J184" s="107"/>
      <c r="K184" s="87" t="str">
        <f t="shared" si="4"/>
        <v>kWh</v>
      </c>
      <c r="L184" s="85"/>
      <c r="M184" s="85"/>
      <c r="N184" s="107"/>
      <c r="O184" s="370"/>
      <c r="P184" s="370"/>
      <c r="Q184" s="370"/>
      <c r="R184" s="1">
        <f xml:space="preserve"> '2.3 Selskabsspecifikke input'!R228</f>
        <v>0</v>
      </c>
      <c r="S184" s="1">
        <f xml:space="preserve"> '2.3 Selskabsspecifikke input'!S228</f>
        <v>0</v>
      </c>
      <c r="T184" s="1">
        <f xml:space="preserve"> '2.3 Selskabsspecifikke input'!T228</f>
        <v>0</v>
      </c>
      <c r="U184" s="1">
        <f xml:space="preserve"> '2.3 Selskabsspecifikke input'!U228</f>
        <v>0</v>
      </c>
      <c r="V184" s="1">
        <f xml:space="preserve"> '2.3 Selskabsspecifikke input'!V228</f>
        <v>0</v>
      </c>
      <c r="W184" s="4">
        <f t="shared" si="5"/>
        <v>0</v>
      </c>
    </row>
    <row r="185" spans="1:23" customFormat="1" ht="15" customHeight="1">
      <c r="A185" s="1"/>
      <c r="B185" s="1"/>
      <c r="C185" s="2"/>
      <c r="D185" s="124" t="s">
        <v>164</v>
      </c>
      <c r="E185" s="1"/>
      <c r="F185" s="107"/>
      <c r="G185" s="107"/>
      <c r="H185" s="107"/>
      <c r="I185" s="107"/>
      <c r="J185" s="107"/>
      <c r="K185" s="87" t="str">
        <f t="shared" si="4"/>
        <v>kWh</v>
      </c>
      <c r="L185" s="85"/>
      <c r="M185" s="85"/>
      <c r="N185" s="107"/>
      <c r="O185" s="370"/>
      <c r="P185" s="370"/>
      <c r="Q185" s="370"/>
      <c r="R185" s="1">
        <f xml:space="preserve"> '2.3 Selskabsspecifikke input'!R229</f>
        <v>0</v>
      </c>
      <c r="S185" s="1">
        <f xml:space="preserve"> '2.3 Selskabsspecifikke input'!S229</f>
        <v>0</v>
      </c>
      <c r="T185" s="1">
        <f xml:space="preserve"> '2.3 Selskabsspecifikke input'!T229</f>
        <v>0</v>
      </c>
      <c r="U185" s="1">
        <f xml:space="preserve"> '2.3 Selskabsspecifikke input'!U229</f>
        <v>0</v>
      </c>
      <c r="V185" s="1">
        <f xml:space="preserve"> '2.3 Selskabsspecifikke input'!V229</f>
        <v>0</v>
      </c>
      <c r="W185" s="4">
        <f t="shared" si="5"/>
        <v>0</v>
      </c>
    </row>
    <row r="186" spans="1:23" customFormat="1" ht="15" customHeight="1">
      <c r="A186" s="1"/>
      <c r="B186" s="1"/>
      <c r="C186" s="2"/>
      <c r="D186" s="124" t="s">
        <v>165</v>
      </c>
      <c r="E186" s="1"/>
      <c r="F186" s="107"/>
      <c r="G186" s="107"/>
      <c r="H186" s="107"/>
      <c r="I186" s="107"/>
      <c r="J186" s="107"/>
      <c r="K186" s="87" t="str">
        <f t="shared" si="4"/>
        <v>kWh</v>
      </c>
      <c r="L186" s="85"/>
      <c r="M186" s="85"/>
      <c r="N186" s="107"/>
      <c r="O186" s="370"/>
      <c r="P186" s="370"/>
      <c r="Q186" s="370"/>
      <c r="R186" s="1">
        <f xml:space="preserve"> '2.3 Selskabsspecifikke input'!R230</f>
        <v>0</v>
      </c>
      <c r="S186" s="1">
        <f xml:space="preserve"> '2.3 Selskabsspecifikke input'!S230</f>
        <v>0</v>
      </c>
      <c r="T186" s="1">
        <f xml:space="preserve"> '2.3 Selskabsspecifikke input'!T230</f>
        <v>0</v>
      </c>
      <c r="U186" s="1">
        <f xml:space="preserve"> '2.3 Selskabsspecifikke input'!U230</f>
        <v>0</v>
      </c>
      <c r="V186" s="1">
        <f xml:space="preserve"> '2.3 Selskabsspecifikke input'!V230</f>
        <v>0</v>
      </c>
      <c r="W186" s="4">
        <f t="shared" si="5"/>
        <v>0</v>
      </c>
    </row>
    <row r="187" spans="1:23" customFormat="1" ht="15" customHeight="1">
      <c r="A187" s="1"/>
      <c r="B187" s="1"/>
      <c r="C187" s="2"/>
      <c r="D187" s="124" t="s">
        <v>166</v>
      </c>
      <c r="E187" s="1"/>
      <c r="F187" s="107"/>
      <c r="G187" s="107"/>
      <c r="H187" s="107"/>
      <c r="I187" s="107"/>
      <c r="J187" s="107"/>
      <c r="K187" s="87" t="str">
        <f t="shared" si="4"/>
        <v>kWh</v>
      </c>
      <c r="L187" s="85"/>
      <c r="M187" s="85"/>
      <c r="N187" s="107"/>
      <c r="O187" s="370"/>
      <c r="P187" s="370"/>
      <c r="Q187" s="370"/>
      <c r="R187" s="1">
        <f xml:space="preserve"> '2.3 Selskabsspecifikke input'!R231</f>
        <v>0</v>
      </c>
      <c r="S187" s="1">
        <f xml:space="preserve"> '2.3 Selskabsspecifikke input'!S231</f>
        <v>0</v>
      </c>
      <c r="T187" s="1">
        <f xml:space="preserve"> '2.3 Selskabsspecifikke input'!T231</f>
        <v>0</v>
      </c>
      <c r="U187" s="1">
        <f xml:space="preserve"> '2.3 Selskabsspecifikke input'!U231</f>
        <v>0</v>
      </c>
      <c r="V187" s="1">
        <f xml:space="preserve"> '2.3 Selskabsspecifikke input'!V231</f>
        <v>0</v>
      </c>
      <c r="W187" s="4">
        <f t="shared" si="5"/>
        <v>0</v>
      </c>
    </row>
    <row r="188" spans="1:23" customFormat="1" ht="15" customHeight="1">
      <c r="A188" s="1"/>
      <c r="B188" s="1"/>
      <c r="C188" s="2"/>
      <c r="D188" s="124" t="s">
        <v>167</v>
      </c>
      <c r="E188" s="1"/>
      <c r="F188" s="107"/>
      <c r="G188" s="107"/>
      <c r="H188" s="107"/>
      <c r="I188" s="107"/>
      <c r="J188" s="107"/>
      <c r="K188" s="87" t="str">
        <f t="shared" si="4"/>
        <v>kWh</v>
      </c>
      <c r="L188" s="85"/>
      <c r="M188" s="85"/>
      <c r="N188" s="107"/>
      <c r="O188" s="370"/>
      <c r="P188" s="370"/>
      <c r="Q188" s="370"/>
      <c r="R188" s="1">
        <f xml:space="preserve"> '2.3 Selskabsspecifikke input'!R232</f>
        <v>0</v>
      </c>
      <c r="S188" s="1">
        <f xml:space="preserve"> '2.3 Selskabsspecifikke input'!S232</f>
        <v>0</v>
      </c>
      <c r="T188" s="1">
        <f xml:space="preserve"> '2.3 Selskabsspecifikke input'!T232</f>
        <v>0</v>
      </c>
      <c r="U188" s="1">
        <f xml:space="preserve"> '2.3 Selskabsspecifikke input'!U232</f>
        <v>0</v>
      </c>
      <c r="V188" s="1">
        <f xml:space="preserve"> '2.3 Selskabsspecifikke input'!V232</f>
        <v>0</v>
      </c>
      <c r="W188" s="4">
        <f t="shared" si="5"/>
        <v>0</v>
      </c>
    </row>
    <row r="189" spans="1:23" customFormat="1" ht="15" customHeight="1">
      <c r="A189" s="1"/>
      <c r="B189" s="1"/>
      <c r="C189" s="2"/>
      <c r="D189" s="124" t="s">
        <v>168</v>
      </c>
      <c r="E189" s="1"/>
      <c r="F189" s="107"/>
      <c r="G189" s="107"/>
      <c r="H189" s="107"/>
      <c r="I189" s="107"/>
      <c r="J189" s="107"/>
      <c r="K189" s="87" t="str">
        <f t="shared" si="4"/>
        <v>kWh</v>
      </c>
      <c r="L189" s="85"/>
      <c r="M189" s="85"/>
      <c r="N189" s="107"/>
      <c r="O189" s="370"/>
      <c r="P189" s="370"/>
      <c r="Q189" s="370"/>
      <c r="R189" s="1">
        <f xml:space="preserve"> '2.3 Selskabsspecifikke input'!R233</f>
        <v>0</v>
      </c>
      <c r="S189" s="1">
        <f xml:space="preserve"> '2.3 Selskabsspecifikke input'!S233</f>
        <v>0</v>
      </c>
      <c r="T189" s="1">
        <f xml:space="preserve"> '2.3 Selskabsspecifikke input'!T233</f>
        <v>0</v>
      </c>
      <c r="U189" s="1">
        <f xml:space="preserve"> '2.3 Selskabsspecifikke input'!U233</f>
        <v>0</v>
      </c>
      <c r="V189" s="1">
        <f xml:space="preserve"> '2.3 Selskabsspecifikke input'!V233</f>
        <v>0</v>
      </c>
      <c r="W189" s="4">
        <f t="shared" si="5"/>
        <v>0</v>
      </c>
    </row>
    <row r="190" spans="1:23" customFormat="1" ht="15" customHeight="1">
      <c r="A190" s="1"/>
      <c r="B190" s="1"/>
      <c r="C190" s="2"/>
      <c r="D190" s="124" t="s">
        <v>169</v>
      </c>
      <c r="E190" s="1"/>
      <c r="F190" s="107"/>
      <c r="G190" s="107"/>
      <c r="H190" s="107"/>
      <c r="I190" s="107"/>
      <c r="J190" s="107"/>
      <c r="K190" s="87" t="str">
        <f t="shared" si="4"/>
        <v>kWh</v>
      </c>
      <c r="L190" s="85"/>
      <c r="M190" s="85"/>
      <c r="N190" s="107"/>
      <c r="O190" s="370"/>
      <c r="P190" s="370"/>
      <c r="Q190" s="370"/>
      <c r="R190" s="1">
        <f xml:space="preserve"> '2.3 Selskabsspecifikke input'!R234</f>
        <v>0</v>
      </c>
      <c r="S190" s="1">
        <f xml:space="preserve"> '2.3 Selskabsspecifikke input'!S234</f>
        <v>0</v>
      </c>
      <c r="T190" s="1">
        <f xml:space="preserve"> '2.3 Selskabsspecifikke input'!T234</f>
        <v>0</v>
      </c>
      <c r="U190" s="1">
        <f xml:space="preserve"> '2.3 Selskabsspecifikke input'!U234</f>
        <v>0</v>
      </c>
      <c r="V190" s="1">
        <f xml:space="preserve"> '2.3 Selskabsspecifikke input'!V234</f>
        <v>0</v>
      </c>
      <c r="W190" s="4">
        <f t="shared" si="5"/>
        <v>0</v>
      </c>
    </row>
    <row r="191" spans="1:23" customFormat="1" ht="15" customHeight="1">
      <c r="A191" s="1"/>
      <c r="B191" s="1"/>
      <c r="C191" s="2"/>
      <c r="D191" s="124" t="s">
        <v>170</v>
      </c>
      <c r="E191" s="1"/>
      <c r="F191" s="107"/>
      <c r="G191" s="107"/>
      <c r="H191" s="107"/>
      <c r="I191" s="107"/>
      <c r="J191" s="107"/>
      <c r="K191" s="87" t="str">
        <f t="shared" si="4"/>
        <v>kWh</v>
      </c>
      <c r="L191" s="85"/>
      <c r="M191" s="85"/>
      <c r="N191" s="107"/>
      <c r="O191" s="370"/>
      <c r="P191" s="370"/>
      <c r="Q191" s="370"/>
      <c r="R191" s="1">
        <f xml:space="preserve"> '2.3 Selskabsspecifikke input'!R235</f>
        <v>0</v>
      </c>
      <c r="S191" s="1">
        <f xml:space="preserve"> '2.3 Selskabsspecifikke input'!S235</f>
        <v>0</v>
      </c>
      <c r="T191" s="1">
        <f xml:space="preserve"> '2.3 Selskabsspecifikke input'!T235</f>
        <v>0</v>
      </c>
      <c r="U191" s="1">
        <f xml:space="preserve"> '2.3 Selskabsspecifikke input'!U235</f>
        <v>0</v>
      </c>
      <c r="V191" s="1">
        <f xml:space="preserve"> '2.3 Selskabsspecifikke input'!V235</f>
        <v>0</v>
      </c>
      <c r="W191" s="4">
        <f t="shared" si="5"/>
        <v>0</v>
      </c>
    </row>
    <row r="192" spans="1:23" customFormat="1" ht="15" customHeight="1">
      <c r="A192" s="1"/>
      <c r="B192" s="1"/>
      <c r="C192" s="2"/>
      <c r="D192" s="124" t="s">
        <v>171</v>
      </c>
      <c r="E192" s="1"/>
      <c r="F192" s="107"/>
      <c r="G192" s="107"/>
      <c r="H192" s="107"/>
      <c r="I192" s="107"/>
      <c r="J192" s="107"/>
      <c r="K192" s="87" t="str">
        <f t="shared" si="4"/>
        <v>kWh</v>
      </c>
      <c r="L192" s="85"/>
      <c r="M192" s="85"/>
      <c r="N192" s="107"/>
      <c r="O192" s="370"/>
      <c r="P192" s="370"/>
      <c r="Q192" s="370"/>
      <c r="R192" s="1">
        <f xml:space="preserve"> '2.3 Selskabsspecifikke input'!R236</f>
        <v>0</v>
      </c>
      <c r="S192" s="1">
        <f xml:space="preserve"> '2.3 Selskabsspecifikke input'!S236</f>
        <v>0</v>
      </c>
      <c r="T192" s="1">
        <f xml:space="preserve"> '2.3 Selskabsspecifikke input'!T236</f>
        <v>0</v>
      </c>
      <c r="U192" s="1">
        <f xml:space="preserve"> '2.3 Selskabsspecifikke input'!U236</f>
        <v>0</v>
      </c>
      <c r="V192" s="1">
        <f xml:space="preserve"> '2.3 Selskabsspecifikke input'!V236</f>
        <v>0</v>
      </c>
      <c r="W192" s="4">
        <f t="shared" si="5"/>
        <v>0</v>
      </c>
    </row>
    <row r="193" spans="1:23" customFormat="1" ht="15" customHeight="1">
      <c r="A193" s="1"/>
      <c r="B193" s="1"/>
      <c r="C193" s="2"/>
      <c r="D193" s="124" t="s">
        <v>172</v>
      </c>
      <c r="E193" s="1"/>
      <c r="F193" s="107"/>
      <c r="G193" s="107"/>
      <c r="H193" s="107"/>
      <c r="I193" s="107"/>
      <c r="J193" s="107"/>
      <c r="K193" s="87" t="str">
        <f t="shared" si="4"/>
        <v>kWh</v>
      </c>
      <c r="L193" s="85"/>
      <c r="M193" s="85"/>
      <c r="N193" s="107"/>
      <c r="O193" s="370"/>
      <c r="P193" s="370"/>
      <c r="Q193" s="370"/>
      <c r="R193" s="1">
        <f xml:space="preserve"> '2.3 Selskabsspecifikke input'!R237</f>
        <v>0</v>
      </c>
      <c r="S193" s="1">
        <f xml:space="preserve"> '2.3 Selskabsspecifikke input'!S237</f>
        <v>0</v>
      </c>
      <c r="T193" s="1">
        <f xml:space="preserve"> '2.3 Selskabsspecifikke input'!T237</f>
        <v>0</v>
      </c>
      <c r="U193" s="1">
        <f xml:space="preserve"> '2.3 Selskabsspecifikke input'!U237</f>
        <v>0</v>
      </c>
      <c r="V193" s="1">
        <f xml:space="preserve"> '2.3 Selskabsspecifikke input'!V237</f>
        <v>0</v>
      </c>
      <c r="W193" s="4">
        <f t="shared" si="5"/>
        <v>0</v>
      </c>
    </row>
    <row r="194" spans="1:23" customFormat="1" ht="15" customHeight="1">
      <c r="A194" s="1"/>
      <c r="B194" s="1"/>
      <c r="C194" s="2"/>
      <c r="D194" s="124" t="s">
        <v>173</v>
      </c>
      <c r="E194" s="1"/>
      <c r="F194" s="107"/>
      <c r="G194" s="107"/>
      <c r="H194" s="107"/>
      <c r="I194" s="107"/>
      <c r="J194" s="107"/>
      <c r="K194" s="87" t="str">
        <f t="shared" si="4"/>
        <v>kWh</v>
      </c>
      <c r="L194" s="85"/>
      <c r="M194" s="85"/>
      <c r="N194" s="107"/>
      <c r="O194" s="370"/>
      <c r="P194" s="370"/>
      <c r="Q194" s="370"/>
      <c r="R194" s="1">
        <f xml:space="preserve"> '2.3 Selskabsspecifikke input'!R238</f>
        <v>0</v>
      </c>
      <c r="S194" s="1">
        <f xml:space="preserve"> '2.3 Selskabsspecifikke input'!S238</f>
        <v>0</v>
      </c>
      <c r="T194" s="1">
        <f xml:space="preserve"> '2.3 Selskabsspecifikke input'!T238</f>
        <v>0</v>
      </c>
      <c r="U194" s="1">
        <f xml:space="preserve"> '2.3 Selskabsspecifikke input'!U238</f>
        <v>0</v>
      </c>
      <c r="V194" s="1">
        <f xml:space="preserve"> '2.3 Selskabsspecifikke input'!V238</f>
        <v>0</v>
      </c>
      <c r="W194" s="4">
        <f t="shared" si="5"/>
        <v>0</v>
      </c>
    </row>
    <row r="195" spans="1:23" customFormat="1" ht="15" customHeight="1">
      <c r="A195" s="1"/>
      <c r="B195" s="1"/>
      <c r="C195" s="2"/>
      <c r="D195" s="124" t="s">
        <v>174</v>
      </c>
      <c r="E195" s="1"/>
      <c r="F195" s="107"/>
      <c r="G195" s="107"/>
      <c r="H195" s="107"/>
      <c r="I195" s="107"/>
      <c r="J195" s="107"/>
      <c r="K195" s="87" t="str">
        <f t="shared" si="4"/>
        <v>kWh</v>
      </c>
      <c r="L195" s="85"/>
      <c r="M195" s="85"/>
      <c r="N195" s="107"/>
      <c r="O195" s="370"/>
      <c r="P195" s="370"/>
      <c r="Q195" s="370"/>
      <c r="R195" s="1">
        <f xml:space="preserve"> '2.3 Selskabsspecifikke input'!R239</f>
        <v>0</v>
      </c>
      <c r="S195" s="1">
        <f xml:space="preserve"> '2.3 Selskabsspecifikke input'!S239</f>
        <v>0</v>
      </c>
      <c r="T195" s="1">
        <f xml:space="preserve"> '2.3 Selskabsspecifikke input'!T239</f>
        <v>0</v>
      </c>
      <c r="U195" s="1">
        <f xml:space="preserve"> '2.3 Selskabsspecifikke input'!U239</f>
        <v>0</v>
      </c>
      <c r="V195" s="1">
        <f xml:space="preserve"> '2.3 Selskabsspecifikke input'!V239</f>
        <v>0</v>
      </c>
      <c r="W195" s="4">
        <f t="shared" si="5"/>
        <v>0</v>
      </c>
    </row>
    <row r="196" spans="1:23" customFormat="1" ht="15" customHeight="1">
      <c r="A196" s="1"/>
      <c r="B196" s="1"/>
      <c r="C196" s="2"/>
      <c r="D196" s="125" t="s">
        <v>175</v>
      </c>
      <c r="E196" s="27"/>
      <c r="F196" s="115"/>
      <c r="G196" s="115"/>
      <c r="H196" s="115"/>
      <c r="I196" s="115"/>
      <c r="J196" s="115"/>
      <c r="K196" s="98" t="str">
        <f t="shared" si="4"/>
        <v>kWh</v>
      </c>
      <c r="L196" s="99"/>
      <c r="M196" s="99"/>
      <c r="N196" s="115"/>
      <c r="O196" s="368"/>
      <c r="P196" s="368"/>
      <c r="Q196" s="368"/>
      <c r="R196" s="27">
        <f xml:space="preserve"> '2.3 Selskabsspecifikke input'!R240</f>
        <v>0</v>
      </c>
      <c r="S196" s="27">
        <f xml:space="preserve"> '2.3 Selskabsspecifikke input'!S240</f>
        <v>0</v>
      </c>
      <c r="T196" s="27">
        <f xml:space="preserve"> '2.3 Selskabsspecifikke input'!T240</f>
        <v>0</v>
      </c>
      <c r="U196" s="27">
        <f xml:space="preserve"> '2.3 Selskabsspecifikke input'!U240</f>
        <v>0</v>
      </c>
      <c r="V196" s="27">
        <f xml:space="preserve"> '2.3 Selskabsspecifikke input'!V240</f>
        <v>0</v>
      </c>
      <c r="W196" s="35">
        <f t="shared" si="5"/>
        <v>0</v>
      </c>
    </row>
    <row r="197" spans="1:23" customFormat="1" ht="15" customHeight="1">
      <c r="A197" s="1"/>
      <c r="B197" s="1"/>
      <c r="C197" s="2"/>
      <c r="D197" s="188" t="s">
        <v>16</v>
      </c>
      <c r="E197" s="186"/>
      <c r="F197" s="120"/>
      <c r="G197" s="120"/>
      <c r="H197" s="120"/>
      <c r="I197" s="120"/>
      <c r="J197" s="120"/>
      <c r="K197" s="106" t="str">
        <f t="shared" si="4"/>
        <v>kWh</v>
      </c>
      <c r="L197" s="105"/>
      <c r="M197" s="105"/>
      <c r="N197" s="120"/>
      <c r="O197" s="371"/>
      <c r="P197" s="371"/>
      <c r="Q197" s="371"/>
      <c r="R197" s="186">
        <f t="shared" ref="R197:W197" si="6" xml:space="preserve"> SUM( R173:R196 )</f>
        <v>0</v>
      </c>
      <c r="S197" s="186">
        <f t="shared" si="6"/>
        <v>0</v>
      </c>
      <c r="T197" s="186">
        <f t="shared" si="6"/>
        <v>0</v>
      </c>
      <c r="U197" s="186">
        <f t="shared" si="6"/>
        <v>0</v>
      </c>
      <c r="V197" s="186">
        <f t="shared" si="6"/>
        <v>0</v>
      </c>
      <c r="W197" s="186">
        <f t="shared" si="6"/>
        <v>0</v>
      </c>
    </row>
    <row r="198" spans="1:23" customFormat="1" ht="15" customHeight="1">
      <c r="A198" s="1"/>
      <c r="B198" s="1"/>
      <c r="C198" s="2"/>
      <c r="D198" s="85"/>
      <c r="E198" s="1"/>
      <c r="F198" s="107"/>
      <c r="G198" s="107"/>
      <c r="H198" s="107"/>
      <c r="I198" s="107"/>
      <c r="J198" s="107"/>
      <c r="K198" s="87"/>
      <c r="L198" s="85"/>
      <c r="M198" s="85"/>
      <c r="N198" s="107"/>
      <c r="O198" s="107"/>
      <c r="P198" s="107"/>
      <c r="Q198" s="107"/>
      <c r="R198" s="1"/>
      <c r="S198" s="1"/>
      <c r="T198" s="1"/>
      <c r="U198" s="1"/>
      <c r="V198" s="1"/>
      <c r="W198" s="1"/>
    </row>
    <row r="199" spans="1:23" customFormat="1" ht="15" customHeight="1">
      <c r="A199" s="1"/>
      <c r="B199" s="1"/>
      <c r="C199" s="2"/>
      <c r="D199" s="97" t="s">
        <v>506</v>
      </c>
      <c r="E199" s="27"/>
      <c r="F199" s="115"/>
      <c r="G199" s="115"/>
      <c r="H199" s="115"/>
      <c r="I199" s="115"/>
      <c r="J199" s="115"/>
      <c r="K199" s="98"/>
      <c r="L199" s="99"/>
      <c r="M199" s="99"/>
      <c r="N199" s="115"/>
      <c r="O199" s="107"/>
      <c r="P199" s="107"/>
      <c r="Q199" s="107"/>
      <c r="R199" s="1"/>
      <c r="S199" s="1"/>
      <c r="T199" s="1"/>
      <c r="U199" s="1"/>
      <c r="V199" s="1"/>
      <c r="W199" s="89" t="s">
        <v>16</v>
      </c>
    </row>
    <row r="200" spans="1:23" customFormat="1" ht="15" customHeight="1">
      <c r="A200" s="1"/>
      <c r="B200" s="1"/>
      <c r="C200" s="2"/>
      <c r="D200" s="124" t="s">
        <v>152</v>
      </c>
      <c r="E200" s="1"/>
      <c r="F200" s="107"/>
      <c r="G200" s="107"/>
      <c r="H200" s="107"/>
      <c r="I200" s="107"/>
      <c r="J200" s="107"/>
      <c r="K200" s="87" t="str">
        <f t="shared" ref="K200:K224" si="7">Model.Units2</f>
        <v>kWh</v>
      </c>
      <c r="L200" s="85"/>
      <c r="M200" s="85"/>
      <c r="N200" s="107"/>
      <c r="O200" s="369"/>
      <c r="P200" s="369"/>
      <c r="Q200" s="369"/>
      <c r="R200" s="15">
        <f xml:space="preserve"> '2.3 Selskabsspecifikke input'!R244</f>
        <v>0</v>
      </c>
      <c r="S200" s="15">
        <f xml:space="preserve"> '2.3 Selskabsspecifikke input'!S244</f>
        <v>0</v>
      </c>
      <c r="T200" s="15">
        <f xml:space="preserve"> '2.3 Selskabsspecifikke input'!T244</f>
        <v>0</v>
      </c>
      <c r="U200" s="15">
        <f xml:space="preserve"> '2.3 Selskabsspecifikke input'!U244</f>
        <v>0</v>
      </c>
      <c r="V200" s="15">
        <f xml:space="preserve"> '2.3 Selskabsspecifikke input'!V244</f>
        <v>0</v>
      </c>
      <c r="W200" s="18">
        <f xml:space="preserve"> SUM( R200:V200 )</f>
        <v>0</v>
      </c>
    </row>
    <row r="201" spans="1:23" customFormat="1" ht="15" customHeight="1">
      <c r="A201" s="1"/>
      <c r="B201" s="1"/>
      <c r="C201" s="2"/>
      <c r="D201" s="124" t="s">
        <v>153</v>
      </c>
      <c r="E201" s="1"/>
      <c r="F201" s="107"/>
      <c r="G201" s="107"/>
      <c r="H201" s="107"/>
      <c r="I201" s="107"/>
      <c r="J201" s="107"/>
      <c r="K201" s="87" t="str">
        <f t="shared" si="7"/>
        <v>kWh</v>
      </c>
      <c r="L201" s="85"/>
      <c r="M201" s="85"/>
      <c r="N201" s="107"/>
      <c r="O201" s="370"/>
      <c r="P201" s="370"/>
      <c r="Q201" s="370"/>
      <c r="R201" s="1">
        <f xml:space="preserve"> '2.3 Selskabsspecifikke input'!R245</f>
        <v>0</v>
      </c>
      <c r="S201" s="1">
        <f xml:space="preserve"> '2.3 Selskabsspecifikke input'!S245</f>
        <v>0</v>
      </c>
      <c r="T201" s="1">
        <f xml:space="preserve"> '2.3 Selskabsspecifikke input'!T245</f>
        <v>0</v>
      </c>
      <c r="U201" s="1">
        <f xml:space="preserve"> '2.3 Selskabsspecifikke input'!U245</f>
        <v>0</v>
      </c>
      <c r="V201" s="1">
        <f xml:space="preserve"> '2.3 Selskabsspecifikke input'!V245</f>
        <v>0</v>
      </c>
      <c r="W201" s="4">
        <f t="shared" ref="W201:W223" si="8" xml:space="preserve"> SUM( R201:V201 )</f>
        <v>0</v>
      </c>
    </row>
    <row r="202" spans="1:23" customFormat="1" ht="15" customHeight="1">
      <c r="A202" s="1"/>
      <c r="B202" s="1"/>
      <c r="C202" s="2"/>
      <c r="D202" s="124" t="s">
        <v>154</v>
      </c>
      <c r="E202" s="1"/>
      <c r="F202" s="107"/>
      <c r="G202" s="107"/>
      <c r="H202" s="107"/>
      <c r="I202" s="107"/>
      <c r="J202" s="107"/>
      <c r="K202" s="87" t="str">
        <f t="shared" si="7"/>
        <v>kWh</v>
      </c>
      <c r="L202" s="85"/>
      <c r="M202" s="85"/>
      <c r="N202" s="107"/>
      <c r="O202" s="370"/>
      <c r="P202" s="370"/>
      <c r="Q202" s="370"/>
      <c r="R202" s="1">
        <f xml:space="preserve"> '2.3 Selskabsspecifikke input'!R246</f>
        <v>0</v>
      </c>
      <c r="S202" s="1">
        <f xml:space="preserve"> '2.3 Selskabsspecifikke input'!S246</f>
        <v>0</v>
      </c>
      <c r="T202" s="1">
        <f xml:space="preserve"> '2.3 Selskabsspecifikke input'!T246</f>
        <v>0</v>
      </c>
      <c r="U202" s="1">
        <f xml:space="preserve"> '2.3 Selskabsspecifikke input'!U246</f>
        <v>0</v>
      </c>
      <c r="V202" s="1">
        <f xml:space="preserve"> '2.3 Selskabsspecifikke input'!V246</f>
        <v>0</v>
      </c>
      <c r="W202" s="4">
        <f t="shared" si="8"/>
        <v>0</v>
      </c>
    </row>
    <row r="203" spans="1:23" customFormat="1" ht="15" customHeight="1">
      <c r="A203" s="1"/>
      <c r="B203" s="1"/>
      <c r="C203" s="2"/>
      <c r="D203" s="124" t="s">
        <v>155</v>
      </c>
      <c r="E203" s="1"/>
      <c r="F203" s="107"/>
      <c r="G203" s="107"/>
      <c r="H203" s="107"/>
      <c r="I203" s="107"/>
      <c r="J203" s="107"/>
      <c r="K203" s="87" t="str">
        <f t="shared" si="7"/>
        <v>kWh</v>
      </c>
      <c r="L203" s="85"/>
      <c r="M203" s="85"/>
      <c r="N203" s="107"/>
      <c r="O203" s="370"/>
      <c r="P203" s="370"/>
      <c r="Q203" s="370"/>
      <c r="R203" s="1">
        <f xml:space="preserve"> '2.3 Selskabsspecifikke input'!R247</f>
        <v>0</v>
      </c>
      <c r="S203" s="1">
        <f xml:space="preserve"> '2.3 Selskabsspecifikke input'!S247</f>
        <v>0</v>
      </c>
      <c r="T203" s="1">
        <f xml:space="preserve"> '2.3 Selskabsspecifikke input'!T247</f>
        <v>0</v>
      </c>
      <c r="U203" s="1">
        <f xml:space="preserve"> '2.3 Selskabsspecifikke input'!U247</f>
        <v>0</v>
      </c>
      <c r="V203" s="1">
        <f xml:space="preserve"> '2.3 Selskabsspecifikke input'!V247</f>
        <v>0</v>
      </c>
      <c r="W203" s="4">
        <f t="shared" si="8"/>
        <v>0</v>
      </c>
    </row>
    <row r="204" spans="1:23" customFormat="1" ht="15" customHeight="1">
      <c r="A204" s="1"/>
      <c r="B204" s="1"/>
      <c r="C204" s="2"/>
      <c r="D204" s="124" t="s">
        <v>156</v>
      </c>
      <c r="E204" s="1"/>
      <c r="F204" s="107"/>
      <c r="G204" s="107"/>
      <c r="H204" s="107"/>
      <c r="I204" s="107"/>
      <c r="J204" s="107"/>
      <c r="K204" s="87" t="str">
        <f t="shared" si="7"/>
        <v>kWh</v>
      </c>
      <c r="L204" s="85"/>
      <c r="M204" s="85"/>
      <c r="N204" s="107"/>
      <c r="O204" s="370"/>
      <c r="P204" s="370"/>
      <c r="Q204" s="370"/>
      <c r="R204" s="1">
        <f xml:space="preserve"> '2.3 Selskabsspecifikke input'!R248</f>
        <v>0</v>
      </c>
      <c r="S204" s="1">
        <f xml:space="preserve"> '2.3 Selskabsspecifikke input'!S248</f>
        <v>0</v>
      </c>
      <c r="T204" s="1">
        <f xml:space="preserve"> '2.3 Selskabsspecifikke input'!T248</f>
        <v>0</v>
      </c>
      <c r="U204" s="1">
        <f xml:space="preserve"> '2.3 Selskabsspecifikke input'!U248</f>
        <v>0</v>
      </c>
      <c r="V204" s="1">
        <f xml:space="preserve"> '2.3 Selskabsspecifikke input'!V248</f>
        <v>0</v>
      </c>
      <c r="W204" s="4">
        <f t="shared" si="8"/>
        <v>0</v>
      </c>
    </row>
    <row r="205" spans="1:23" customFormat="1" ht="15" customHeight="1">
      <c r="A205" s="1"/>
      <c r="B205" s="1"/>
      <c r="C205" s="2"/>
      <c r="D205" s="124" t="s">
        <v>157</v>
      </c>
      <c r="E205" s="1"/>
      <c r="F205" s="107"/>
      <c r="G205" s="107"/>
      <c r="H205" s="107"/>
      <c r="I205" s="107"/>
      <c r="J205" s="107"/>
      <c r="K205" s="87" t="str">
        <f t="shared" si="7"/>
        <v>kWh</v>
      </c>
      <c r="L205" s="85"/>
      <c r="M205" s="85"/>
      <c r="N205" s="107"/>
      <c r="O205" s="370"/>
      <c r="P205" s="370"/>
      <c r="Q205" s="370"/>
      <c r="R205" s="1">
        <f xml:space="preserve"> '2.3 Selskabsspecifikke input'!R249</f>
        <v>0</v>
      </c>
      <c r="S205" s="1">
        <f xml:space="preserve"> '2.3 Selskabsspecifikke input'!S249</f>
        <v>0</v>
      </c>
      <c r="T205" s="1">
        <f xml:space="preserve"> '2.3 Selskabsspecifikke input'!T249</f>
        <v>0</v>
      </c>
      <c r="U205" s="1">
        <f xml:space="preserve"> '2.3 Selskabsspecifikke input'!U249</f>
        <v>0</v>
      </c>
      <c r="V205" s="1">
        <f xml:space="preserve"> '2.3 Selskabsspecifikke input'!V249</f>
        <v>0</v>
      </c>
      <c r="W205" s="4">
        <f t="shared" si="8"/>
        <v>0</v>
      </c>
    </row>
    <row r="206" spans="1:23" customFormat="1" ht="15" customHeight="1">
      <c r="A206" s="1"/>
      <c r="B206" s="1"/>
      <c r="C206" s="2"/>
      <c r="D206" s="124" t="s">
        <v>158</v>
      </c>
      <c r="E206" s="1"/>
      <c r="F206" s="107"/>
      <c r="G206" s="107"/>
      <c r="H206" s="107"/>
      <c r="I206" s="107"/>
      <c r="J206" s="107"/>
      <c r="K206" s="87" t="str">
        <f t="shared" si="7"/>
        <v>kWh</v>
      </c>
      <c r="L206" s="85"/>
      <c r="M206" s="85"/>
      <c r="N206" s="107"/>
      <c r="O206" s="370"/>
      <c r="P206" s="370"/>
      <c r="Q206" s="370"/>
      <c r="R206" s="1">
        <f xml:space="preserve"> '2.3 Selskabsspecifikke input'!R250</f>
        <v>0</v>
      </c>
      <c r="S206" s="1">
        <f xml:space="preserve"> '2.3 Selskabsspecifikke input'!S250</f>
        <v>0</v>
      </c>
      <c r="T206" s="1">
        <f xml:space="preserve"> '2.3 Selskabsspecifikke input'!T250</f>
        <v>0</v>
      </c>
      <c r="U206" s="1">
        <f xml:space="preserve"> '2.3 Selskabsspecifikke input'!U250</f>
        <v>0</v>
      </c>
      <c r="V206" s="1">
        <f xml:space="preserve"> '2.3 Selskabsspecifikke input'!V250</f>
        <v>0</v>
      </c>
      <c r="W206" s="4">
        <f t="shared" si="8"/>
        <v>0</v>
      </c>
    </row>
    <row r="207" spans="1:23" customFormat="1" ht="15" customHeight="1">
      <c r="A207" s="1"/>
      <c r="B207" s="1"/>
      <c r="C207" s="2"/>
      <c r="D207" s="124" t="s">
        <v>159</v>
      </c>
      <c r="E207" s="1"/>
      <c r="F207" s="107"/>
      <c r="G207" s="107"/>
      <c r="H207" s="107"/>
      <c r="I207" s="107"/>
      <c r="J207" s="107"/>
      <c r="K207" s="87" t="str">
        <f t="shared" si="7"/>
        <v>kWh</v>
      </c>
      <c r="L207" s="85"/>
      <c r="M207" s="85"/>
      <c r="N207" s="107"/>
      <c r="O207" s="370"/>
      <c r="P207" s="370"/>
      <c r="Q207" s="370"/>
      <c r="R207" s="1">
        <f xml:space="preserve"> '2.3 Selskabsspecifikke input'!R251</f>
        <v>0</v>
      </c>
      <c r="S207" s="1">
        <f xml:space="preserve"> '2.3 Selskabsspecifikke input'!S251</f>
        <v>0</v>
      </c>
      <c r="T207" s="1">
        <f xml:space="preserve"> '2.3 Selskabsspecifikke input'!T251</f>
        <v>0</v>
      </c>
      <c r="U207" s="1">
        <f xml:space="preserve"> '2.3 Selskabsspecifikke input'!U251</f>
        <v>0</v>
      </c>
      <c r="V207" s="1">
        <f xml:space="preserve"> '2.3 Selskabsspecifikke input'!V251</f>
        <v>0</v>
      </c>
      <c r="W207" s="4">
        <f t="shared" si="8"/>
        <v>0</v>
      </c>
    </row>
    <row r="208" spans="1:23" customFormat="1" ht="15" customHeight="1">
      <c r="A208" s="1"/>
      <c r="B208" s="1"/>
      <c r="C208" s="2"/>
      <c r="D208" s="124" t="s">
        <v>160</v>
      </c>
      <c r="E208" s="1"/>
      <c r="F208" s="107"/>
      <c r="G208" s="107"/>
      <c r="H208" s="107"/>
      <c r="I208" s="107"/>
      <c r="J208" s="107"/>
      <c r="K208" s="87" t="str">
        <f t="shared" si="7"/>
        <v>kWh</v>
      </c>
      <c r="L208" s="85"/>
      <c r="M208" s="85"/>
      <c r="N208" s="107"/>
      <c r="O208" s="370"/>
      <c r="P208" s="370"/>
      <c r="Q208" s="370"/>
      <c r="R208" s="1">
        <f xml:space="preserve"> '2.3 Selskabsspecifikke input'!R252</f>
        <v>0</v>
      </c>
      <c r="S208" s="1">
        <f xml:space="preserve"> '2.3 Selskabsspecifikke input'!S252</f>
        <v>0</v>
      </c>
      <c r="T208" s="1">
        <f xml:space="preserve"> '2.3 Selskabsspecifikke input'!T252</f>
        <v>0</v>
      </c>
      <c r="U208" s="1">
        <f xml:space="preserve"> '2.3 Selskabsspecifikke input'!U252</f>
        <v>0</v>
      </c>
      <c r="V208" s="1">
        <f xml:space="preserve"> '2.3 Selskabsspecifikke input'!V252</f>
        <v>0</v>
      </c>
      <c r="W208" s="4">
        <f t="shared" si="8"/>
        <v>0</v>
      </c>
    </row>
    <row r="209" spans="1:23" customFormat="1" ht="15" customHeight="1">
      <c r="A209" s="1"/>
      <c r="B209" s="1"/>
      <c r="C209" s="2"/>
      <c r="D209" s="124" t="s">
        <v>161</v>
      </c>
      <c r="E209" s="1"/>
      <c r="F209" s="107"/>
      <c r="G209" s="107"/>
      <c r="H209" s="107"/>
      <c r="I209" s="107"/>
      <c r="J209" s="107"/>
      <c r="K209" s="87" t="str">
        <f t="shared" si="7"/>
        <v>kWh</v>
      </c>
      <c r="L209" s="85"/>
      <c r="M209" s="85"/>
      <c r="N209" s="107"/>
      <c r="O209" s="370"/>
      <c r="P209" s="370"/>
      <c r="Q209" s="370"/>
      <c r="R209" s="1">
        <f xml:space="preserve"> '2.3 Selskabsspecifikke input'!R253</f>
        <v>0</v>
      </c>
      <c r="S209" s="1">
        <f xml:space="preserve"> '2.3 Selskabsspecifikke input'!S253</f>
        <v>0</v>
      </c>
      <c r="T209" s="1">
        <f xml:space="preserve"> '2.3 Selskabsspecifikke input'!T253</f>
        <v>0</v>
      </c>
      <c r="U209" s="1">
        <f xml:space="preserve"> '2.3 Selskabsspecifikke input'!U253</f>
        <v>0</v>
      </c>
      <c r="V209" s="1">
        <f xml:space="preserve"> '2.3 Selskabsspecifikke input'!V253</f>
        <v>0</v>
      </c>
      <c r="W209" s="4">
        <f t="shared" si="8"/>
        <v>0</v>
      </c>
    </row>
    <row r="210" spans="1:23" customFormat="1" ht="15" customHeight="1">
      <c r="A210" s="1"/>
      <c r="B210" s="1"/>
      <c r="C210" s="2"/>
      <c r="D210" s="124" t="s">
        <v>162</v>
      </c>
      <c r="E210" s="1"/>
      <c r="F210" s="107"/>
      <c r="G210" s="107"/>
      <c r="H210" s="107"/>
      <c r="I210" s="107"/>
      <c r="J210" s="107"/>
      <c r="K210" s="87" t="str">
        <f t="shared" si="7"/>
        <v>kWh</v>
      </c>
      <c r="L210" s="85"/>
      <c r="M210" s="85"/>
      <c r="N210" s="107"/>
      <c r="O210" s="370"/>
      <c r="P210" s="370"/>
      <c r="Q210" s="370"/>
      <c r="R210" s="1">
        <f xml:space="preserve"> '2.3 Selskabsspecifikke input'!R254</f>
        <v>0</v>
      </c>
      <c r="S210" s="1">
        <f xml:space="preserve"> '2.3 Selskabsspecifikke input'!S254</f>
        <v>0</v>
      </c>
      <c r="T210" s="1">
        <f xml:space="preserve"> '2.3 Selskabsspecifikke input'!T254</f>
        <v>0</v>
      </c>
      <c r="U210" s="1">
        <f xml:space="preserve"> '2.3 Selskabsspecifikke input'!U254</f>
        <v>0</v>
      </c>
      <c r="V210" s="1">
        <f xml:space="preserve"> '2.3 Selskabsspecifikke input'!V254</f>
        <v>0</v>
      </c>
      <c r="W210" s="4">
        <f t="shared" si="8"/>
        <v>0</v>
      </c>
    </row>
    <row r="211" spans="1:23" customFormat="1" ht="15" customHeight="1">
      <c r="A211" s="1"/>
      <c r="B211" s="1"/>
      <c r="C211" s="2"/>
      <c r="D211" s="124" t="s">
        <v>163</v>
      </c>
      <c r="E211" s="1"/>
      <c r="F211" s="107"/>
      <c r="G211" s="107"/>
      <c r="H211" s="107"/>
      <c r="I211" s="107"/>
      <c r="J211" s="107"/>
      <c r="K211" s="87" t="str">
        <f t="shared" si="7"/>
        <v>kWh</v>
      </c>
      <c r="L211" s="85"/>
      <c r="M211" s="85"/>
      <c r="N211" s="107"/>
      <c r="O211" s="370"/>
      <c r="P211" s="370"/>
      <c r="Q211" s="370"/>
      <c r="R211" s="1">
        <f xml:space="preserve"> '2.3 Selskabsspecifikke input'!R255</f>
        <v>0</v>
      </c>
      <c r="S211" s="1">
        <f xml:space="preserve"> '2.3 Selskabsspecifikke input'!S255</f>
        <v>0</v>
      </c>
      <c r="T211" s="1">
        <f xml:space="preserve"> '2.3 Selskabsspecifikke input'!T255</f>
        <v>0</v>
      </c>
      <c r="U211" s="1">
        <f xml:space="preserve"> '2.3 Selskabsspecifikke input'!U255</f>
        <v>0</v>
      </c>
      <c r="V211" s="1">
        <f xml:space="preserve"> '2.3 Selskabsspecifikke input'!V255</f>
        <v>0</v>
      </c>
      <c r="W211" s="4">
        <f t="shared" si="8"/>
        <v>0</v>
      </c>
    </row>
    <row r="212" spans="1:23" customFormat="1" ht="15" customHeight="1">
      <c r="A212" s="1"/>
      <c r="B212" s="1"/>
      <c r="C212" s="2"/>
      <c r="D212" s="124" t="s">
        <v>164</v>
      </c>
      <c r="E212" s="1"/>
      <c r="F212" s="107"/>
      <c r="G212" s="107"/>
      <c r="H212" s="107"/>
      <c r="I212" s="107"/>
      <c r="J212" s="107"/>
      <c r="K212" s="87" t="str">
        <f t="shared" si="7"/>
        <v>kWh</v>
      </c>
      <c r="L212" s="85"/>
      <c r="M212" s="85"/>
      <c r="N212" s="107"/>
      <c r="O212" s="370"/>
      <c r="P212" s="370"/>
      <c r="Q212" s="370"/>
      <c r="R212" s="1">
        <f xml:space="preserve"> '2.3 Selskabsspecifikke input'!R256</f>
        <v>0</v>
      </c>
      <c r="S212" s="1">
        <f xml:space="preserve"> '2.3 Selskabsspecifikke input'!S256</f>
        <v>0</v>
      </c>
      <c r="T212" s="1">
        <f xml:space="preserve"> '2.3 Selskabsspecifikke input'!T256</f>
        <v>0</v>
      </c>
      <c r="U212" s="1">
        <f xml:space="preserve"> '2.3 Selskabsspecifikke input'!U256</f>
        <v>0</v>
      </c>
      <c r="V212" s="1">
        <f xml:space="preserve"> '2.3 Selskabsspecifikke input'!V256</f>
        <v>0</v>
      </c>
      <c r="W212" s="4">
        <f t="shared" si="8"/>
        <v>0</v>
      </c>
    </row>
    <row r="213" spans="1:23" customFormat="1" ht="15" customHeight="1">
      <c r="A213" s="1"/>
      <c r="B213" s="1"/>
      <c r="C213" s="2"/>
      <c r="D213" s="124" t="s">
        <v>165</v>
      </c>
      <c r="E213" s="1"/>
      <c r="F213" s="107"/>
      <c r="G213" s="107"/>
      <c r="H213" s="107"/>
      <c r="I213" s="107"/>
      <c r="J213" s="107"/>
      <c r="K213" s="87" t="str">
        <f t="shared" si="7"/>
        <v>kWh</v>
      </c>
      <c r="L213" s="85"/>
      <c r="M213" s="85"/>
      <c r="N213" s="107"/>
      <c r="O213" s="370"/>
      <c r="P213" s="370"/>
      <c r="Q213" s="370"/>
      <c r="R213" s="1">
        <f xml:space="preserve"> '2.3 Selskabsspecifikke input'!R257</f>
        <v>0</v>
      </c>
      <c r="S213" s="1">
        <f xml:space="preserve"> '2.3 Selskabsspecifikke input'!S257</f>
        <v>0</v>
      </c>
      <c r="T213" s="1">
        <f xml:space="preserve"> '2.3 Selskabsspecifikke input'!T257</f>
        <v>0</v>
      </c>
      <c r="U213" s="1">
        <f xml:space="preserve"> '2.3 Selskabsspecifikke input'!U257</f>
        <v>0</v>
      </c>
      <c r="V213" s="1">
        <f xml:space="preserve"> '2.3 Selskabsspecifikke input'!V257</f>
        <v>0</v>
      </c>
      <c r="W213" s="4">
        <f t="shared" si="8"/>
        <v>0</v>
      </c>
    </row>
    <row r="214" spans="1:23" customFormat="1" ht="15" customHeight="1">
      <c r="A214" s="1"/>
      <c r="B214" s="1"/>
      <c r="C214" s="2"/>
      <c r="D214" s="124" t="s">
        <v>166</v>
      </c>
      <c r="E214" s="1"/>
      <c r="F214" s="107"/>
      <c r="G214" s="107"/>
      <c r="H214" s="107"/>
      <c r="I214" s="107"/>
      <c r="J214" s="107"/>
      <c r="K214" s="87" t="str">
        <f t="shared" si="7"/>
        <v>kWh</v>
      </c>
      <c r="L214" s="85"/>
      <c r="M214" s="85"/>
      <c r="N214" s="107"/>
      <c r="O214" s="370"/>
      <c r="P214" s="370"/>
      <c r="Q214" s="370"/>
      <c r="R214" s="1">
        <f xml:space="preserve"> '2.3 Selskabsspecifikke input'!R258</f>
        <v>0</v>
      </c>
      <c r="S214" s="1">
        <f xml:space="preserve"> '2.3 Selskabsspecifikke input'!S258</f>
        <v>0</v>
      </c>
      <c r="T214" s="1">
        <f xml:space="preserve"> '2.3 Selskabsspecifikke input'!T258</f>
        <v>0</v>
      </c>
      <c r="U214" s="1">
        <f xml:space="preserve"> '2.3 Selskabsspecifikke input'!U258</f>
        <v>0</v>
      </c>
      <c r="V214" s="1">
        <f xml:space="preserve"> '2.3 Selskabsspecifikke input'!V258</f>
        <v>0</v>
      </c>
      <c r="W214" s="4">
        <f t="shared" si="8"/>
        <v>0</v>
      </c>
    </row>
    <row r="215" spans="1:23" customFormat="1" ht="15" customHeight="1">
      <c r="A215" s="1"/>
      <c r="B215" s="1"/>
      <c r="C215" s="2"/>
      <c r="D215" s="124" t="s">
        <v>167</v>
      </c>
      <c r="E215" s="1"/>
      <c r="F215" s="107"/>
      <c r="G215" s="107"/>
      <c r="H215" s="107"/>
      <c r="I215" s="107"/>
      <c r="J215" s="107"/>
      <c r="K215" s="87" t="str">
        <f t="shared" si="7"/>
        <v>kWh</v>
      </c>
      <c r="L215" s="85"/>
      <c r="M215" s="85"/>
      <c r="N215" s="107"/>
      <c r="O215" s="370"/>
      <c r="P215" s="370"/>
      <c r="Q215" s="370"/>
      <c r="R215" s="1">
        <f xml:space="preserve"> '2.3 Selskabsspecifikke input'!R259</f>
        <v>0</v>
      </c>
      <c r="S215" s="1">
        <f xml:space="preserve"> '2.3 Selskabsspecifikke input'!S259</f>
        <v>0</v>
      </c>
      <c r="T215" s="1">
        <f xml:space="preserve"> '2.3 Selskabsspecifikke input'!T259</f>
        <v>0</v>
      </c>
      <c r="U215" s="1">
        <f xml:space="preserve"> '2.3 Selskabsspecifikke input'!U259</f>
        <v>0</v>
      </c>
      <c r="V215" s="1">
        <f xml:space="preserve"> '2.3 Selskabsspecifikke input'!V259</f>
        <v>0</v>
      </c>
      <c r="W215" s="4">
        <f t="shared" si="8"/>
        <v>0</v>
      </c>
    </row>
    <row r="216" spans="1:23" customFormat="1" ht="15" customHeight="1">
      <c r="A216" s="1"/>
      <c r="B216" s="1"/>
      <c r="C216" s="2"/>
      <c r="D216" s="124" t="s">
        <v>168</v>
      </c>
      <c r="E216" s="1"/>
      <c r="F216" s="107"/>
      <c r="G216" s="107"/>
      <c r="H216" s="107"/>
      <c r="I216" s="107"/>
      <c r="J216" s="107"/>
      <c r="K216" s="87" t="str">
        <f t="shared" si="7"/>
        <v>kWh</v>
      </c>
      <c r="L216" s="85"/>
      <c r="M216" s="85"/>
      <c r="N216" s="107"/>
      <c r="O216" s="370"/>
      <c r="P216" s="370"/>
      <c r="Q216" s="370"/>
      <c r="R216" s="1">
        <f xml:space="preserve"> '2.3 Selskabsspecifikke input'!R260</f>
        <v>0</v>
      </c>
      <c r="S216" s="1">
        <f xml:space="preserve"> '2.3 Selskabsspecifikke input'!S260</f>
        <v>0</v>
      </c>
      <c r="T216" s="1">
        <f xml:space="preserve"> '2.3 Selskabsspecifikke input'!T260</f>
        <v>0</v>
      </c>
      <c r="U216" s="1">
        <f xml:space="preserve"> '2.3 Selskabsspecifikke input'!U260</f>
        <v>0</v>
      </c>
      <c r="V216" s="1">
        <f xml:space="preserve"> '2.3 Selskabsspecifikke input'!V260</f>
        <v>0</v>
      </c>
      <c r="W216" s="4">
        <f t="shared" si="8"/>
        <v>0</v>
      </c>
    </row>
    <row r="217" spans="1:23" customFormat="1" ht="15" customHeight="1">
      <c r="A217" s="1"/>
      <c r="B217" s="1"/>
      <c r="C217" s="2"/>
      <c r="D217" s="124" t="s">
        <v>169</v>
      </c>
      <c r="E217" s="1"/>
      <c r="F217" s="107"/>
      <c r="G217" s="107"/>
      <c r="H217" s="107"/>
      <c r="I217" s="107"/>
      <c r="J217" s="107"/>
      <c r="K217" s="87" t="str">
        <f t="shared" si="7"/>
        <v>kWh</v>
      </c>
      <c r="L217" s="85"/>
      <c r="M217" s="85"/>
      <c r="N217" s="107"/>
      <c r="O217" s="370"/>
      <c r="P217" s="370"/>
      <c r="Q217" s="370"/>
      <c r="R217" s="1">
        <f xml:space="preserve"> '2.3 Selskabsspecifikke input'!R261</f>
        <v>0</v>
      </c>
      <c r="S217" s="1">
        <f xml:space="preserve"> '2.3 Selskabsspecifikke input'!S261</f>
        <v>0</v>
      </c>
      <c r="T217" s="1">
        <f xml:space="preserve"> '2.3 Selskabsspecifikke input'!T261</f>
        <v>0</v>
      </c>
      <c r="U217" s="1">
        <f xml:space="preserve"> '2.3 Selskabsspecifikke input'!U261</f>
        <v>0</v>
      </c>
      <c r="V217" s="1">
        <f xml:space="preserve"> '2.3 Selskabsspecifikke input'!V261</f>
        <v>0</v>
      </c>
      <c r="W217" s="4">
        <f t="shared" si="8"/>
        <v>0</v>
      </c>
    </row>
    <row r="218" spans="1:23" customFormat="1" ht="15" customHeight="1">
      <c r="A218" s="1"/>
      <c r="B218" s="1"/>
      <c r="C218" s="2"/>
      <c r="D218" s="124" t="s">
        <v>170</v>
      </c>
      <c r="E218" s="1"/>
      <c r="F218" s="107"/>
      <c r="G218" s="107"/>
      <c r="H218" s="107"/>
      <c r="I218" s="107"/>
      <c r="J218" s="107"/>
      <c r="K218" s="87" t="str">
        <f t="shared" si="7"/>
        <v>kWh</v>
      </c>
      <c r="L218" s="85"/>
      <c r="M218" s="85"/>
      <c r="N218" s="107"/>
      <c r="O218" s="370"/>
      <c r="P218" s="370"/>
      <c r="Q218" s="370"/>
      <c r="R218" s="1">
        <f xml:space="preserve"> '2.3 Selskabsspecifikke input'!R262</f>
        <v>0</v>
      </c>
      <c r="S218" s="1">
        <f xml:space="preserve"> '2.3 Selskabsspecifikke input'!S262</f>
        <v>0</v>
      </c>
      <c r="T218" s="1">
        <f xml:space="preserve"> '2.3 Selskabsspecifikke input'!T262</f>
        <v>0</v>
      </c>
      <c r="U218" s="1">
        <f xml:space="preserve"> '2.3 Selskabsspecifikke input'!U262</f>
        <v>0</v>
      </c>
      <c r="V218" s="1">
        <f xml:space="preserve"> '2.3 Selskabsspecifikke input'!V262</f>
        <v>0</v>
      </c>
      <c r="W218" s="4">
        <f t="shared" si="8"/>
        <v>0</v>
      </c>
    </row>
    <row r="219" spans="1:23" customFormat="1" ht="15" customHeight="1">
      <c r="A219" s="1"/>
      <c r="B219" s="1"/>
      <c r="C219" s="2"/>
      <c r="D219" s="124" t="s">
        <v>171</v>
      </c>
      <c r="E219" s="1"/>
      <c r="F219" s="107"/>
      <c r="G219" s="107"/>
      <c r="H219" s="107"/>
      <c r="I219" s="107"/>
      <c r="J219" s="107"/>
      <c r="K219" s="87" t="str">
        <f t="shared" si="7"/>
        <v>kWh</v>
      </c>
      <c r="L219" s="85"/>
      <c r="M219" s="85"/>
      <c r="N219" s="107"/>
      <c r="O219" s="370"/>
      <c r="P219" s="370"/>
      <c r="Q219" s="370"/>
      <c r="R219" s="1">
        <f xml:space="preserve"> '2.3 Selskabsspecifikke input'!R263</f>
        <v>0</v>
      </c>
      <c r="S219" s="1">
        <f xml:space="preserve"> '2.3 Selskabsspecifikke input'!S263</f>
        <v>0</v>
      </c>
      <c r="T219" s="1">
        <f xml:space="preserve"> '2.3 Selskabsspecifikke input'!T263</f>
        <v>0</v>
      </c>
      <c r="U219" s="1">
        <f xml:space="preserve"> '2.3 Selskabsspecifikke input'!U263</f>
        <v>0</v>
      </c>
      <c r="V219" s="1">
        <f xml:space="preserve"> '2.3 Selskabsspecifikke input'!V263</f>
        <v>0</v>
      </c>
      <c r="W219" s="4">
        <f t="shared" si="8"/>
        <v>0</v>
      </c>
    </row>
    <row r="220" spans="1:23" customFormat="1" ht="15" customHeight="1">
      <c r="A220" s="1"/>
      <c r="B220" s="1"/>
      <c r="C220" s="2"/>
      <c r="D220" s="124" t="s">
        <v>172</v>
      </c>
      <c r="E220" s="1"/>
      <c r="F220" s="107"/>
      <c r="G220" s="107"/>
      <c r="H220" s="107"/>
      <c r="I220" s="107"/>
      <c r="J220" s="107"/>
      <c r="K220" s="87" t="str">
        <f t="shared" si="7"/>
        <v>kWh</v>
      </c>
      <c r="L220" s="85"/>
      <c r="M220" s="85"/>
      <c r="N220" s="107"/>
      <c r="O220" s="370"/>
      <c r="P220" s="370"/>
      <c r="Q220" s="370"/>
      <c r="R220" s="1">
        <f xml:space="preserve"> '2.3 Selskabsspecifikke input'!R264</f>
        <v>0</v>
      </c>
      <c r="S220" s="1">
        <f xml:space="preserve"> '2.3 Selskabsspecifikke input'!S264</f>
        <v>0</v>
      </c>
      <c r="T220" s="1">
        <f xml:space="preserve"> '2.3 Selskabsspecifikke input'!T264</f>
        <v>0</v>
      </c>
      <c r="U220" s="1">
        <f xml:space="preserve"> '2.3 Selskabsspecifikke input'!U264</f>
        <v>0</v>
      </c>
      <c r="V220" s="1">
        <f xml:space="preserve"> '2.3 Selskabsspecifikke input'!V264</f>
        <v>0</v>
      </c>
      <c r="W220" s="4">
        <f t="shared" si="8"/>
        <v>0</v>
      </c>
    </row>
    <row r="221" spans="1:23" customFormat="1" ht="15" customHeight="1">
      <c r="A221" s="1"/>
      <c r="B221" s="1"/>
      <c r="C221" s="2"/>
      <c r="D221" s="124" t="s">
        <v>173</v>
      </c>
      <c r="E221" s="1"/>
      <c r="F221" s="107"/>
      <c r="G221" s="107"/>
      <c r="H221" s="107"/>
      <c r="I221" s="107"/>
      <c r="J221" s="107"/>
      <c r="K221" s="87" t="str">
        <f t="shared" si="7"/>
        <v>kWh</v>
      </c>
      <c r="L221" s="85"/>
      <c r="M221" s="85"/>
      <c r="N221" s="107"/>
      <c r="O221" s="370"/>
      <c r="P221" s="370"/>
      <c r="Q221" s="370"/>
      <c r="R221" s="1">
        <f xml:space="preserve"> '2.3 Selskabsspecifikke input'!R265</f>
        <v>0</v>
      </c>
      <c r="S221" s="1">
        <f xml:space="preserve"> '2.3 Selskabsspecifikke input'!S265</f>
        <v>0</v>
      </c>
      <c r="T221" s="1">
        <f xml:space="preserve"> '2.3 Selskabsspecifikke input'!T265</f>
        <v>0</v>
      </c>
      <c r="U221" s="1">
        <f xml:space="preserve"> '2.3 Selskabsspecifikke input'!U265</f>
        <v>0</v>
      </c>
      <c r="V221" s="1">
        <f xml:space="preserve"> '2.3 Selskabsspecifikke input'!V265</f>
        <v>0</v>
      </c>
      <c r="W221" s="4">
        <f t="shared" si="8"/>
        <v>0</v>
      </c>
    </row>
    <row r="222" spans="1:23" customFormat="1" ht="15" customHeight="1">
      <c r="A222" s="1"/>
      <c r="B222" s="1"/>
      <c r="C222" s="2"/>
      <c r="D222" s="124" t="s">
        <v>174</v>
      </c>
      <c r="E222" s="1"/>
      <c r="F222" s="107"/>
      <c r="G222" s="107"/>
      <c r="H222" s="107"/>
      <c r="I222" s="107"/>
      <c r="J222" s="107"/>
      <c r="K222" s="87" t="str">
        <f t="shared" si="7"/>
        <v>kWh</v>
      </c>
      <c r="L222" s="85"/>
      <c r="M222" s="85"/>
      <c r="N222" s="107"/>
      <c r="O222" s="370"/>
      <c r="P222" s="370"/>
      <c r="Q222" s="370"/>
      <c r="R222" s="1">
        <f xml:space="preserve"> '2.3 Selskabsspecifikke input'!R266</f>
        <v>0</v>
      </c>
      <c r="S222" s="1">
        <f xml:space="preserve"> '2.3 Selskabsspecifikke input'!S266</f>
        <v>0</v>
      </c>
      <c r="T222" s="1">
        <f xml:space="preserve"> '2.3 Selskabsspecifikke input'!T266</f>
        <v>0</v>
      </c>
      <c r="U222" s="1">
        <f xml:space="preserve"> '2.3 Selskabsspecifikke input'!U266</f>
        <v>0</v>
      </c>
      <c r="V222" s="1">
        <f xml:space="preserve"> '2.3 Selskabsspecifikke input'!V266</f>
        <v>0</v>
      </c>
      <c r="W222" s="4">
        <f t="shared" si="8"/>
        <v>0</v>
      </c>
    </row>
    <row r="223" spans="1:23" customFormat="1" ht="15" customHeight="1">
      <c r="A223" s="1"/>
      <c r="B223" s="1"/>
      <c r="C223" s="2"/>
      <c r="D223" s="125" t="s">
        <v>175</v>
      </c>
      <c r="E223" s="27"/>
      <c r="F223" s="115"/>
      <c r="G223" s="115"/>
      <c r="H223" s="115"/>
      <c r="I223" s="115"/>
      <c r="J223" s="115"/>
      <c r="K223" s="98" t="str">
        <f t="shared" si="7"/>
        <v>kWh</v>
      </c>
      <c r="L223" s="99"/>
      <c r="M223" s="99"/>
      <c r="N223" s="115"/>
      <c r="O223" s="368"/>
      <c r="P223" s="368"/>
      <c r="Q223" s="368"/>
      <c r="R223" s="27">
        <f xml:space="preserve"> '2.3 Selskabsspecifikke input'!R267</f>
        <v>0</v>
      </c>
      <c r="S223" s="27">
        <f xml:space="preserve"> '2.3 Selskabsspecifikke input'!S267</f>
        <v>0</v>
      </c>
      <c r="T223" s="27">
        <f xml:space="preserve"> '2.3 Selskabsspecifikke input'!T267</f>
        <v>0</v>
      </c>
      <c r="U223" s="27">
        <f xml:space="preserve"> '2.3 Selskabsspecifikke input'!U267</f>
        <v>0</v>
      </c>
      <c r="V223" s="27">
        <f xml:space="preserve"> '2.3 Selskabsspecifikke input'!V267</f>
        <v>0</v>
      </c>
      <c r="W223" s="35">
        <f t="shared" si="8"/>
        <v>0</v>
      </c>
    </row>
    <row r="224" spans="1:23" customFormat="1" ht="15" customHeight="1">
      <c r="A224" s="1"/>
      <c r="B224" s="1"/>
      <c r="C224" s="2"/>
      <c r="D224" s="188" t="s">
        <v>16</v>
      </c>
      <c r="E224" s="186"/>
      <c r="F224" s="120"/>
      <c r="G224" s="120"/>
      <c r="H224" s="120"/>
      <c r="I224" s="120"/>
      <c r="J224" s="120"/>
      <c r="K224" s="106" t="str">
        <f t="shared" si="7"/>
        <v>kWh</v>
      </c>
      <c r="L224" s="105"/>
      <c r="M224" s="105"/>
      <c r="N224" s="120"/>
      <c r="O224" s="371"/>
      <c r="P224" s="371"/>
      <c r="Q224" s="371"/>
      <c r="R224" s="186">
        <f t="shared" ref="R224:W224" si="9" xml:space="preserve"> SUM( R200:R223 )</f>
        <v>0</v>
      </c>
      <c r="S224" s="186">
        <f t="shared" si="9"/>
        <v>0</v>
      </c>
      <c r="T224" s="186">
        <f t="shared" si="9"/>
        <v>0</v>
      </c>
      <c r="U224" s="186">
        <f t="shared" si="9"/>
        <v>0</v>
      </c>
      <c r="V224" s="186">
        <f t="shared" si="9"/>
        <v>0</v>
      </c>
      <c r="W224" s="186">
        <f t="shared" si="9"/>
        <v>0</v>
      </c>
    </row>
    <row r="225" spans="1:23" customFormat="1" ht="15" customHeight="1">
      <c r="A225" s="1"/>
      <c r="B225" s="1"/>
      <c r="C225" s="2"/>
      <c r="D225" s="85"/>
      <c r="E225" s="1"/>
      <c r="F225" s="107"/>
      <c r="G225" s="107"/>
      <c r="H225" s="107"/>
      <c r="I225" s="107"/>
      <c r="J225" s="107"/>
      <c r="K225" s="87"/>
      <c r="L225" s="85"/>
      <c r="M225" s="85"/>
      <c r="N225" s="107"/>
      <c r="O225" s="107"/>
      <c r="P225" s="107"/>
      <c r="Q225" s="107"/>
      <c r="R225" s="1"/>
      <c r="S225" s="1"/>
      <c r="T225" s="1"/>
      <c r="U225" s="1"/>
      <c r="V225" s="1"/>
      <c r="W225" s="1"/>
    </row>
    <row r="226" spans="1:23" customFormat="1" ht="15" customHeight="1">
      <c r="A226" s="1"/>
      <c r="B226" s="1"/>
      <c r="C226" s="2"/>
      <c r="D226" s="88" t="s">
        <v>507</v>
      </c>
      <c r="E226" s="1"/>
      <c r="F226" s="107"/>
      <c r="G226" s="107"/>
      <c r="H226" s="107"/>
      <c r="I226" s="107"/>
      <c r="J226" s="107"/>
      <c r="K226" s="87"/>
      <c r="L226" s="85"/>
      <c r="M226" s="85"/>
      <c r="N226" s="107"/>
      <c r="O226" s="107"/>
      <c r="P226" s="107"/>
      <c r="Q226" s="107"/>
      <c r="R226" s="1"/>
      <c r="S226" s="1"/>
      <c r="T226" s="1"/>
      <c r="U226" s="1"/>
      <c r="V226" s="1"/>
      <c r="W226" s="89" t="s">
        <v>16</v>
      </c>
    </row>
    <row r="227" spans="1:23" customFormat="1" ht="15" customHeight="1">
      <c r="A227" s="1"/>
      <c r="B227" s="1"/>
      <c r="C227" s="2"/>
      <c r="D227" s="122" t="s">
        <v>152</v>
      </c>
      <c r="E227" s="15"/>
      <c r="F227" s="116"/>
      <c r="G227" s="116"/>
      <c r="H227" s="116"/>
      <c r="I227" s="116"/>
      <c r="J227" s="116"/>
      <c r="K227" s="117" t="str">
        <f t="shared" ref="K227:K251" si="10">Model.Units2</f>
        <v>kWh</v>
      </c>
      <c r="L227" s="123"/>
      <c r="M227" s="123"/>
      <c r="N227" s="116"/>
      <c r="O227" s="369"/>
      <c r="P227" s="369"/>
      <c r="Q227" s="369"/>
      <c r="R227" s="15">
        <f xml:space="preserve"> '2.3 Selskabsspecifikke input'!R271</f>
        <v>0</v>
      </c>
      <c r="S227" s="15">
        <f xml:space="preserve"> '2.3 Selskabsspecifikke input'!S271</f>
        <v>0</v>
      </c>
      <c r="T227" s="15">
        <f xml:space="preserve"> '2.3 Selskabsspecifikke input'!T271</f>
        <v>0</v>
      </c>
      <c r="U227" s="15">
        <f xml:space="preserve"> '2.3 Selskabsspecifikke input'!U271</f>
        <v>0</v>
      </c>
      <c r="V227" s="15">
        <f xml:space="preserve"> '2.3 Selskabsspecifikke input'!V271</f>
        <v>0</v>
      </c>
      <c r="W227" s="18">
        <f xml:space="preserve"> SUM( R227:V227 )</f>
        <v>0</v>
      </c>
    </row>
    <row r="228" spans="1:23" customFormat="1" ht="15" customHeight="1">
      <c r="A228" s="1"/>
      <c r="B228" s="1"/>
      <c r="C228" s="2"/>
      <c r="D228" s="124" t="s">
        <v>153</v>
      </c>
      <c r="E228" s="1"/>
      <c r="F228" s="107"/>
      <c r="G228" s="107"/>
      <c r="H228" s="107"/>
      <c r="I228" s="107"/>
      <c r="J228" s="107"/>
      <c r="K228" s="87" t="str">
        <f t="shared" si="10"/>
        <v>kWh</v>
      </c>
      <c r="L228" s="85"/>
      <c r="M228" s="85"/>
      <c r="N228" s="107"/>
      <c r="O228" s="370"/>
      <c r="P228" s="370"/>
      <c r="Q228" s="370"/>
      <c r="R228" s="1">
        <f xml:space="preserve"> '2.3 Selskabsspecifikke input'!R272</f>
        <v>0</v>
      </c>
      <c r="S228" s="1">
        <f xml:space="preserve"> '2.3 Selskabsspecifikke input'!S272</f>
        <v>0</v>
      </c>
      <c r="T228" s="1">
        <f xml:space="preserve"> '2.3 Selskabsspecifikke input'!T272</f>
        <v>0</v>
      </c>
      <c r="U228" s="1">
        <f xml:space="preserve"> '2.3 Selskabsspecifikke input'!U272</f>
        <v>0</v>
      </c>
      <c r="V228" s="1">
        <f xml:space="preserve"> '2.3 Selskabsspecifikke input'!V272</f>
        <v>0</v>
      </c>
      <c r="W228" s="4">
        <f t="shared" ref="W228:W250" si="11" xml:space="preserve"> SUM( R228:V228 )</f>
        <v>0</v>
      </c>
    </row>
    <row r="229" spans="1:23" customFormat="1" ht="15" customHeight="1">
      <c r="A229" s="1"/>
      <c r="B229" s="1"/>
      <c r="C229" s="2"/>
      <c r="D229" s="124" t="s">
        <v>154</v>
      </c>
      <c r="E229" s="1"/>
      <c r="F229" s="107"/>
      <c r="G229" s="107"/>
      <c r="H229" s="107"/>
      <c r="I229" s="107"/>
      <c r="J229" s="107"/>
      <c r="K229" s="87" t="str">
        <f t="shared" si="10"/>
        <v>kWh</v>
      </c>
      <c r="L229" s="85"/>
      <c r="M229" s="85"/>
      <c r="N229" s="107"/>
      <c r="O229" s="370"/>
      <c r="P229" s="370"/>
      <c r="Q229" s="370"/>
      <c r="R229" s="1">
        <f xml:space="preserve"> '2.3 Selskabsspecifikke input'!R273</f>
        <v>0</v>
      </c>
      <c r="S229" s="1">
        <f xml:space="preserve"> '2.3 Selskabsspecifikke input'!S273</f>
        <v>0</v>
      </c>
      <c r="T229" s="1">
        <f xml:space="preserve"> '2.3 Selskabsspecifikke input'!T273</f>
        <v>0</v>
      </c>
      <c r="U229" s="1">
        <f xml:space="preserve"> '2.3 Selskabsspecifikke input'!U273</f>
        <v>0</v>
      </c>
      <c r="V229" s="1">
        <f xml:space="preserve"> '2.3 Selskabsspecifikke input'!V273</f>
        <v>0</v>
      </c>
      <c r="W229" s="4">
        <f t="shared" si="11"/>
        <v>0</v>
      </c>
    </row>
    <row r="230" spans="1:23" customFormat="1" ht="15" customHeight="1">
      <c r="A230" s="1"/>
      <c r="B230" s="1"/>
      <c r="C230" s="2"/>
      <c r="D230" s="124" t="s">
        <v>155</v>
      </c>
      <c r="E230" s="1"/>
      <c r="F230" s="107"/>
      <c r="G230" s="107"/>
      <c r="H230" s="107"/>
      <c r="I230" s="107"/>
      <c r="J230" s="107"/>
      <c r="K230" s="87" t="str">
        <f t="shared" si="10"/>
        <v>kWh</v>
      </c>
      <c r="L230" s="85"/>
      <c r="M230" s="85"/>
      <c r="N230" s="107"/>
      <c r="O230" s="370"/>
      <c r="P230" s="370"/>
      <c r="Q230" s="370"/>
      <c r="R230" s="1">
        <f xml:space="preserve"> '2.3 Selskabsspecifikke input'!R274</f>
        <v>0</v>
      </c>
      <c r="S230" s="1">
        <f xml:space="preserve"> '2.3 Selskabsspecifikke input'!S274</f>
        <v>0</v>
      </c>
      <c r="T230" s="1">
        <f xml:space="preserve"> '2.3 Selskabsspecifikke input'!T274</f>
        <v>0</v>
      </c>
      <c r="U230" s="1">
        <f xml:space="preserve"> '2.3 Selskabsspecifikke input'!U274</f>
        <v>0</v>
      </c>
      <c r="V230" s="1">
        <f xml:space="preserve"> '2.3 Selskabsspecifikke input'!V274</f>
        <v>0</v>
      </c>
      <c r="W230" s="4">
        <f t="shared" si="11"/>
        <v>0</v>
      </c>
    </row>
    <row r="231" spans="1:23" customFormat="1" ht="15" customHeight="1">
      <c r="A231" s="1"/>
      <c r="B231" s="1"/>
      <c r="C231" s="2"/>
      <c r="D231" s="124" t="s">
        <v>156</v>
      </c>
      <c r="E231" s="1"/>
      <c r="F231" s="107"/>
      <c r="G231" s="107"/>
      <c r="H231" s="107"/>
      <c r="I231" s="107"/>
      <c r="J231" s="107"/>
      <c r="K231" s="87" t="str">
        <f t="shared" si="10"/>
        <v>kWh</v>
      </c>
      <c r="L231" s="85"/>
      <c r="M231" s="85"/>
      <c r="N231" s="107"/>
      <c r="O231" s="370"/>
      <c r="P231" s="370"/>
      <c r="Q231" s="370"/>
      <c r="R231" s="1">
        <f xml:space="preserve"> '2.3 Selskabsspecifikke input'!R275</f>
        <v>0</v>
      </c>
      <c r="S231" s="1">
        <f xml:space="preserve"> '2.3 Selskabsspecifikke input'!S275</f>
        <v>0</v>
      </c>
      <c r="T231" s="1">
        <f xml:space="preserve"> '2.3 Selskabsspecifikke input'!T275</f>
        <v>0</v>
      </c>
      <c r="U231" s="1">
        <f xml:space="preserve"> '2.3 Selskabsspecifikke input'!U275</f>
        <v>0</v>
      </c>
      <c r="V231" s="1">
        <f xml:space="preserve"> '2.3 Selskabsspecifikke input'!V275</f>
        <v>0</v>
      </c>
      <c r="W231" s="4">
        <f t="shared" si="11"/>
        <v>0</v>
      </c>
    </row>
    <row r="232" spans="1:23" customFormat="1" ht="15" customHeight="1">
      <c r="A232" s="1"/>
      <c r="B232" s="1"/>
      <c r="C232" s="2"/>
      <c r="D232" s="124" t="s">
        <v>157</v>
      </c>
      <c r="E232" s="1"/>
      <c r="F232" s="107"/>
      <c r="G232" s="107"/>
      <c r="H232" s="107"/>
      <c r="I232" s="107"/>
      <c r="J232" s="107"/>
      <c r="K232" s="87" t="str">
        <f t="shared" si="10"/>
        <v>kWh</v>
      </c>
      <c r="L232" s="85"/>
      <c r="M232" s="85"/>
      <c r="N232" s="107"/>
      <c r="O232" s="370"/>
      <c r="P232" s="370"/>
      <c r="Q232" s="370"/>
      <c r="R232" s="1">
        <f xml:space="preserve"> '2.3 Selskabsspecifikke input'!R276</f>
        <v>0</v>
      </c>
      <c r="S232" s="1">
        <f xml:space="preserve"> '2.3 Selskabsspecifikke input'!S276</f>
        <v>0</v>
      </c>
      <c r="T232" s="1">
        <f xml:space="preserve"> '2.3 Selskabsspecifikke input'!T276</f>
        <v>0</v>
      </c>
      <c r="U232" s="1">
        <f xml:space="preserve"> '2.3 Selskabsspecifikke input'!U276</f>
        <v>0</v>
      </c>
      <c r="V232" s="1">
        <f xml:space="preserve"> '2.3 Selskabsspecifikke input'!V276</f>
        <v>0</v>
      </c>
      <c r="W232" s="4">
        <f t="shared" si="11"/>
        <v>0</v>
      </c>
    </row>
    <row r="233" spans="1:23" customFormat="1" ht="15" customHeight="1">
      <c r="A233" s="1"/>
      <c r="B233" s="1"/>
      <c r="C233" s="2"/>
      <c r="D233" s="124" t="s">
        <v>158</v>
      </c>
      <c r="E233" s="1"/>
      <c r="F233" s="107"/>
      <c r="G233" s="107"/>
      <c r="H233" s="107"/>
      <c r="I233" s="107"/>
      <c r="J233" s="107"/>
      <c r="K233" s="87" t="str">
        <f t="shared" si="10"/>
        <v>kWh</v>
      </c>
      <c r="L233" s="85"/>
      <c r="M233" s="85"/>
      <c r="N233" s="107"/>
      <c r="O233" s="370"/>
      <c r="P233" s="370"/>
      <c r="Q233" s="370"/>
      <c r="R233" s="1">
        <f xml:space="preserve"> '2.3 Selskabsspecifikke input'!R277</f>
        <v>0</v>
      </c>
      <c r="S233" s="1">
        <f xml:space="preserve"> '2.3 Selskabsspecifikke input'!S277</f>
        <v>0</v>
      </c>
      <c r="T233" s="1">
        <f xml:space="preserve"> '2.3 Selskabsspecifikke input'!T277</f>
        <v>0</v>
      </c>
      <c r="U233" s="1">
        <f xml:space="preserve"> '2.3 Selskabsspecifikke input'!U277</f>
        <v>0</v>
      </c>
      <c r="V233" s="1">
        <f xml:space="preserve"> '2.3 Selskabsspecifikke input'!V277</f>
        <v>0</v>
      </c>
      <c r="W233" s="4">
        <f t="shared" si="11"/>
        <v>0</v>
      </c>
    </row>
    <row r="234" spans="1:23" customFormat="1" ht="15" customHeight="1">
      <c r="A234" s="1"/>
      <c r="B234" s="1"/>
      <c r="C234" s="2"/>
      <c r="D234" s="124" t="s">
        <v>159</v>
      </c>
      <c r="E234" s="1"/>
      <c r="F234" s="107"/>
      <c r="G234" s="107"/>
      <c r="H234" s="107"/>
      <c r="I234" s="107"/>
      <c r="J234" s="107"/>
      <c r="K234" s="87" t="str">
        <f t="shared" si="10"/>
        <v>kWh</v>
      </c>
      <c r="L234" s="85"/>
      <c r="M234" s="85"/>
      <c r="N234" s="107"/>
      <c r="O234" s="370"/>
      <c r="P234" s="370"/>
      <c r="Q234" s="370"/>
      <c r="R234" s="1">
        <f xml:space="preserve"> '2.3 Selskabsspecifikke input'!R278</f>
        <v>0</v>
      </c>
      <c r="S234" s="1">
        <f xml:space="preserve"> '2.3 Selskabsspecifikke input'!S278</f>
        <v>0</v>
      </c>
      <c r="T234" s="1">
        <f xml:space="preserve"> '2.3 Selskabsspecifikke input'!T278</f>
        <v>0</v>
      </c>
      <c r="U234" s="1">
        <f xml:space="preserve"> '2.3 Selskabsspecifikke input'!U278</f>
        <v>0</v>
      </c>
      <c r="V234" s="1">
        <f xml:space="preserve"> '2.3 Selskabsspecifikke input'!V278</f>
        <v>0</v>
      </c>
      <c r="W234" s="4">
        <f t="shared" si="11"/>
        <v>0</v>
      </c>
    </row>
    <row r="235" spans="1:23" customFormat="1" ht="15" customHeight="1">
      <c r="A235" s="1"/>
      <c r="B235" s="1"/>
      <c r="C235" s="2"/>
      <c r="D235" s="124" t="s">
        <v>160</v>
      </c>
      <c r="E235" s="1"/>
      <c r="F235" s="107"/>
      <c r="G235" s="107"/>
      <c r="H235" s="107"/>
      <c r="I235" s="107"/>
      <c r="J235" s="107"/>
      <c r="K235" s="87" t="str">
        <f t="shared" si="10"/>
        <v>kWh</v>
      </c>
      <c r="L235" s="85"/>
      <c r="M235" s="85"/>
      <c r="N235" s="107"/>
      <c r="O235" s="370"/>
      <c r="P235" s="370"/>
      <c r="Q235" s="370"/>
      <c r="R235" s="1">
        <f xml:space="preserve"> '2.3 Selskabsspecifikke input'!R279</f>
        <v>0</v>
      </c>
      <c r="S235" s="1">
        <f xml:space="preserve"> '2.3 Selskabsspecifikke input'!S279</f>
        <v>0</v>
      </c>
      <c r="T235" s="1">
        <f xml:space="preserve"> '2.3 Selskabsspecifikke input'!T279</f>
        <v>0</v>
      </c>
      <c r="U235" s="1">
        <f xml:space="preserve"> '2.3 Selskabsspecifikke input'!U279</f>
        <v>0</v>
      </c>
      <c r="V235" s="1">
        <f xml:space="preserve"> '2.3 Selskabsspecifikke input'!V279</f>
        <v>0</v>
      </c>
      <c r="W235" s="4">
        <f t="shared" si="11"/>
        <v>0</v>
      </c>
    </row>
    <row r="236" spans="1:23" customFormat="1" ht="15" customHeight="1">
      <c r="A236" s="1"/>
      <c r="B236" s="1"/>
      <c r="C236" s="2"/>
      <c r="D236" s="124" t="s">
        <v>161</v>
      </c>
      <c r="E236" s="1"/>
      <c r="F236" s="107"/>
      <c r="G236" s="107"/>
      <c r="H236" s="107"/>
      <c r="I236" s="107"/>
      <c r="J236" s="107"/>
      <c r="K236" s="87" t="str">
        <f t="shared" si="10"/>
        <v>kWh</v>
      </c>
      <c r="L236" s="85"/>
      <c r="M236" s="85"/>
      <c r="N236" s="107"/>
      <c r="O236" s="370"/>
      <c r="P236" s="370"/>
      <c r="Q236" s="370"/>
      <c r="R236" s="1">
        <f xml:space="preserve"> '2.3 Selskabsspecifikke input'!R280</f>
        <v>0</v>
      </c>
      <c r="S236" s="1">
        <f xml:space="preserve"> '2.3 Selskabsspecifikke input'!S280</f>
        <v>0</v>
      </c>
      <c r="T236" s="1">
        <f xml:space="preserve"> '2.3 Selskabsspecifikke input'!T280</f>
        <v>0</v>
      </c>
      <c r="U236" s="1">
        <f xml:space="preserve"> '2.3 Selskabsspecifikke input'!U280</f>
        <v>0</v>
      </c>
      <c r="V236" s="1">
        <f xml:space="preserve"> '2.3 Selskabsspecifikke input'!V280</f>
        <v>0</v>
      </c>
      <c r="W236" s="4">
        <f t="shared" si="11"/>
        <v>0</v>
      </c>
    </row>
    <row r="237" spans="1:23" customFormat="1" ht="15" customHeight="1">
      <c r="A237" s="1"/>
      <c r="B237" s="1"/>
      <c r="C237" s="2"/>
      <c r="D237" s="124" t="s">
        <v>162</v>
      </c>
      <c r="E237" s="1"/>
      <c r="F237" s="107"/>
      <c r="G237" s="107"/>
      <c r="H237" s="107"/>
      <c r="I237" s="107"/>
      <c r="J237" s="107"/>
      <c r="K237" s="87" t="str">
        <f t="shared" si="10"/>
        <v>kWh</v>
      </c>
      <c r="L237" s="85"/>
      <c r="M237" s="85"/>
      <c r="N237" s="107"/>
      <c r="O237" s="370"/>
      <c r="P237" s="370"/>
      <c r="Q237" s="370"/>
      <c r="R237" s="1">
        <f xml:space="preserve"> '2.3 Selskabsspecifikke input'!R281</f>
        <v>0</v>
      </c>
      <c r="S237" s="1">
        <f xml:space="preserve"> '2.3 Selskabsspecifikke input'!S281</f>
        <v>0</v>
      </c>
      <c r="T237" s="1">
        <f xml:space="preserve"> '2.3 Selskabsspecifikke input'!T281</f>
        <v>0</v>
      </c>
      <c r="U237" s="1">
        <f xml:space="preserve"> '2.3 Selskabsspecifikke input'!U281</f>
        <v>0</v>
      </c>
      <c r="V237" s="1">
        <f xml:space="preserve"> '2.3 Selskabsspecifikke input'!V281</f>
        <v>0</v>
      </c>
      <c r="W237" s="4">
        <f t="shared" si="11"/>
        <v>0</v>
      </c>
    </row>
    <row r="238" spans="1:23" customFormat="1" ht="15" customHeight="1">
      <c r="A238" s="1"/>
      <c r="B238" s="1"/>
      <c r="C238" s="2"/>
      <c r="D238" s="124" t="s">
        <v>163</v>
      </c>
      <c r="E238" s="1"/>
      <c r="F238" s="107"/>
      <c r="G238" s="107"/>
      <c r="H238" s="107"/>
      <c r="I238" s="107"/>
      <c r="J238" s="107"/>
      <c r="K238" s="87" t="str">
        <f t="shared" si="10"/>
        <v>kWh</v>
      </c>
      <c r="L238" s="85"/>
      <c r="M238" s="85"/>
      <c r="N238" s="107"/>
      <c r="O238" s="370"/>
      <c r="P238" s="370"/>
      <c r="Q238" s="370"/>
      <c r="R238" s="1">
        <f xml:space="preserve"> '2.3 Selskabsspecifikke input'!R282</f>
        <v>0</v>
      </c>
      <c r="S238" s="1">
        <f xml:space="preserve"> '2.3 Selskabsspecifikke input'!S282</f>
        <v>0</v>
      </c>
      <c r="T238" s="1">
        <f xml:space="preserve"> '2.3 Selskabsspecifikke input'!T282</f>
        <v>0</v>
      </c>
      <c r="U238" s="1">
        <f xml:space="preserve"> '2.3 Selskabsspecifikke input'!U282</f>
        <v>0</v>
      </c>
      <c r="V238" s="1">
        <f xml:space="preserve"> '2.3 Selskabsspecifikke input'!V282</f>
        <v>0</v>
      </c>
      <c r="W238" s="4">
        <f t="shared" si="11"/>
        <v>0</v>
      </c>
    </row>
    <row r="239" spans="1:23" customFormat="1" ht="15" customHeight="1">
      <c r="A239" s="1"/>
      <c r="B239" s="1"/>
      <c r="C239" s="2"/>
      <c r="D239" s="124" t="s">
        <v>164</v>
      </c>
      <c r="E239" s="1"/>
      <c r="F239" s="107"/>
      <c r="G239" s="107"/>
      <c r="H239" s="107"/>
      <c r="I239" s="107"/>
      <c r="J239" s="107"/>
      <c r="K239" s="87" t="str">
        <f t="shared" si="10"/>
        <v>kWh</v>
      </c>
      <c r="L239" s="85"/>
      <c r="M239" s="85"/>
      <c r="N239" s="107"/>
      <c r="O239" s="370"/>
      <c r="P239" s="370"/>
      <c r="Q239" s="370"/>
      <c r="R239" s="1">
        <f xml:space="preserve"> '2.3 Selskabsspecifikke input'!R283</f>
        <v>0</v>
      </c>
      <c r="S239" s="1">
        <f xml:space="preserve"> '2.3 Selskabsspecifikke input'!S283</f>
        <v>0</v>
      </c>
      <c r="T239" s="1">
        <f xml:space="preserve"> '2.3 Selskabsspecifikke input'!T283</f>
        <v>0</v>
      </c>
      <c r="U239" s="1">
        <f xml:space="preserve"> '2.3 Selskabsspecifikke input'!U283</f>
        <v>0</v>
      </c>
      <c r="V239" s="1">
        <f xml:space="preserve"> '2.3 Selskabsspecifikke input'!V283</f>
        <v>0</v>
      </c>
      <c r="W239" s="4">
        <f t="shared" si="11"/>
        <v>0</v>
      </c>
    </row>
    <row r="240" spans="1:23" customFormat="1" ht="15" customHeight="1">
      <c r="A240" s="1"/>
      <c r="B240" s="1"/>
      <c r="C240" s="2"/>
      <c r="D240" s="124" t="s">
        <v>165</v>
      </c>
      <c r="E240" s="1"/>
      <c r="F240" s="107"/>
      <c r="G240" s="107"/>
      <c r="H240" s="107"/>
      <c r="I240" s="107"/>
      <c r="J240" s="107"/>
      <c r="K240" s="87" t="str">
        <f t="shared" si="10"/>
        <v>kWh</v>
      </c>
      <c r="L240" s="85"/>
      <c r="M240" s="85"/>
      <c r="N240" s="107"/>
      <c r="O240" s="370"/>
      <c r="P240" s="370"/>
      <c r="Q240" s="370"/>
      <c r="R240" s="1">
        <f xml:space="preserve"> '2.3 Selskabsspecifikke input'!R284</f>
        <v>0</v>
      </c>
      <c r="S240" s="1">
        <f xml:space="preserve"> '2.3 Selskabsspecifikke input'!S284</f>
        <v>0</v>
      </c>
      <c r="T240" s="1">
        <f xml:space="preserve"> '2.3 Selskabsspecifikke input'!T284</f>
        <v>0</v>
      </c>
      <c r="U240" s="1">
        <f xml:space="preserve"> '2.3 Selskabsspecifikke input'!U284</f>
        <v>0</v>
      </c>
      <c r="V240" s="1">
        <f xml:space="preserve"> '2.3 Selskabsspecifikke input'!V284</f>
        <v>0</v>
      </c>
      <c r="W240" s="4">
        <f t="shared" si="11"/>
        <v>0</v>
      </c>
    </row>
    <row r="241" spans="1:23" customFormat="1" ht="15" customHeight="1">
      <c r="A241" s="1"/>
      <c r="B241" s="1"/>
      <c r="C241" s="2"/>
      <c r="D241" s="124" t="s">
        <v>166</v>
      </c>
      <c r="E241" s="1"/>
      <c r="F241" s="107"/>
      <c r="G241" s="107"/>
      <c r="H241" s="107"/>
      <c r="I241" s="107"/>
      <c r="J241" s="107"/>
      <c r="K241" s="87" t="str">
        <f t="shared" si="10"/>
        <v>kWh</v>
      </c>
      <c r="L241" s="85"/>
      <c r="M241" s="85"/>
      <c r="N241" s="107"/>
      <c r="O241" s="370"/>
      <c r="P241" s="370"/>
      <c r="Q241" s="370"/>
      <c r="R241" s="1">
        <f xml:space="preserve"> '2.3 Selskabsspecifikke input'!R285</f>
        <v>0</v>
      </c>
      <c r="S241" s="1">
        <f xml:space="preserve"> '2.3 Selskabsspecifikke input'!S285</f>
        <v>0</v>
      </c>
      <c r="T241" s="1">
        <f xml:space="preserve"> '2.3 Selskabsspecifikke input'!T285</f>
        <v>0</v>
      </c>
      <c r="U241" s="1">
        <f xml:space="preserve"> '2.3 Selskabsspecifikke input'!U285</f>
        <v>0</v>
      </c>
      <c r="V241" s="1">
        <f xml:space="preserve"> '2.3 Selskabsspecifikke input'!V285</f>
        <v>0</v>
      </c>
      <c r="W241" s="4">
        <f t="shared" si="11"/>
        <v>0</v>
      </c>
    </row>
    <row r="242" spans="1:23" customFormat="1" ht="15" customHeight="1">
      <c r="A242" s="1"/>
      <c r="B242" s="1"/>
      <c r="C242" s="2"/>
      <c r="D242" s="124" t="s">
        <v>167</v>
      </c>
      <c r="E242" s="1"/>
      <c r="F242" s="107"/>
      <c r="G242" s="107"/>
      <c r="H242" s="107"/>
      <c r="I242" s="107"/>
      <c r="J242" s="107"/>
      <c r="K242" s="87" t="str">
        <f t="shared" si="10"/>
        <v>kWh</v>
      </c>
      <c r="L242" s="85"/>
      <c r="M242" s="85"/>
      <c r="N242" s="107"/>
      <c r="O242" s="370"/>
      <c r="P242" s="370"/>
      <c r="Q242" s="370"/>
      <c r="R242" s="1">
        <f xml:space="preserve"> '2.3 Selskabsspecifikke input'!R286</f>
        <v>0</v>
      </c>
      <c r="S242" s="1">
        <f xml:space="preserve"> '2.3 Selskabsspecifikke input'!S286</f>
        <v>0</v>
      </c>
      <c r="T242" s="1">
        <f xml:space="preserve"> '2.3 Selskabsspecifikke input'!T286</f>
        <v>0</v>
      </c>
      <c r="U242" s="1">
        <f xml:space="preserve"> '2.3 Selskabsspecifikke input'!U286</f>
        <v>0</v>
      </c>
      <c r="V242" s="1">
        <f xml:space="preserve"> '2.3 Selskabsspecifikke input'!V286</f>
        <v>0</v>
      </c>
      <c r="W242" s="4">
        <f t="shared" si="11"/>
        <v>0</v>
      </c>
    </row>
    <row r="243" spans="1:23" customFormat="1" ht="15" customHeight="1">
      <c r="A243" s="1"/>
      <c r="B243" s="1"/>
      <c r="C243" s="2"/>
      <c r="D243" s="124" t="s">
        <v>168</v>
      </c>
      <c r="E243" s="1"/>
      <c r="F243" s="107"/>
      <c r="G243" s="107"/>
      <c r="H243" s="107"/>
      <c r="I243" s="107"/>
      <c r="J243" s="107"/>
      <c r="K243" s="87" t="str">
        <f t="shared" si="10"/>
        <v>kWh</v>
      </c>
      <c r="L243" s="85"/>
      <c r="M243" s="85"/>
      <c r="N243" s="107"/>
      <c r="O243" s="370"/>
      <c r="P243" s="370"/>
      <c r="Q243" s="370"/>
      <c r="R243" s="1">
        <f xml:space="preserve"> '2.3 Selskabsspecifikke input'!R287</f>
        <v>0</v>
      </c>
      <c r="S243" s="1">
        <f xml:space="preserve"> '2.3 Selskabsspecifikke input'!S287</f>
        <v>0</v>
      </c>
      <c r="T243" s="1">
        <f xml:space="preserve"> '2.3 Selskabsspecifikke input'!T287</f>
        <v>0</v>
      </c>
      <c r="U243" s="1">
        <f xml:space="preserve"> '2.3 Selskabsspecifikke input'!U287</f>
        <v>0</v>
      </c>
      <c r="V243" s="1">
        <f xml:space="preserve"> '2.3 Selskabsspecifikke input'!V287</f>
        <v>0</v>
      </c>
      <c r="W243" s="4">
        <f t="shared" si="11"/>
        <v>0</v>
      </c>
    </row>
    <row r="244" spans="1:23" customFormat="1" ht="15" customHeight="1">
      <c r="A244" s="1"/>
      <c r="B244" s="1"/>
      <c r="C244" s="2"/>
      <c r="D244" s="124" t="s">
        <v>169</v>
      </c>
      <c r="E244" s="1"/>
      <c r="F244" s="107"/>
      <c r="G244" s="107"/>
      <c r="H244" s="107"/>
      <c r="I244" s="107"/>
      <c r="J244" s="107"/>
      <c r="K244" s="87" t="str">
        <f t="shared" si="10"/>
        <v>kWh</v>
      </c>
      <c r="L244" s="85"/>
      <c r="M244" s="85"/>
      <c r="N244" s="107"/>
      <c r="O244" s="370"/>
      <c r="P244" s="370"/>
      <c r="Q244" s="370"/>
      <c r="R244" s="1">
        <f xml:space="preserve"> '2.3 Selskabsspecifikke input'!R288</f>
        <v>0</v>
      </c>
      <c r="S244" s="1">
        <f xml:space="preserve"> '2.3 Selskabsspecifikke input'!S288</f>
        <v>0</v>
      </c>
      <c r="T244" s="1">
        <f xml:space="preserve"> '2.3 Selskabsspecifikke input'!T288</f>
        <v>0</v>
      </c>
      <c r="U244" s="1">
        <f xml:space="preserve"> '2.3 Selskabsspecifikke input'!U288</f>
        <v>0</v>
      </c>
      <c r="V244" s="1">
        <f xml:space="preserve"> '2.3 Selskabsspecifikke input'!V288</f>
        <v>0</v>
      </c>
      <c r="W244" s="4">
        <f t="shared" si="11"/>
        <v>0</v>
      </c>
    </row>
    <row r="245" spans="1:23" customFormat="1" ht="15" customHeight="1">
      <c r="A245" s="1"/>
      <c r="B245" s="1"/>
      <c r="C245" s="2"/>
      <c r="D245" s="124" t="s">
        <v>170</v>
      </c>
      <c r="E245" s="1"/>
      <c r="F245" s="107"/>
      <c r="G245" s="107"/>
      <c r="H245" s="107"/>
      <c r="I245" s="107"/>
      <c r="J245" s="107"/>
      <c r="K245" s="87" t="str">
        <f t="shared" si="10"/>
        <v>kWh</v>
      </c>
      <c r="L245" s="85"/>
      <c r="M245" s="85"/>
      <c r="N245" s="107"/>
      <c r="O245" s="370"/>
      <c r="P245" s="370"/>
      <c r="Q245" s="370"/>
      <c r="R245" s="1">
        <f xml:space="preserve"> '2.3 Selskabsspecifikke input'!R289</f>
        <v>0</v>
      </c>
      <c r="S245" s="1">
        <f xml:space="preserve"> '2.3 Selskabsspecifikke input'!S289</f>
        <v>0</v>
      </c>
      <c r="T245" s="1">
        <f xml:space="preserve"> '2.3 Selskabsspecifikke input'!T289</f>
        <v>0</v>
      </c>
      <c r="U245" s="1">
        <f xml:space="preserve"> '2.3 Selskabsspecifikke input'!U289</f>
        <v>0</v>
      </c>
      <c r="V245" s="1">
        <f xml:space="preserve"> '2.3 Selskabsspecifikke input'!V289</f>
        <v>0</v>
      </c>
      <c r="W245" s="4">
        <f t="shared" si="11"/>
        <v>0</v>
      </c>
    </row>
    <row r="246" spans="1:23" customFormat="1" ht="15" customHeight="1">
      <c r="A246" s="1"/>
      <c r="B246" s="1"/>
      <c r="C246" s="2"/>
      <c r="D246" s="124" t="s">
        <v>171</v>
      </c>
      <c r="E246" s="1"/>
      <c r="F246" s="107"/>
      <c r="G246" s="107"/>
      <c r="H246" s="107"/>
      <c r="I246" s="107"/>
      <c r="J246" s="107"/>
      <c r="K246" s="87" t="str">
        <f t="shared" si="10"/>
        <v>kWh</v>
      </c>
      <c r="L246" s="85"/>
      <c r="M246" s="85"/>
      <c r="N246" s="107"/>
      <c r="O246" s="370"/>
      <c r="P246" s="370"/>
      <c r="Q246" s="370"/>
      <c r="R246" s="1">
        <f xml:space="preserve"> '2.3 Selskabsspecifikke input'!R290</f>
        <v>0</v>
      </c>
      <c r="S246" s="1">
        <f xml:space="preserve"> '2.3 Selskabsspecifikke input'!S290</f>
        <v>0</v>
      </c>
      <c r="T246" s="1">
        <f xml:space="preserve"> '2.3 Selskabsspecifikke input'!T290</f>
        <v>0</v>
      </c>
      <c r="U246" s="1">
        <f xml:space="preserve"> '2.3 Selskabsspecifikke input'!U290</f>
        <v>0</v>
      </c>
      <c r="V246" s="1">
        <f xml:space="preserve"> '2.3 Selskabsspecifikke input'!V290</f>
        <v>0</v>
      </c>
      <c r="W246" s="4">
        <f t="shared" si="11"/>
        <v>0</v>
      </c>
    </row>
    <row r="247" spans="1:23" customFormat="1" ht="15" customHeight="1">
      <c r="A247" s="1"/>
      <c r="B247" s="1"/>
      <c r="C247" s="2"/>
      <c r="D247" s="124" t="s">
        <v>172</v>
      </c>
      <c r="E247" s="1"/>
      <c r="F247" s="107"/>
      <c r="G247" s="107"/>
      <c r="H247" s="107"/>
      <c r="I247" s="107"/>
      <c r="J247" s="107"/>
      <c r="K247" s="87" t="str">
        <f t="shared" si="10"/>
        <v>kWh</v>
      </c>
      <c r="L247" s="85"/>
      <c r="M247" s="85"/>
      <c r="N247" s="107"/>
      <c r="O247" s="370"/>
      <c r="P247" s="370"/>
      <c r="Q247" s="370"/>
      <c r="R247" s="1">
        <f xml:space="preserve"> '2.3 Selskabsspecifikke input'!R291</f>
        <v>0</v>
      </c>
      <c r="S247" s="1">
        <f xml:space="preserve"> '2.3 Selskabsspecifikke input'!S291</f>
        <v>0</v>
      </c>
      <c r="T247" s="1">
        <f xml:space="preserve"> '2.3 Selskabsspecifikke input'!T291</f>
        <v>0</v>
      </c>
      <c r="U247" s="1">
        <f xml:space="preserve"> '2.3 Selskabsspecifikke input'!U291</f>
        <v>0</v>
      </c>
      <c r="V247" s="1">
        <f xml:space="preserve"> '2.3 Selskabsspecifikke input'!V291</f>
        <v>0</v>
      </c>
      <c r="W247" s="4">
        <f t="shared" si="11"/>
        <v>0</v>
      </c>
    </row>
    <row r="248" spans="1:23" customFormat="1" ht="15" customHeight="1">
      <c r="A248" s="1"/>
      <c r="B248" s="1"/>
      <c r="C248" s="2"/>
      <c r="D248" s="124" t="s">
        <v>173</v>
      </c>
      <c r="E248" s="1"/>
      <c r="F248" s="107"/>
      <c r="G248" s="107"/>
      <c r="H248" s="107"/>
      <c r="I248" s="107"/>
      <c r="J248" s="107"/>
      <c r="K248" s="87" t="str">
        <f t="shared" si="10"/>
        <v>kWh</v>
      </c>
      <c r="L248" s="85"/>
      <c r="M248" s="85"/>
      <c r="N248" s="107"/>
      <c r="O248" s="370"/>
      <c r="P248" s="370"/>
      <c r="Q248" s="370"/>
      <c r="R248" s="1">
        <f xml:space="preserve"> '2.3 Selskabsspecifikke input'!R292</f>
        <v>0</v>
      </c>
      <c r="S248" s="1">
        <f xml:space="preserve"> '2.3 Selskabsspecifikke input'!S292</f>
        <v>0</v>
      </c>
      <c r="T248" s="1">
        <f xml:space="preserve"> '2.3 Selskabsspecifikke input'!T292</f>
        <v>0</v>
      </c>
      <c r="U248" s="1">
        <f xml:space="preserve"> '2.3 Selskabsspecifikke input'!U292</f>
        <v>0</v>
      </c>
      <c r="V248" s="1">
        <f xml:space="preserve"> '2.3 Selskabsspecifikke input'!V292</f>
        <v>0</v>
      </c>
      <c r="W248" s="4">
        <f t="shared" si="11"/>
        <v>0</v>
      </c>
    </row>
    <row r="249" spans="1:23" customFormat="1" ht="15" customHeight="1">
      <c r="A249" s="1"/>
      <c r="B249" s="1"/>
      <c r="C249" s="2"/>
      <c r="D249" s="124" t="s">
        <v>174</v>
      </c>
      <c r="E249" s="1"/>
      <c r="F249" s="107"/>
      <c r="G249" s="107"/>
      <c r="H249" s="107"/>
      <c r="I249" s="107"/>
      <c r="J249" s="107"/>
      <c r="K249" s="87" t="str">
        <f t="shared" si="10"/>
        <v>kWh</v>
      </c>
      <c r="L249" s="85"/>
      <c r="M249" s="85"/>
      <c r="N249" s="107"/>
      <c r="O249" s="370"/>
      <c r="P249" s="370"/>
      <c r="Q249" s="370"/>
      <c r="R249" s="1">
        <f xml:space="preserve"> '2.3 Selskabsspecifikke input'!R293</f>
        <v>0</v>
      </c>
      <c r="S249" s="1">
        <f xml:space="preserve"> '2.3 Selskabsspecifikke input'!S293</f>
        <v>0</v>
      </c>
      <c r="T249" s="1">
        <f xml:space="preserve"> '2.3 Selskabsspecifikke input'!T293</f>
        <v>0</v>
      </c>
      <c r="U249" s="1">
        <f xml:space="preserve"> '2.3 Selskabsspecifikke input'!U293</f>
        <v>0</v>
      </c>
      <c r="V249" s="1">
        <f xml:space="preserve"> '2.3 Selskabsspecifikke input'!V293</f>
        <v>0</v>
      </c>
      <c r="W249" s="4">
        <f t="shared" si="11"/>
        <v>0</v>
      </c>
    </row>
    <row r="250" spans="1:23" customFormat="1" ht="15" customHeight="1">
      <c r="A250" s="1"/>
      <c r="B250" s="1"/>
      <c r="C250" s="2"/>
      <c r="D250" s="125" t="s">
        <v>175</v>
      </c>
      <c r="E250" s="27"/>
      <c r="F250" s="115"/>
      <c r="G250" s="115"/>
      <c r="H250" s="115"/>
      <c r="I250" s="115"/>
      <c r="J250" s="115"/>
      <c r="K250" s="98" t="str">
        <f t="shared" si="10"/>
        <v>kWh</v>
      </c>
      <c r="L250" s="99"/>
      <c r="M250" s="99"/>
      <c r="N250" s="115"/>
      <c r="O250" s="368"/>
      <c r="P250" s="368"/>
      <c r="Q250" s="368"/>
      <c r="R250" s="27">
        <f xml:space="preserve"> '2.3 Selskabsspecifikke input'!R294</f>
        <v>0</v>
      </c>
      <c r="S250" s="27">
        <f xml:space="preserve"> '2.3 Selskabsspecifikke input'!S294</f>
        <v>0</v>
      </c>
      <c r="T250" s="27">
        <f xml:space="preserve"> '2.3 Selskabsspecifikke input'!T294</f>
        <v>0</v>
      </c>
      <c r="U250" s="27">
        <f xml:space="preserve"> '2.3 Selskabsspecifikke input'!U294</f>
        <v>0</v>
      </c>
      <c r="V250" s="27">
        <f xml:space="preserve"> '2.3 Selskabsspecifikke input'!V294</f>
        <v>0</v>
      </c>
      <c r="W250" s="35">
        <f t="shared" si="11"/>
        <v>0</v>
      </c>
    </row>
    <row r="251" spans="1:23" customFormat="1" ht="15" customHeight="1">
      <c r="A251" s="1"/>
      <c r="B251" s="1"/>
      <c r="C251" s="2"/>
      <c r="D251" s="188" t="s">
        <v>16</v>
      </c>
      <c r="E251" s="186"/>
      <c r="F251" s="120"/>
      <c r="G251" s="120"/>
      <c r="H251" s="120"/>
      <c r="I251" s="120"/>
      <c r="J251" s="120"/>
      <c r="K251" s="106" t="str">
        <f t="shared" si="10"/>
        <v>kWh</v>
      </c>
      <c r="L251" s="105"/>
      <c r="M251" s="105"/>
      <c r="N251" s="120"/>
      <c r="O251" s="371"/>
      <c r="P251" s="371"/>
      <c r="Q251" s="371"/>
      <c r="R251" s="186">
        <f t="shared" ref="R251:W251" si="12" xml:space="preserve"> SUM( R227:R250 )</f>
        <v>0</v>
      </c>
      <c r="S251" s="186">
        <f t="shared" si="12"/>
        <v>0</v>
      </c>
      <c r="T251" s="186">
        <f t="shared" si="12"/>
        <v>0</v>
      </c>
      <c r="U251" s="186">
        <f t="shared" si="12"/>
        <v>0</v>
      </c>
      <c r="V251" s="186">
        <f t="shared" si="12"/>
        <v>0</v>
      </c>
      <c r="W251" s="186">
        <f t="shared" si="12"/>
        <v>0</v>
      </c>
    </row>
    <row r="252" spans="1:23" customFormat="1" ht="15" customHeight="1">
      <c r="A252" s="1"/>
      <c r="B252" s="1"/>
      <c r="C252" s="2"/>
      <c r="D252" s="124"/>
      <c r="E252" s="1"/>
      <c r="F252" s="107"/>
      <c r="G252" s="107"/>
      <c r="H252" s="107"/>
      <c r="I252" s="107"/>
      <c r="J252" s="107"/>
      <c r="K252" s="87"/>
      <c r="L252" s="85"/>
      <c r="M252" s="85"/>
      <c r="N252" s="107"/>
      <c r="O252" s="107"/>
      <c r="P252" s="107"/>
      <c r="Q252" s="107"/>
      <c r="R252" s="121"/>
      <c r="S252" s="121"/>
      <c r="T252" s="121"/>
      <c r="U252" s="121"/>
      <c r="V252" s="121"/>
      <c r="W252" s="1"/>
    </row>
    <row r="253" spans="1:23" customFormat="1" ht="15" customHeight="1">
      <c r="A253" s="1"/>
      <c r="B253" s="1"/>
      <c r="C253" s="2"/>
      <c r="D253" s="124"/>
      <c r="E253" s="1"/>
      <c r="F253" s="107"/>
      <c r="G253" s="107"/>
      <c r="H253" s="107"/>
      <c r="I253" s="107"/>
      <c r="J253" s="107"/>
      <c r="K253" s="87"/>
      <c r="L253" s="85"/>
      <c r="M253" s="85"/>
      <c r="N253" s="107"/>
      <c r="O253" s="107"/>
      <c r="P253" s="107"/>
      <c r="Q253" s="107"/>
      <c r="R253" s="121"/>
      <c r="S253" s="121"/>
      <c r="T253" s="121"/>
      <c r="U253" s="121"/>
      <c r="V253" s="121"/>
      <c r="W253" s="1"/>
    </row>
    <row r="254" spans="1:23" customFormat="1" ht="15" customHeight="1">
      <c r="A254" s="1"/>
      <c r="B254" s="1"/>
      <c r="C254" s="2"/>
      <c r="D254" s="124"/>
      <c r="E254" s="1"/>
      <c r="F254" s="107"/>
      <c r="G254" s="107"/>
      <c r="H254" s="107"/>
      <c r="I254" s="107"/>
      <c r="J254" s="107"/>
      <c r="K254" s="87"/>
      <c r="L254" s="85"/>
      <c r="M254" s="85"/>
      <c r="N254" s="107"/>
      <c r="O254" s="107"/>
      <c r="P254" s="107"/>
      <c r="Q254" s="107"/>
      <c r="R254" s="121"/>
      <c r="S254" s="121"/>
      <c r="T254" s="121"/>
      <c r="U254" s="121"/>
      <c r="V254" s="121"/>
      <c r="W254" s="1"/>
    </row>
    <row r="255" spans="1:23" s="475" customFormat="1" ht="15" customHeight="1">
      <c r="B255" s="479" t="str">
        <f xml:space="preserve"> COUNTA(B$10:B252) &amp; ") Tidsdifferentieret tarif - før skaleringsfaktorer"</f>
        <v>4) Tidsdifferentieret tarif - før skaleringsfaktorer</v>
      </c>
      <c r="C255" s="477"/>
      <c r="D255" s="478"/>
      <c r="K255" s="472"/>
    </row>
    <row r="256" spans="1:23" customFormat="1" ht="15" customHeight="1">
      <c r="A256" s="1"/>
      <c r="B256" s="1"/>
      <c r="C256" s="2"/>
      <c r="D256" s="124"/>
      <c r="E256" s="1"/>
      <c r="F256" s="107"/>
      <c r="G256" s="107"/>
      <c r="H256" s="107"/>
      <c r="I256" s="107"/>
      <c r="J256" s="107"/>
      <c r="K256" s="87"/>
      <c r="L256" s="85"/>
      <c r="M256" s="85"/>
      <c r="N256" s="107"/>
      <c r="O256" s="107"/>
      <c r="P256" s="107"/>
      <c r="Q256" s="107"/>
      <c r="R256" s="121"/>
      <c r="S256" s="121"/>
      <c r="T256" s="121"/>
      <c r="U256" s="121"/>
      <c r="V256" s="121"/>
      <c r="W256" s="1"/>
    </row>
    <row r="257" spans="4:23" ht="15" customHeight="1">
      <c r="D257" s="35" t="s">
        <v>201</v>
      </c>
    </row>
    <row r="258" spans="4:23" ht="15" customHeight="1">
      <c r="D258" s="124" t="s">
        <v>182</v>
      </c>
      <c r="E258" s="15"/>
      <c r="F258" s="15"/>
      <c r="G258" s="15"/>
      <c r="H258" s="15"/>
      <c r="I258" s="15"/>
      <c r="J258" s="15"/>
      <c r="K258" s="19" t="s">
        <v>216</v>
      </c>
      <c r="L258" s="15"/>
      <c r="M258" s="15"/>
      <c r="N258" s="15"/>
      <c r="O258" s="274"/>
      <c r="P258" s="274"/>
      <c r="Q258" s="274"/>
      <c r="R258" s="150">
        <f t="shared" ref="R258:V260" si="13" xml:space="preserve"> R$15 * R24</f>
        <v>0</v>
      </c>
      <c r="S258" s="150">
        <f t="shared" si="13"/>
        <v>0</v>
      </c>
      <c r="T258" s="150">
        <f t="shared" si="13"/>
        <v>0</v>
      </c>
      <c r="U258" s="150">
        <f t="shared" si="13"/>
        <v>0</v>
      </c>
      <c r="V258" s="150">
        <f t="shared" si="13"/>
        <v>0</v>
      </c>
      <c r="W258" s="15"/>
    </row>
    <row r="259" spans="4:23" ht="15" customHeight="1">
      <c r="D259" s="124" t="s">
        <v>207</v>
      </c>
      <c r="K259" s="5" t="s">
        <v>216</v>
      </c>
      <c r="O259" s="202"/>
      <c r="P259" s="202"/>
      <c r="Q259" s="202"/>
      <c r="R259" s="121">
        <f t="shared" si="13"/>
        <v>0</v>
      </c>
      <c r="S259" s="121">
        <f t="shared" si="13"/>
        <v>0</v>
      </c>
      <c r="T259" s="121">
        <f t="shared" si="13"/>
        <v>0</v>
      </c>
      <c r="U259" s="121">
        <f t="shared" si="13"/>
        <v>0</v>
      </c>
      <c r="V259" s="121">
        <f t="shared" si="13"/>
        <v>0</v>
      </c>
    </row>
    <row r="260" spans="4:23" ht="15" customHeight="1">
      <c r="D260" s="125" t="s">
        <v>212</v>
      </c>
      <c r="E260" s="27"/>
      <c r="F260" s="27"/>
      <c r="G260" s="27"/>
      <c r="H260" s="27"/>
      <c r="I260" s="27"/>
      <c r="J260" s="27"/>
      <c r="K260" s="32" t="s">
        <v>216</v>
      </c>
      <c r="L260" s="27"/>
      <c r="M260" s="27"/>
      <c r="N260" s="27"/>
      <c r="O260" s="269"/>
      <c r="P260" s="269"/>
      <c r="Q260" s="269"/>
      <c r="R260" s="131">
        <f t="shared" si="13"/>
        <v>0</v>
      </c>
      <c r="S260" s="131">
        <f t="shared" si="13"/>
        <v>0</v>
      </c>
      <c r="T260" s="131">
        <f t="shared" si="13"/>
        <v>0</v>
      </c>
      <c r="U260" s="131">
        <f t="shared" si="13"/>
        <v>0</v>
      </c>
      <c r="V260" s="131">
        <f t="shared" si="13"/>
        <v>0</v>
      </c>
      <c r="W260" s="27"/>
    </row>
    <row r="262" spans="4:23" ht="15" customHeight="1">
      <c r="D262" s="35" t="s">
        <v>200</v>
      </c>
    </row>
    <row r="263" spans="4:23" ht="15" customHeight="1">
      <c r="D263" s="124" t="s">
        <v>182</v>
      </c>
      <c r="E263" s="15"/>
      <c r="F263" s="15"/>
      <c r="G263" s="15"/>
      <c r="H263" s="15"/>
      <c r="I263" s="15"/>
      <c r="J263" s="15"/>
      <c r="K263" s="19" t="s">
        <v>216</v>
      </c>
      <c r="L263" s="15"/>
      <c r="M263" s="15"/>
      <c r="N263" s="15"/>
      <c r="O263" s="274"/>
      <c r="P263" s="274"/>
      <c r="Q263" s="274"/>
      <c r="R263" s="150">
        <f t="shared" ref="R263:V265" si="14" xml:space="preserve"> R$15 * R29</f>
        <v>0</v>
      </c>
      <c r="S263" s="150">
        <f t="shared" si="14"/>
        <v>0</v>
      </c>
      <c r="T263" s="150">
        <f t="shared" si="14"/>
        <v>0</v>
      </c>
      <c r="U263" s="150">
        <f t="shared" si="14"/>
        <v>0</v>
      </c>
      <c r="V263" s="150">
        <f t="shared" si="14"/>
        <v>0</v>
      </c>
      <c r="W263" s="15"/>
    </row>
    <row r="264" spans="4:23" ht="15" customHeight="1">
      <c r="D264" s="124" t="s">
        <v>184</v>
      </c>
      <c r="K264" s="5" t="s">
        <v>216</v>
      </c>
      <c r="O264" s="202"/>
      <c r="P264" s="202"/>
      <c r="Q264" s="202"/>
      <c r="R264" s="121">
        <f t="shared" si="14"/>
        <v>0</v>
      </c>
      <c r="S264" s="121">
        <f t="shared" si="14"/>
        <v>0</v>
      </c>
      <c r="T264" s="121">
        <f t="shared" si="14"/>
        <v>0</v>
      </c>
      <c r="U264" s="121">
        <f t="shared" si="14"/>
        <v>0</v>
      </c>
      <c r="V264" s="121">
        <f t="shared" si="14"/>
        <v>0</v>
      </c>
    </row>
    <row r="265" spans="4:23" ht="15" customHeight="1">
      <c r="D265" s="125" t="s">
        <v>185</v>
      </c>
      <c r="E265" s="27"/>
      <c r="F265" s="27"/>
      <c r="G265" s="27"/>
      <c r="H265" s="27"/>
      <c r="I265" s="27"/>
      <c r="J265" s="27"/>
      <c r="K265" s="32" t="s">
        <v>216</v>
      </c>
      <c r="L265" s="27"/>
      <c r="M265" s="27"/>
      <c r="N265" s="27"/>
      <c r="O265" s="269"/>
      <c r="P265" s="269"/>
      <c r="Q265" s="269"/>
      <c r="R265" s="131">
        <f t="shared" si="14"/>
        <v>0</v>
      </c>
      <c r="S265" s="131">
        <f t="shared" si="14"/>
        <v>0</v>
      </c>
      <c r="T265" s="131">
        <f t="shared" si="14"/>
        <v>0</v>
      </c>
      <c r="U265" s="131">
        <f t="shared" si="14"/>
        <v>0</v>
      </c>
      <c r="V265" s="131">
        <f t="shared" si="14"/>
        <v>0</v>
      </c>
      <c r="W265" s="27"/>
    </row>
    <row r="267" spans="4:23" ht="15" customHeight="1">
      <c r="D267" s="88" t="s">
        <v>214</v>
      </c>
      <c r="F267" s="107"/>
      <c r="G267" s="107"/>
      <c r="H267" s="107"/>
      <c r="I267" s="107"/>
      <c r="J267" s="107"/>
      <c r="K267" s="87"/>
      <c r="L267" s="85"/>
      <c r="M267" s="85"/>
      <c r="N267" s="107"/>
      <c r="O267" s="107"/>
      <c r="P267" s="107"/>
      <c r="Q267" s="107"/>
      <c r="W267" s="89" t="s">
        <v>16</v>
      </c>
    </row>
    <row r="268" spans="4:23" ht="15" customHeight="1">
      <c r="D268" s="123" t="s">
        <v>186</v>
      </c>
      <c r="E268" s="15"/>
      <c r="F268" s="116"/>
      <c r="G268" s="116"/>
      <c r="H268" s="116"/>
      <c r="I268" s="116"/>
      <c r="J268" s="116"/>
      <c r="K268" s="117" t="s">
        <v>24</v>
      </c>
      <c r="L268" s="123"/>
      <c r="M268" s="123"/>
      <c r="N268" s="155" t="str">
        <f xml:space="preserve"> '2.1 Model setup'!$K$65</f>
        <v>Lavlast</v>
      </c>
      <c r="O268" s="404"/>
      <c r="P268" s="404"/>
      <c r="Q268" s="404"/>
      <c r="R268" s="15">
        <f xml:space="preserve"> SUMIF( R38:R61, $N268, R146:R169 )</f>
        <v>0</v>
      </c>
      <c r="S268" s="15">
        <f xml:space="preserve"> SUMIF( S38:S61, $N268, S146:S169 )</f>
        <v>0</v>
      </c>
      <c r="T268" s="15">
        <f xml:space="preserve"> SUMIF( T38:T61, $N268, T146:T169 )</f>
        <v>0</v>
      </c>
      <c r="U268" s="15">
        <f xml:space="preserve"> SUMIF( U38:U61, $N268, U146:U169 )</f>
        <v>0</v>
      </c>
      <c r="V268" s="15">
        <f xml:space="preserve"> SUMIF( V38:V61, $N268, V146:V169 )</f>
        <v>0</v>
      </c>
      <c r="W268" s="18">
        <f xml:space="preserve"> SUM( R268:V268 )</f>
        <v>0</v>
      </c>
    </row>
    <row r="269" spans="4:23" ht="15" customHeight="1">
      <c r="D269" s="124" t="s">
        <v>187</v>
      </c>
      <c r="F269" s="107"/>
      <c r="G269" s="107"/>
      <c r="H269" s="107"/>
      <c r="I269" s="107"/>
      <c r="J269" s="107"/>
      <c r="K269" s="87" t="s">
        <v>24</v>
      </c>
      <c r="L269" s="85"/>
      <c r="M269" s="85"/>
      <c r="N269" s="86" t="str">
        <f xml:space="preserve"> '2.1 Model setup'!$K$65</f>
        <v>Lavlast</v>
      </c>
      <c r="O269" s="405"/>
      <c r="P269" s="405"/>
      <c r="Q269" s="405"/>
      <c r="R269" s="1">
        <f xml:space="preserve"> SUMIF( R64:R87, $N269, R173:R196 )</f>
        <v>0</v>
      </c>
      <c r="S269" s="1">
        <f xml:space="preserve"> SUMIF( S64:S87, $N269, S173:S196 )</f>
        <v>0</v>
      </c>
      <c r="T269" s="1">
        <f xml:space="preserve"> SUMIF( T64:T87, $N269, T173:T196 )</f>
        <v>0</v>
      </c>
      <c r="U269" s="1">
        <f xml:space="preserve"> SUMIF( U64:U87, $N269, U173:U196 )</f>
        <v>0</v>
      </c>
      <c r="V269" s="1">
        <f xml:space="preserve"> SUMIF( V64:V87, $N269, V173:V196 )</f>
        <v>0</v>
      </c>
      <c r="W269" s="4">
        <f xml:space="preserve"> SUM( R269:V269 )</f>
        <v>0</v>
      </c>
    </row>
    <row r="270" spans="4:23" ht="15" customHeight="1">
      <c r="D270" s="124" t="s">
        <v>188</v>
      </c>
      <c r="F270" s="107"/>
      <c r="G270" s="107"/>
      <c r="H270" s="107"/>
      <c r="I270" s="107"/>
      <c r="J270" s="107"/>
      <c r="K270" s="87" t="s">
        <v>24</v>
      </c>
      <c r="L270" s="85"/>
      <c r="M270" s="85"/>
      <c r="N270" s="86" t="str">
        <f xml:space="preserve"> '2.1 Model setup'!$K$65</f>
        <v>Lavlast</v>
      </c>
      <c r="O270" s="405"/>
      <c r="P270" s="405"/>
      <c r="Q270" s="405"/>
      <c r="R270" s="1">
        <f xml:space="preserve"> SUMIF( R90:R113, $N270, R200:R223 )</f>
        <v>0</v>
      </c>
      <c r="S270" s="1">
        <f xml:space="preserve"> SUMIF( S90:S113, $N270, S200:S223 )</f>
        <v>0</v>
      </c>
      <c r="T270" s="1">
        <f xml:space="preserve"> SUMIF( T90:T113, $N270, T200:T223 )</f>
        <v>0</v>
      </c>
      <c r="U270" s="1">
        <f xml:space="preserve"> SUMIF( U90:U113, $N270, U200:U223 )</f>
        <v>0</v>
      </c>
      <c r="V270" s="1">
        <f xml:space="preserve"> SUMIF( V90:V113, $N270, V200:V223 )</f>
        <v>0</v>
      </c>
      <c r="W270" s="4">
        <f xml:space="preserve"> SUM( R270:V270 )</f>
        <v>0</v>
      </c>
    </row>
    <row r="271" spans="4:23" ht="15" customHeight="1">
      <c r="D271" s="125" t="s">
        <v>189</v>
      </c>
      <c r="E271" s="27"/>
      <c r="F271" s="115"/>
      <c r="G271" s="115"/>
      <c r="H271" s="115"/>
      <c r="I271" s="115"/>
      <c r="J271" s="115"/>
      <c r="K271" s="98" t="s">
        <v>24</v>
      </c>
      <c r="L271" s="99"/>
      <c r="M271" s="99"/>
      <c r="N271" s="156" t="str">
        <f xml:space="preserve"> '2.1 Model setup'!$K$65</f>
        <v>Lavlast</v>
      </c>
      <c r="O271" s="406"/>
      <c r="P271" s="406"/>
      <c r="Q271" s="406"/>
      <c r="R271" s="27">
        <f xml:space="preserve"> SUMIF( R116:R139, $N271, R227:R250 )</f>
        <v>0</v>
      </c>
      <c r="S271" s="27">
        <f xml:space="preserve"> SUMIF( S116:S139, $N271, S227:S250 )</f>
        <v>0</v>
      </c>
      <c r="T271" s="27">
        <f xml:space="preserve"> SUMIF( T116:T139, $N271, T227:T250 )</f>
        <v>0</v>
      </c>
      <c r="U271" s="27">
        <f xml:space="preserve"> SUMIF( U116:U139, $N271, U227:U250 )</f>
        <v>0</v>
      </c>
      <c r="V271" s="27">
        <f xml:space="preserve"> SUMIF( V116:V139, $N271, V227:V250 )</f>
        <v>0</v>
      </c>
      <c r="W271" s="35">
        <f xml:space="preserve"> SUM( R271:V271 )</f>
        <v>0</v>
      </c>
    </row>
    <row r="272" spans="4:23" ht="15" customHeight="1">
      <c r="D272" s="186" t="s">
        <v>16</v>
      </c>
      <c r="E272" s="33"/>
      <c r="F272" s="33"/>
      <c r="G272" s="33"/>
      <c r="H272" s="33"/>
      <c r="I272" s="33"/>
      <c r="J272" s="33"/>
      <c r="K272" s="187" t="s">
        <v>24</v>
      </c>
      <c r="L272" s="33"/>
      <c r="M272" s="33"/>
      <c r="N272" s="33"/>
      <c r="O272" s="271"/>
      <c r="P272" s="271"/>
      <c r="Q272" s="271"/>
      <c r="R272" s="186">
        <f t="shared" ref="R272:W272" si="15" xml:space="preserve"> SUM( R268:R271 )</f>
        <v>0</v>
      </c>
      <c r="S272" s="186">
        <f t="shared" si="15"/>
        <v>0</v>
      </c>
      <c r="T272" s="186">
        <f t="shared" si="15"/>
        <v>0</v>
      </c>
      <c r="U272" s="186">
        <f t="shared" si="15"/>
        <v>0</v>
      </c>
      <c r="V272" s="186">
        <f t="shared" si="15"/>
        <v>0</v>
      </c>
      <c r="W272" s="186">
        <f t="shared" si="15"/>
        <v>0</v>
      </c>
    </row>
    <row r="273" spans="4:23" ht="15" customHeight="1">
      <c r="D273" s="204"/>
    </row>
    <row r="274" spans="4:23" ht="15" customHeight="1">
      <c r="D274" s="88" t="s">
        <v>215</v>
      </c>
      <c r="F274" s="107"/>
      <c r="G274" s="107"/>
      <c r="H274" s="107"/>
      <c r="I274" s="107"/>
      <c r="J274" s="107"/>
      <c r="K274" s="87"/>
      <c r="L274" s="85"/>
      <c r="M274" s="85"/>
      <c r="N274" s="107"/>
      <c r="O274" s="107"/>
      <c r="P274" s="107"/>
      <c r="Q274" s="107"/>
      <c r="W274" s="89" t="s">
        <v>16</v>
      </c>
    </row>
    <row r="275" spans="4:23" ht="15" customHeight="1">
      <c r="D275" s="123" t="s">
        <v>186</v>
      </c>
      <c r="E275" s="15"/>
      <c r="F275" s="116"/>
      <c r="G275" s="116"/>
      <c r="H275" s="116"/>
      <c r="I275" s="116"/>
      <c r="J275" s="116"/>
      <c r="K275" s="117" t="s">
        <v>24</v>
      </c>
      <c r="L275" s="123"/>
      <c r="M275" s="123"/>
      <c r="N275" s="155" t="str">
        <f xml:space="preserve"> '2.1 Model setup'!$K$66</f>
        <v>Højlast</v>
      </c>
      <c r="O275" s="404"/>
      <c r="P275" s="404"/>
      <c r="Q275" s="404"/>
      <c r="R275" s="15">
        <f xml:space="preserve"> SUMIF( R38:R61, $N275,  R146:R169 )</f>
        <v>0</v>
      </c>
      <c r="S275" s="15">
        <f xml:space="preserve"> SUMIF( S38:S61, $N275,  S146:S169 )</f>
        <v>0</v>
      </c>
      <c r="T275" s="15">
        <f xml:space="preserve"> SUMIF( T38:T61, $N275,  T146:T169 )</f>
        <v>0</v>
      </c>
      <c r="U275" s="15">
        <f xml:space="preserve"> SUMIF( U38:U61, $N275,  U146:U169 )</f>
        <v>0</v>
      </c>
      <c r="V275" s="15">
        <f xml:space="preserve"> SUMIF( V38:V61, $N275,  V146:V169 )</f>
        <v>0</v>
      </c>
      <c r="W275" s="18">
        <f xml:space="preserve"> SUM( R275:V275 )</f>
        <v>0</v>
      </c>
    </row>
    <row r="276" spans="4:23" ht="15" customHeight="1">
      <c r="D276" s="124" t="s">
        <v>187</v>
      </c>
      <c r="F276" s="107"/>
      <c r="G276" s="107"/>
      <c r="H276" s="107"/>
      <c r="I276" s="107"/>
      <c r="J276" s="107"/>
      <c r="K276" s="87" t="s">
        <v>24</v>
      </c>
      <c r="L276" s="85"/>
      <c r="M276" s="85"/>
      <c r="N276" s="86" t="str">
        <f xml:space="preserve"> '2.1 Model setup'!$K$66</f>
        <v>Højlast</v>
      </c>
      <c r="O276" s="405"/>
      <c r="P276" s="405"/>
      <c r="Q276" s="405"/>
      <c r="R276" s="1">
        <f xml:space="preserve"> SUMIF( R64:R87, $N276, R173:R196 )</f>
        <v>0</v>
      </c>
      <c r="S276" s="1">
        <f xml:space="preserve"> SUMIF( S64:S87, $N276, S173:S196 )</f>
        <v>0</v>
      </c>
      <c r="T276" s="1">
        <f xml:space="preserve"> SUMIF( T64:T87, $N276, T173:T196 )</f>
        <v>0</v>
      </c>
      <c r="U276" s="1">
        <f xml:space="preserve"> SUMIF( U64:U87, $N276, U173:U196 )</f>
        <v>0</v>
      </c>
      <c r="V276" s="1">
        <f xml:space="preserve"> SUMIF( V64:V87, $N276, V173:V196 )</f>
        <v>0</v>
      </c>
      <c r="W276" s="4">
        <f xml:space="preserve"> SUM( R276:V276 )</f>
        <v>0</v>
      </c>
    </row>
    <row r="277" spans="4:23" ht="15" customHeight="1">
      <c r="D277" s="124" t="s">
        <v>188</v>
      </c>
      <c r="F277" s="107"/>
      <c r="G277" s="107"/>
      <c r="H277" s="107"/>
      <c r="I277" s="107"/>
      <c r="J277" s="107"/>
      <c r="K277" s="87" t="s">
        <v>24</v>
      </c>
      <c r="L277" s="85"/>
      <c r="M277" s="85"/>
      <c r="N277" s="86" t="str">
        <f xml:space="preserve"> '2.1 Model setup'!$K$66</f>
        <v>Højlast</v>
      </c>
      <c r="O277" s="405"/>
      <c r="P277" s="405"/>
      <c r="Q277" s="405"/>
      <c r="R277" s="1">
        <f xml:space="preserve"> SUMIF( R90:R113, $N277, R200:R223 )</f>
        <v>0</v>
      </c>
      <c r="S277" s="1">
        <f xml:space="preserve"> SUMIF( S90:S113, $N277, S200:S223 )</f>
        <v>0</v>
      </c>
      <c r="T277" s="1">
        <f xml:space="preserve"> SUMIF( T90:T113, $N277, T200:T223 )</f>
        <v>0</v>
      </c>
      <c r="U277" s="1">
        <f xml:space="preserve"> SUMIF( U90:U113, $N277, U200:U223 )</f>
        <v>0</v>
      </c>
      <c r="V277" s="1">
        <f xml:space="preserve"> SUMIF( V90:V113, $N277, V200:V223 )</f>
        <v>0</v>
      </c>
      <c r="W277" s="4">
        <f xml:space="preserve"> SUM( R277:V277 )</f>
        <v>0</v>
      </c>
    </row>
    <row r="278" spans="4:23" ht="15" customHeight="1">
      <c r="D278" s="125" t="s">
        <v>189</v>
      </c>
      <c r="E278" s="27"/>
      <c r="F278" s="115"/>
      <c r="G278" s="115"/>
      <c r="H278" s="115"/>
      <c r="I278" s="115"/>
      <c r="J278" s="115"/>
      <c r="K278" s="98" t="s">
        <v>24</v>
      </c>
      <c r="L278" s="99"/>
      <c r="M278" s="99"/>
      <c r="N278" s="156" t="str">
        <f xml:space="preserve"> '2.1 Model setup'!$K$66</f>
        <v>Højlast</v>
      </c>
      <c r="O278" s="406"/>
      <c r="P278" s="406"/>
      <c r="Q278" s="406"/>
      <c r="R278" s="27">
        <f xml:space="preserve"> SUMIF( R116:R139, $N278,  R227:R250 )</f>
        <v>0</v>
      </c>
      <c r="S278" s="27">
        <f xml:space="preserve"> SUMIF( S116:S139, $N278,  S227:S250 )</f>
        <v>0</v>
      </c>
      <c r="T278" s="27">
        <f xml:space="preserve"> SUMIF( T116:T139, $N278,  T227:T250 )</f>
        <v>0</v>
      </c>
      <c r="U278" s="27">
        <f xml:space="preserve"> SUMIF( U116:U139, $N278,  U227:U250 )</f>
        <v>0</v>
      </c>
      <c r="V278" s="27">
        <f xml:space="preserve"> SUMIF( V116:V139, $N278,  V227:V250 )</f>
        <v>0</v>
      </c>
      <c r="W278" s="35">
        <f xml:space="preserve"> SUM( R278:V278 )</f>
        <v>0</v>
      </c>
    </row>
    <row r="279" spans="4:23" ht="15" customHeight="1">
      <c r="D279" s="186" t="s">
        <v>16</v>
      </c>
      <c r="E279" s="33"/>
      <c r="F279" s="33"/>
      <c r="G279" s="33"/>
      <c r="H279" s="33"/>
      <c r="I279" s="33"/>
      <c r="J279" s="33"/>
      <c r="K279" s="187" t="s">
        <v>24</v>
      </c>
      <c r="L279" s="33"/>
      <c r="M279" s="33"/>
      <c r="N279" s="33"/>
      <c r="O279" s="271"/>
      <c r="P279" s="271"/>
      <c r="Q279" s="271"/>
      <c r="R279" s="186">
        <f t="shared" ref="R279:W279" si="16" xml:space="preserve"> SUM( R275:R278 )</f>
        <v>0</v>
      </c>
      <c r="S279" s="186">
        <f t="shared" si="16"/>
        <v>0</v>
      </c>
      <c r="T279" s="186">
        <f t="shared" si="16"/>
        <v>0</v>
      </c>
      <c r="U279" s="186">
        <f t="shared" si="16"/>
        <v>0</v>
      </c>
      <c r="V279" s="186">
        <f t="shared" si="16"/>
        <v>0</v>
      </c>
      <c r="W279" s="186">
        <f t="shared" si="16"/>
        <v>0</v>
      </c>
    </row>
    <row r="280" spans="4:23" ht="15" customHeight="1">
      <c r="D280" s="124"/>
      <c r="F280" s="107"/>
      <c r="G280" s="107"/>
      <c r="H280" s="107"/>
      <c r="I280" s="107"/>
      <c r="J280" s="107"/>
      <c r="K280" s="87"/>
      <c r="L280" s="85"/>
      <c r="M280" s="85"/>
      <c r="N280" s="86"/>
      <c r="O280" s="86"/>
      <c r="P280" s="86"/>
      <c r="Q280" s="86"/>
      <c r="R280" s="121"/>
      <c r="S280" s="121"/>
      <c r="T280" s="121"/>
      <c r="U280" s="121"/>
      <c r="V280" s="150"/>
    </row>
    <row r="281" spans="4:23" ht="15" customHeight="1">
      <c r="D281" s="88" t="s">
        <v>213</v>
      </c>
      <c r="F281" s="107"/>
      <c r="G281" s="107"/>
      <c r="H281" s="107"/>
      <c r="I281" s="107"/>
      <c r="J281" s="107"/>
      <c r="K281" s="87"/>
      <c r="L281" s="85"/>
      <c r="M281" s="85"/>
      <c r="N281" s="107"/>
      <c r="O281" s="107"/>
      <c r="P281" s="107"/>
      <c r="Q281" s="107"/>
      <c r="W281" s="89" t="s">
        <v>16</v>
      </c>
    </row>
    <row r="282" spans="4:23" ht="15" customHeight="1">
      <c r="D282" s="123" t="s">
        <v>186</v>
      </c>
      <c r="E282" s="15"/>
      <c r="F282" s="116"/>
      <c r="G282" s="116"/>
      <c r="H282" s="116"/>
      <c r="I282" s="116"/>
      <c r="J282" s="116"/>
      <c r="K282" s="117" t="s">
        <v>24</v>
      </c>
      <c r="L282" s="123"/>
      <c r="M282" s="123"/>
      <c r="N282" s="155" t="str">
        <f xml:space="preserve"> '2.1 Model setup'!$K$67</f>
        <v>Spidslast</v>
      </c>
      <c r="O282" s="404"/>
      <c r="P282" s="404"/>
      <c r="Q282" s="404"/>
      <c r="R282" s="15">
        <f xml:space="preserve"> SUMIF( R38:R61, $N282,  R146:R169 )</f>
        <v>0</v>
      </c>
      <c r="S282" s="15">
        <f xml:space="preserve"> SUMIF( S38:S61, $N282,  S146:S169 )</f>
        <v>0</v>
      </c>
      <c r="T282" s="15">
        <f xml:space="preserve"> SUMIF( T38:T61, $N282,  T146:T169 )</f>
        <v>0</v>
      </c>
      <c r="U282" s="15">
        <f xml:space="preserve"> SUMIF( U38:U61, $N282,  U146:U169 )</f>
        <v>0</v>
      </c>
      <c r="V282" s="15">
        <f xml:space="preserve"> SUMIF( V38:V61, $N282,  V146:V169 )</f>
        <v>0</v>
      </c>
      <c r="W282" s="18">
        <f xml:space="preserve"> SUM( R282:V282 )</f>
        <v>0</v>
      </c>
    </row>
    <row r="283" spans="4:23" ht="15" customHeight="1">
      <c r="D283" s="124" t="s">
        <v>187</v>
      </c>
      <c r="F283" s="107"/>
      <c r="G283" s="107"/>
      <c r="H283" s="107"/>
      <c r="I283" s="107"/>
      <c r="J283" s="107"/>
      <c r="K283" s="87" t="s">
        <v>24</v>
      </c>
      <c r="L283" s="85"/>
      <c r="M283" s="85"/>
      <c r="N283" s="86" t="str">
        <f xml:space="preserve"> '2.1 Model setup'!$K$67</f>
        <v>Spidslast</v>
      </c>
      <c r="O283" s="405"/>
      <c r="P283" s="405"/>
      <c r="Q283" s="405"/>
      <c r="R283" s="1">
        <f xml:space="preserve"> SUMIF( R64:R87, $N283,  R173:R196 )</f>
        <v>0</v>
      </c>
      <c r="S283" s="1">
        <f xml:space="preserve"> SUMIF( S64:S87, $N283,  S173:S196 )</f>
        <v>0</v>
      </c>
      <c r="T283" s="1">
        <f xml:space="preserve"> SUMIF( T64:T87, $N283,  T173:T196 )</f>
        <v>0</v>
      </c>
      <c r="U283" s="1">
        <f xml:space="preserve"> SUMIF( U64:U87, $N283,  U173:U196 )</f>
        <v>0</v>
      </c>
      <c r="V283" s="1">
        <f xml:space="preserve"> SUMIF( V64:V87, $N283,  V173:V196 )</f>
        <v>0</v>
      </c>
      <c r="W283" s="4">
        <f xml:space="preserve"> SUM( R283:V283 )</f>
        <v>0</v>
      </c>
    </row>
    <row r="284" spans="4:23" ht="15" customHeight="1">
      <c r="D284" s="124" t="s">
        <v>188</v>
      </c>
      <c r="F284" s="107"/>
      <c r="G284" s="107"/>
      <c r="H284" s="107"/>
      <c r="I284" s="107"/>
      <c r="J284" s="107"/>
      <c r="K284" s="87" t="s">
        <v>24</v>
      </c>
      <c r="L284" s="85"/>
      <c r="M284" s="85"/>
      <c r="N284" s="86" t="str">
        <f xml:space="preserve"> '2.1 Model setup'!$K$67</f>
        <v>Spidslast</v>
      </c>
      <c r="O284" s="405"/>
      <c r="P284" s="405"/>
      <c r="Q284" s="405"/>
      <c r="R284" s="1">
        <f xml:space="preserve"> SUMIF( R90:R113, $N284, R200:R223 )</f>
        <v>0</v>
      </c>
      <c r="S284" s="1">
        <f xml:space="preserve"> SUMIF( S90:S113, $N284, S200:S223 )</f>
        <v>0</v>
      </c>
      <c r="T284" s="1">
        <f xml:space="preserve"> SUMIF( T90:T113, $N284, T200:T223 )</f>
        <v>0</v>
      </c>
      <c r="U284" s="1">
        <f xml:space="preserve"> SUMIF( U90:U113, $N284, U200:U223 )</f>
        <v>0</v>
      </c>
      <c r="V284" s="1">
        <f xml:space="preserve"> SUMIF( V90:V113, $N284, V200:V223 )</f>
        <v>0</v>
      </c>
      <c r="W284" s="4">
        <f xml:space="preserve"> SUM( R284:V284 )</f>
        <v>0</v>
      </c>
    </row>
    <row r="285" spans="4:23" ht="15" customHeight="1">
      <c r="D285" s="125" t="s">
        <v>189</v>
      </c>
      <c r="E285" s="27"/>
      <c r="F285" s="115"/>
      <c r="G285" s="115"/>
      <c r="H285" s="115"/>
      <c r="I285" s="115"/>
      <c r="J285" s="115"/>
      <c r="K285" s="98" t="s">
        <v>24</v>
      </c>
      <c r="L285" s="99"/>
      <c r="M285" s="99"/>
      <c r="N285" s="156" t="str">
        <f xml:space="preserve"> '2.1 Model setup'!$K$67</f>
        <v>Spidslast</v>
      </c>
      <c r="O285" s="406"/>
      <c r="P285" s="406"/>
      <c r="Q285" s="406"/>
      <c r="R285" s="27">
        <f xml:space="preserve"> SUMIF( R116:R139, $N285, R227:R250 )</f>
        <v>0</v>
      </c>
      <c r="S285" s="27">
        <f xml:space="preserve"> SUMIF( S116:S139, $N285, S227:S250 )</f>
        <v>0</v>
      </c>
      <c r="T285" s="27">
        <f xml:space="preserve"> SUMIF( T116:T139, $N285, T227:T250 )</f>
        <v>0</v>
      </c>
      <c r="U285" s="27">
        <f xml:space="preserve"> SUMIF( U116:U139, $N285, U227:U250 )</f>
        <v>0</v>
      </c>
      <c r="V285" s="27">
        <f xml:space="preserve"> SUMIF( V116:V139, $N285, V227:V250 )</f>
        <v>0</v>
      </c>
      <c r="W285" s="35">
        <f xml:space="preserve"> SUM( R285:V285 )</f>
        <v>0</v>
      </c>
    </row>
    <row r="286" spans="4:23" ht="15" customHeight="1">
      <c r="D286" s="186" t="s">
        <v>16</v>
      </c>
      <c r="E286" s="33"/>
      <c r="F286" s="33"/>
      <c r="G286" s="33"/>
      <c r="H286" s="33"/>
      <c r="I286" s="33"/>
      <c r="J286" s="33"/>
      <c r="K286" s="187" t="s">
        <v>24</v>
      </c>
      <c r="L286" s="33"/>
      <c r="M286" s="33"/>
      <c r="N286" s="33"/>
      <c r="O286" s="271"/>
      <c r="P286" s="271"/>
      <c r="Q286" s="271"/>
      <c r="R286" s="186">
        <f t="shared" ref="R286:W286" si="17" xml:space="preserve"> SUM( R282:R285 )</f>
        <v>0</v>
      </c>
      <c r="S286" s="186">
        <f t="shared" si="17"/>
        <v>0</v>
      </c>
      <c r="T286" s="186">
        <f t="shared" si="17"/>
        <v>0</v>
      </c>
      <c r="U286" s="186">
        <f t="shared" si="17"/>
        <v>0</v>
      </c>
      <c r="V286" s="186">
        <f t="shared" si="17"/>
        <v>0</v>
      </c>
      <c r="W286" s="186">
        <f t="shared" si="17"/>
        <v>0</v>
      </c>
    </row>
    <row r="287" spans="4:23" ht="15" customHeight="1">
      <c r="D287" s="124"/>
      <c r="F287" s="107"/>
      <c r="G287" s="107"/>
      <c r="H287" s="107"/>
      <c r="I287" s="107"/>
      <c r="J287" s="107"/>
      <c r="K287" s="87"/>
      <c r="L287" s="85"/>
      <c r="M287" s="85"/>
      <c r="N287" s="86"/>
      <c r="O287" s="86"/>
      <c r="P287" s="86"/>
      <c r="Q287" s="86"/>
      <c r="R287" s="121"/>
      <c r="S287" s="121"/>
      <c r="T287" s="121"/>
      <c r="U287" s="121"/>
      <c r="V287" s="121"/>
    </row>
    <row r="288" spans="4:23" ht="15" customHeight="1">
      <c r="D288" s="209" t="s">
        <v>234</v>
      </c>
      <c r="F288" s="107"/>
      <c r="G288" s="107"/>
      <c r="H288" s="107"/>
      <c r="I288" s="107"/>
      <c r="J288" s="107"/>
      <c r="K288" s="87"/>
      <c r="L288" s="85"/>
      <c r="M288" s="85"/>
      <c r="N288" s="86"/>
      <c r="O288" s="86"/>
      <c r="P288" s="86"/>
      <c r="Q288" s="86"/>
      <c r="R288" s="121"/>
      <c r="S288" s="121"/>
      <c r="T288" s="121"/>
      <c r="U288" s="121"/>
      <c r="V288" s="121"/>
      <c r="W288" s="89" t="s">
        <v>16</v>
      </c>
    </row>
    <row r="289" spans="4:23" ht="15" customHeight="1">
      <c r="D289" s="123" t="s">
        <v>186</v>
      </c>
      <c r="E289" s="15"/>
      <c r="F289" s="116"/>
      <c r="G289" s="116"/>
      <c r="H289" s="116"/>
      <c r="I289" s="116"/>
      <c r="J289" s="116"/>
      <c r="K289" s="117" t="s">
        <v>24</v>
      </c>
      <c r="L289" s="123">
        <f xml:space="preserve"> -- ( ROUND( W289, 5 ) &lt;&gt; ROUND( W170, 5 ) )</f>
        <v>0</v>
      </c>
      <c r="M289" s="123"/>
      <c r="N289" s="155"/>
      <c r="O289" s="404"/>
      <c r="P289" s="404"/>
      <c r="Q289" s="404"/>
      <c r="R289" s="15">
        <f t="shared" ref="R289:V292" si="18" xml:space="preserve"> R268 + R275 + R282</f>
        <v>0</v>
      </c>
      <c r="S289" s="15">
        <f t="shared" si="18"/>
        <v>0</v>
      </c>
      <c r="T289" s="15">
        <f t="shared" si="18"/>
        <v>0</v>
      </c>
      <c r="U289" s="15">
        <f t="shared" si="18"/>
        <v>0</v>
      </c>
      <c r="V289" s="15">
        <f t="shared" si="18"/>
        <v>0</v>
      </c>
      <c r="W289" s="18">
        <f xml:space="preserve"> SUM( R289:V289 )</f>
        <v>0</v>
      </c>
    </row>
    <row r="290" spans="4:23" ht="15" customHeight="1">
      <c r="D290" s="124" t="s">
        <v>187</v>
      </c>
      <c r="F290" s="107"/>
      <c r="G290" s="107"/>
      <c r="H290" s="107"/>
      <c r="I290" s="107"/>
      <c r="J290" s="107"/>
      <c r="K290" s="87" t="s">
        <v>24</v>
      </c>
      <c r="L290" s="85">
        <f xml:space="preserve"> -- ( ROUND( W290, 5 ) &lt;&gt; ROUND( W197, 5 ) )</f>
        <v>0</v>
      </c>
      <c r="M290" s="85"/>
      <c r="N290" s="86"/>
      <c r="O290" s="405"/>
      <c r="P290" s="405"/>
      <c r="Q290" s="405"/>
      <c r="R290" s="1">
        <f t="shared" si="18"/>
        <v>0</v>
      </c>
      <c r="S290" s="1">
        <f t="shared" si="18"/>
        <v>0</v>
      </c>
      <c r="T290" s="1">
        <f t="shared" si="18"/>
        <v>0</v>
      </c>
      <c r="U290" s="1">
        <f t="shared" si="18"/>
        <v>0</v>
      </c>
      <c r="V290" s="1">
        <f t="shared" si="18"/>
        <v>0</v>
      </c>
      <c r="W290" s="4">
        <f xml:space="preserve"> SUM( R290:V290 )</f>
        <v>0</v>
      </c>
    </row>
    <row r="291" spans="4:23" ht="15" customHeight="1">
      <c r="D291" s="124" t="s">
        <v>188</v>
      </c>
      <c r="F291" s="107"/>
      <c r="G291" s="107"/>
      <c r="H291" s="107"/>
      <c r="I291" s="107"/>
      <c r="J291" s="107"/>
      <c r="K291" s="87" t="s">
        <v>24</v>
      </c>
      <c r="L291" s="85">
        <f xml:space="preserve"> -- ( ROUND( W291, 5 ) &lt;&gt; ROUND( W224, 5 ) )</f>
        <v>0</v>
      </c>
      <c r="M291" s="85"/>
      <c r="N291" s="86"/>
      <c r="O291" s="405"/>
      <c r="P291" s="405"/>
      <c r="Q291" s="405"/>
      <c r="R291" s="1">
        <f t="shared" si="18"/>
        <v>0</v>
      </c>
      <c r="S291" s="1">
        <f t="shared" si="18"/>
        <v>0</v>
      </c>
      <c r="T291" s="1">
        <f t="shared" si="18"/>
        <v>0</v>
      </c>
      <c r="U291" s="1">
        <f t="shared" si="18"/>
        <v>0</v>
      </c>
      <c r="V291" s="1">
        <f t="shared" si="18"/>
        <v>0</v>
      </c>
      <c r="W291" s="4">
        <f xml:space="preserve"> SUM( R291:V291 )</f>
        <v>0</v>
      </c>
    </row>
    <row r="292" spans="4:23" ht="15" customHeight="1">
      <c r="D292" s="125" t="s">
        <v>189</v>
      </c>
      <c r="E292" s="27"/>
      <c r="F292" s="115"/>
      <c r="G292" s="115"/>
      <c r="H292" s="115"/>
      <c r="I292" s="115"/>
      <c r="J292" s="115"/>
      <c r="K292" s="98" t="s">
        <v>24</v>
      </c>
      <c r="L292" s="99">
        <f xml:space="preserve"> -- ( ROUND( W292, 5 ) &lt;&gt; ROUND( W251, 5 ) )</f>
        <v>0</v>
      </c>
      <c r="M292" s="99"/>
      <c r="N292" s="156"/>
      <c r="O292" s="406"/>
      <c r="P292" s="406"/>
      <c r="Q292" s="406"/>
      <c r="R292" s="27">
        <f t="shared" si="18"/>
        <v>0</v>
      </c>
      <c r="S292" s="27">
        <f t="shared" si="18"/>
        <v>0</v>
      </c>
      <c r="T292" s="27">
        <f t="shared" si="18"/>
        <v>0</v>
      </c>
      <c r="U292" s="27">
        <f t="shared" si="18"/>
        <v>0</v>
      </c>
      <c r="V292" s="27">
        <f t="shared" si="18"/>
        <v>0</v>
      </c>
      <c r="W292" s="35">
        <f xml:space="preserve"> SUM( R292:V292 )</f>
        <v>0</v>
      </c>
    </row>
    <row r="293" spans="4:23" ht="15" customHeight="1">
      <c r="D293" s="209"/>
      <c r="F293" s="107"/>
      <c r="G293" s="107"/>
      <c r="H293" s="107"/>
      <c r="I293" s="107"/>
      <c r="J293" s="107"/>
      <c r="K293" s="87"/>
      <c r="L293" s="85"/>
      <c r="M293" s="85"/>
      <c r="N293" s="86"/>
      <c r="O293" s="86"/>
      <c r="P293" s="86"/>
      <c r="Q293" s="86"/>
      <c r="R293" s="121"/>
      <c r="S293" s="121"/>
      <c r="T293" s="121"/>
      <c r="U293" s="121"/>
      <c r="V293" s="121"/>
    </row>
    <row r="294" spans="4:23" ht="15" customHeight="1">
      <c r="D294" s="209" t="s">
        <v>202</v>
      </c>
      <c r="F294" s="107"/>
      <c r="G294" s="107"/>
      <c r="H294" s="107"/>
      <c r="I294" s="107"/>
      <c r="J294" s="107"/>
      <c r="K294" s="87"/>
      <c r="L294" s="85"/>
      <c r="M294" s="85"/>
      <c r="N294" s="86"/>
      <c r="O294" s="86"/>
      <c r="P294" s="86"/>
      <c r="Q294" s="86"/>
      <c r="R294" s="121"/>
      <c r="S294" s="121"/>
      <c r="T294" s="121"/>
      <c r="U294" s="121"/>
      <c r="V294" s="121"/>
    </row>
    <row r="295" spans="4:23" ht="15" customHeight="1">
      <c r="D295" s="122" t="s">
        <v>182</v>
      </c>
      <c r="E295" s="15"/>
      <c r="F295" s="116"/>
      <c r="G295" s="116"/>
      <c r="H295" s="116"/>
      <c r="I295" s="116"/>
      <c r="J295" s="116"/>
      <c r="K295" s="117" t="s">
        <v>24</v>
      </c>
      <c r="L295" s="123"/>
      <c r="M295" s="123"/>
      <c r="N295" s="155"/>
      <c r="O295" s="404"/>
      <c r="P295" s="404"/>
      <c r="Q295" s="404"/>
      <c r="R295" s="15">
        <f xml:space="preserve"> R268 + R270</f>
        <v>0</v>
      </c>
      <c r="S295" s="15">
        <f xml:space="preserve"> S268 + S270</f>
        <v>0</v>
      </c>
      <c r="T295" s="15">
        <f xml:space="preserve"> T268 + T270</f>
        <v>0</v>
      </c>
      <c r="U295" s="15">
        <f xml:space="preserve"> U268 + U270</f>
        <v>0</v>
      </c>
      <c r="V295" s="15">
        <f xml:space="preserve"> V268 + V270</f>
        <v>0</v>
      </c>
      <c r="W295" s="15"/>
    </row>
    <row r="296" spans="4:23" ht="15" customHeight="1">
      <c r="D296" s="124" t="s">
        <v>184</v>
      </c>
      <c r="F296" s="107"/>
      <c r="G296" s="107"/>
      <c r="H296" s="107"/>
      <c r="I296" s="107"/>
      <c r="J296" s="107"/>
      <c r="K296" s="87" t="s">
        <v>24</v>
      </c>
      <c r="L296" s="85"/>
      <c r="M296" s="85"/>
      <c r="N296" s="86"/>
      <c r="O296" s="405"/>
      <c r="P296" s="405"/>
      <c r="Q296" s="405"/>
      <c r="R296" s="1">
        <f xml:space="preserve"> R275 + R277</f>
        <v>0</v>
      </c>
      <c r="S296" s="1">
        <f xml:space="preserve"> S275 + S277</f>
        <v>0</v>
      </c>
      <c r="T296" s="1">
        <f xml:space="preserve"> T275 + T277</f>
        <v>0</v>
      </c>
      <c r="U296" s="1">
        <f xml:space="preserve"> U275 + U277</f>
        <v>0</v>
      </c>
      <c r="V296" s="1">
        <f xml:space="preserve"> V275 + V277</f>
        <v>0</v>
      </c>
    </row>
    <row r="297" spans="4:23" ht="15" customHeight="1">
      <c r="D297" s="125" t="s">
        <v>185</v>
      </c>
      <c r="E297" s="27"/>
      <c r="F297" s="115"/>
      <c r="G297" s="115"/>
      <c r="H297" s="115"/>
      <c r="I297" s="115"/>
      <c r="J297" s="115"/>
      <c r="K297" s="98" t="s">
        <v>24</v>
      </c>
      <c r="L297" s="99"/>
      <c r="M297" s="99"/>
      <c r="N297" s="156"/>
      <c r="O297" s="406"/>
      <c r="P297" s="406"/>
      <c r="Q297" s="406"/>
      <c r="R297" s="27">
        <f xml:space="preserve"> R282 + R284</f>
        <v>0</v>
      </c>
      <c r="S297" s="27">
        <f xml:space="preserve"> S282 + S284</f>
        <v>0</v>
      </c>
      <c r="T297" s="27">
        <f xml:space="preserve"> T282 + T284</f>
        <v>0</v>
      </c>
      <c r="U297" s="27">
        <f xml:space="preserve"> U282 + U284</f>
        <v>0</v>
      </c>
      <c r="V297" s="27">
        <f xml:space="preserve"> V282 + V284</f>
        <v>0</v>
      </c>
      <c r="W297" s="27"/>
    </row>
    <row r="298" spans="4:23" ht="15" customHeight="1">
      <c r="D298" s="188" t="s">
        <v>16</v>
      </c>
      <c r="E298" s="33"/>
      <c r="F298" s="120"/>
      <c r="G298" s="120"/>
      <c r="H298" s="120"/>
      <c r="I298" s="120"/>
      <c r="J298" s="120"/>
      <c r="K298" s="106" t="s">
        <v>24</v>
      </c>
      <c r="L298" s="90">
        <f xml:space="preserve"> -- ( ROUND( SUM( R298:V298 ), 5 ) &lt;&gt; ROUND( ( W289 + W291 ), 5 ) )</f>
        <v>0</v>
      </c>
      <c r="M298" s="105"/>
      <c r="N298" s="120"/>
      <c r="O298" s="371"/>
      <c r="P298" s="371"/>
      <c r="Q298" s="371"/>
      <c r="R298" s="186">
        <f xml:space="preserve"> SUM( R295:R297 )</f>
        <v>0</v>
      </c>
      <c r="S298" s="186">
        <f xml:space="preserve"> SUM( S295:S297 )</f>
        <v>0</v>
      </c>
      <c r="T298" s="186">
        <f xml:space="preserve"> SUM( T295:T297 )</f>
        <v>0</v>
      </c>
      <c r="U298" s="186">
        <f xml:space="preserve"> SUM( U295:U297 )</f>
        <v>0</v>
      </c>
      <c r="V298" s="186">
        <f xml:space="preserve"> SUM( V295:V297 )</f>
        <v>0</v>
      </c>
      <c r="W298" s="33"/>
    </row>
    <row r="299" spans="4:23" ht="15" customHeight="1">
      <c r="D299" s="124"/>
      <c r="F299" s="107"/>
      <c r="G299" s="107"/>
      <c r="H299" s="107"/>
      <c r="I299" s="107"/>
      <c r="J299" s="107"/>
      <c r="K299" s="87"/>
      <c r="L299" s="85"/>
      <c r="M299" s="85"/>
      <c r="N299" s="86"/>
      <c r="O299" s="86"/>
      <c r="P299" s="86"/>
      <c r="Q299" s="86"/>
      <c r="R299" s="121"/>
      <c r="S299" s="121"/>
      <c r="T299" s="121"/>
      <c r="U299" s="121"/>
      <c r="V299" s="121"/>
    </row>
    <row r="300" spans="4:23" ht="15" customHeight="1">
      <c r="D300" s="209" t="s">
        <v>203</v>
      </c>
      <c r="F300" s="107"/>
      <c r="G300" s="107"/>
      <c r="H300" s="107"/>
      <c r="I300" s="107"/>
      <c r="J300" s="107"/>
      <c r="K300" s="87"/>
      <c r="L300" s="85"/>
      <c r="M300" s="85"/>
      <c r="N300" s="86"/>
      <c r="O300" s="86"/>
      <c r="P300" s="86"/>
      <c r="Q300" s="86"/>
      <c r="R300" s="121"/>
      <c r="S300" s="121"/>
      <c r="T300" s="121"/>
      <c r="U300" s="121"/>
      <c r="V300" s="121"/>
    </row>
    <row r="301" spans="4:23" ht="15" customHeight="1">
      <c r="D301" s="122" t="s">
        <v>182</v>
      </c>
      <c r="E301" s="15"/>
      <c r="F301" s="116"/>
      <c r="G301" s="116"/>
      <c r="H301" s="116"/>
      <c r="I301" s="116"/>
      <c r="J301" s="116"/>
      <c r="K301" s="117" t="s">
        <v>24</v>
      </c>
      <c r="L301" s="123"/>
      <c r="M301" s="123"/>
      <c r="N301" s="155"/>
      <c r="O301" s="404"/>
      <c r="P301" s="404"/>
      <c r="Q301" s="404"/>
      <c r="R301" s="15">
        <f xml:space="preserve"> R269 + R271</f>
        <v>0</v>
      </c>
      <c r="S301" s="15">
        <f xml:space="preserve"> S269 + S271</f>
        <v>0</v>
      </c>
      <c r="T301" s="15">
        <f xml:space="preserve"> T269 + T271</f>
        <v>0</v>
      </c>
      <c r="U301" s="15">
        <f xml:space="preserve"> U269 + U271</f>
        <v>0</v>
      </c>
      <c r="V301" s="15">
        <f xml:space="preserve"> V269 + V271</f>
        <v>0</v>
      </c>
      <c r="W301" s="15"/>
    </row>
    <row r="302" spans="4:23" ht="15" customHeight="1">
      <c r="D302" s="124" t="s">
        <v>184</v>
      </c>
      <c r="F302" s="107"/>
      <c r="G302" s="107"/>
      <c r="H302" s="107"/>
      <c r="I302" s="107"/>
      <c r="J302" s="107"/>
      <c r="K302" s="87" t="s">
        <v>24</v>
      </c>
      <c r="L302" s="85"/>
      <c r="M302" s="85"/>
      <c r="N302" s="86"/>
      <c r="O302" s="405"/>
      <c r="P302" s="405"/>
      <c r="Q302" s="405"/>
      <c r="R302" s="1">
        <f xml:space="preserve"> R276 + R278</f>
        <v>0</v>
      </c>
      <c r="S302" s="1">
        <f xml:space="preserve"> S276 + S278</f>
        <v>0</v>
      </c>
      <c r="T302" s="1">
        <f xml:space="preserve"> T276 + T278</f>
        <v>0</v>
      </c>
      <c r="U302" s="1">
        <f xml:space="preserve"> U276 + U278</f>
        <v>0</v>
      </c>
      <c r="V302" s="1">
        <f xml:space="preserve"> V276 + V278</f>
        <v>0</v>
      </c>
    </row>
    <row r="303" spans="4:23" ht="15" customHeight="1">
      <c r="D303" s="125" t="s">
        <v>185</v>
      </c>
      <c r="E303" s="27"/>
      <c r="F303" s="115"/>
      <c r="G303" s="115"/>
      <c r="H303" s="115"/>
      <c r="I303" s="115"/>
      <c r="J303" s="115"/>
      <c r="K303" s="98" t="s">
        <v>24</v>
      </c>
      <c r="L303" s="99"/>
      <c r="M303" s="99"/>
      <c r="N303" s="156"/>
      <c r="O303" s="406"/>
      <c r="P303" s="406"/>
      <c r="Q303" s="406"/>
      <c r="R303" s="27">
        <f xml:space="preserve"> R283 + R285</f>
        <v>0</v>
      </c>
      <c r="S303" s="27">
        <f xml:space="preserve"> S283 + S285</f>
        <v>0</v>
      </c>
      <c r="T303" s="27">
        <f xml:space="preserve"> T283 + T285</f>
        <v>0</v>
      </c>
      <c r="U303" s="27">
        <f xml:space="preserve"> U283 + U285</f>
        <v>0</v>
      </c>
      <c r="V303" s="27">
        <f xml:space="preserve"> V283 + V285</f>
        <v>0</v>
      </c>
      <c r="W303" s="27"/>
    </row>
    <row r="304" spans="4:23" ht="15" customHeight="1">
      <c r="D304" s="188" t="s">
        <v>16</v>
      </c>
      <c r="E304" s="33"/>
      <c r="F304" s="120"/>
      <c r="G304" s="120"/>
      <c r="H304" s="120"/>
      <c r="I304" s="120"/>
      <c r="J304" s="120"/>
      <c r="K304" s="106" t="s">
        <v>24</v>
      </c>
      <c r="L304" s="90">
        <f xml:space="preserve"> -- ( ROUND( SUM( R304:V304 ), 5 ) &lt;&gt; ROUND( ( W290 + W292 ), 5 ) )</f>
        <v>0</v>
      </c>
      <c r="M304" s="105"/>
      <c r="N304" s="120"/>
      <c r="O304" s="371"/>
      <c r="P304" s="371"/>
      <c r="Q304" s="371"/>
      <c r="R304" s="186">
        <f xml:space="preserve"> SUM( R301:R303 )</f>
        <v>0</v>
      </c>
      <c r="S304" s="186">
        <f xml:space="preserve"> SUM( S301:S303 )</f>
        <v>0</v>
      </c>
      <c r="T304" s="186">
        <f xml:space="preserve"> SUM( T301:T303 )</f>
        <v>0</v>
      </c>
      <c r="U304" s="186">
        <f xml:space="preserve"> SUM( U301:U303 )</f>
        <v>0</v>
      </c>
      <c r="V304" s="186">
        <f xml:space="preserve"> SUM( V301:V303 )</f>
        <v>0</v>
      </c>
      <c r="W304" s="33"/>
    </row>
    <row r="305" spans="2:23" ht="15" customHeight="1">
      <c r="D305" s="124"/>
      <c r="F305" s="107"/>
      <c r="G305" s="107"/>
      <c r="H305" s="107"/>
      <c r="I305" s="107"/>
      <c r="J305" s="107"/>
      <c r="K305" s="87"/>
      <c r="L305" s="85"/>
      <c r="M305" s="85"/>
      <c r="N305" s="86"/>
      <c r="O305" s="86"/>
      <c r="P305" s="86"/>
      <c r="Q305" s="86"/>
      <c r="R305" s="121"/>
      <c r="S305" s="121"/>
      <c r="T305" s="121"/>
      <c r="U305" s="121"/>
      <c r="V305" s="121"/>
    </row>
    <row r="306" spans="2:23" ht="15" customHeight="1">
      <c r="D306" s="88" t="s">
        <v>204</v>
      </c>
      <c r="F306" s="107"/>
      <c r="G306" s="107"/>
      <c r="H306" s="107"/>
      <c r="I306" s="107"/>
      <c r="J306" s="107"/>
      <c r="K306" s="87"/>
      <c r="L306" s="85"/>
      <c r="M306" s="85"/>
      <c r="N306" s="107"/>
      <c r="O306" s="107"/>
      <c r="P306" s="107"/>
      <c r="Q306" s="107"/>
      <c r="W306" s="89" t="s">
        <v>16</v>
      </c>
    </row>
    <row r="307" spans="2:23" ht="15" customHeight="1">
      <c r="D307" s="122" t="s">
        <v>182</v>
      </c>
      <c r="E307" s="15"/>
      <c r="F307" s="116"/>
      <c r="G307" s="116"/>
      <c r="H307" s="116"/>
      <c r="I307" s="116"/>
      <c r="J307" s="116"/>
      <c r="K307" s="117" t="str">
        <f xml:space="preserve"> Model.Units</f>
        <v>DKKt</v>
      </c>
      <c r="L307" s="123"/>
      <c r="M307" s="123"/>
      <c r="N307" s="116"/>
      <c r="O307" s="369"/>
      <c r="P307" s="369"/>
      <c r="Q307" s="369"/>
      <c r="R307" s="15">
        <f t="shared" ref="R307:V309" si="19" xml:space="preserve"> R258 * R295 / ( tDKKtiløre )</f>
        <v>0</v>
      </c>
      <c r="S307" s="15">
        <f t="shared" si="19"/>
        <v>0</v>
      </c>
      <c r="T307" s="15">
        <f t="shared" si="19"/>
        <v>0</v>
      </c>
      <c r="U307" s="15">
        <f t="shared" si="19"/>
        <v>0</v>
      </c>
      <c r="V307" s="15">
        <f t="shared" si="19"/>
        <v>0</v>
      </c>
      <c r="W307" s="18">
        <f xml:space="preserve"> SUM( R307:V307 )</f>
        <v>0</v>
      </c>
    </row>
    <row r="308" spans="2:23" ht="15" customHeight="1">
      <c r="D308" s="124" t="s">
        <v>207</v>
      </c>
      <c r="F308" s="107"/>
      <c r="G308" s="107"/>
      <c r="H308" s="107"/>
      <c r="I308" s="107"/>
      <c r="J308" s="107"/>
      <c r="K308" s="87" t="str">
        <f xml:space="preserve"> Model.Units</f>
        <v>DKKt</v>
      </c>
      <c r="L308" s="85"/>
      <c r="M308" s="85"/>
      <c r="N308" s="107"/>
      <c r="O308" s="370"/>
      <c r="P308" s="370"/>
      <c r="Q308" s="370"/>
      <c r="R308" s="1">
        <f t="shared" si="19"/>
        <v>0</v>
      </c>
      <c r="S308" s="1">
        <f t="shared" si="19"/>
        <v>0</v>
      </c>
      <c r="T308" s="1">
        <f t="shared" si="19"/>
        <v>0</v>
      </c>
      <c r="U308" s="1">
        <f t="shared" si="19"/>
        <v>0</v>
      </c>
      <c r="V308" s="1">
        <f t="shared" si="19"/>
        <v>0</v>
      </c>
      <c r="W308" s="4">
        <f xml:space="preserve"> SUM( R308:V308 )</f>
        <v>0</v>
      </c>
    </row>
    <row r="309" spans="2:23" ht="15" customHeight="1">
      <c r="D309" s="124" t="s">
        <v>212</v>
      </c>
      <c r="F309" s="107"/>
      <c r="G309" s="107"/>
      <c r="H309" s="107"/>
      <c r="I309" s="107"/>
      <c r="J309" s="107"/>
      <c r="K309" s="87" t="str">
        <f xml:space="preserve"> Model.Units</f>
        <v>DKKt</v>
      </c>
      <c r="L309" s="85"/>
      <c r="M309" s="85"/>
      <c r="N309" s="107"/>
      <c r="O309" s="370"/>
      <c r="P309" s="370"/>
      <c r="Q309" s="370"/>
      <c r="R309" s="27">
        <f t="shared" si="19"/>
        <v>0</v>
      </c>
      <c r="S309" s="27">
        <f t="shared" si="19"/>
        <v>0</v>
      </c>
      <c r="T309" s="27">
        <f t="shared" si="19"/>
        <v>0</v>
      </c>
      <c r="U309" s="27">
        <f t="shared" si="19"/>
        <v>0</v>
      </c>
      <c r="V309" s="27">
        <f t="shared" si="19"/>
        <v>0</v>
      </c>
      <c r="W309" s="35">
        <f xml:space="preserve"> SUM( R309:V309 )</f>
        <v>0</v>
      </c>
    </row>
    <row r="310" spans="2:23" ht="15" customHeight="1">
      <c r="D310" s="186" t="s">
        <v>16</v>
      </c>
      <c r="E310" s="33"/>
      <c r="F310" s="33"/>
      <c r="G310" s="33"/>
      <c r="H310" s="33"/>
      <c r="I310" s="33"/>
      <c r="J310" s="33"/>
      <c r="K310" s="187" t="str">
        <f xml:space="preserve"> Model.Units</f>
        <v>DKKt</v>
      </c>
      <c r="L310" s="33"/>
      <c r="M310" s="33"/>
      <c r="N310" s="33"/>
      <c r="O310" s="271"/>
      <c r="P310" s="271"/>
      <c r="Q310" s="271"/>
      <c r="R310" s="35">
        <f t="shared" ref="R310:W310" si="20" xml:space="preserve"> SUM( R307:R309 )</f>
        <v>0</v>
      </c>
      <c r="S310" s="35">
        <f t="shared" si="20"/>
        <v>0</v>
      </c>
      <c r="T310" s="35">
        <f t="shared" si="20"/>
        <v>0</v>
      </c>
      <c r="U310" s="35">
        <f t="shared" si="20"/>
        <v>0</v>
      </c>
      <c r="V310" s="35">
        <f t="shared" si="20"/>
        <v>0</v>
      </c>
      <c r="W310" s="35">
        <f t="shared" si="20"/>
        <v>0</v>
      </c>
    </row>
    <row r="312" spans="2:23" ht="15" customHeight="1">
      <c r="D312" s="88" t="s">
        <v>205</v>
      </c>
      <c r="F312" s="107"/>
      <c r="G312" s="107"/>
      <c r="H312" s="107"/>
      <c r="I312" s="107"/>
      <c r="J312" s="107"/>
      <c r="K312" s="87"/>
      <c r="L312" s="85"/>
      <c r="M312" s="85"/>
      <c r="N312" s="107"/>
      <c r="O312" s="107"/>
      <c r="P312" s="107"/>
      <c r="Q312" s="107"/>
      <c r="W312" s="89" t="s">
        <v>16</v>
      </c>
    </row>
    <row r="313" spans="2:23" ht="15" customHeight="1">
      <c r="D313" s="122" t="s">
        <v>182</v>
      </c>
      <c r="E313" s="15"/>
      <c r="F313" s="116"/>
      <c r="G313" s="116"/>
      <c r="H313" s="116"/>
      <c r="I313" s="116"/>
      <c r="J313" s="116"/>
      <c r="K313" s="117" t="str">
        <f xml:space="preserve"> Model.Units</f>
        <v>DKKt</v>
      </c>
      <c r="L313" s="123"/>
      <c r="M313" s="123"/>
      <c r="N313" s="116"/>
      <c r="O313" s="369"/>
      <c r="P313" s="369"/>
      <c r="Q313" s="369"/>
      <c r="R313" s="15">
        <f t="shared" ref="R313:V315" si="21" xml:space="preserve"> R263 * R301 / ( tDKKtiløre )</f>
        <v>0</v>
      </c>
      <c r="S313" s="15">
        <f t="shared" si="21"/>
        <v>0</v>
      </c>
      <c r="T313" s="15">
        <f t="shared" si="21"/>
        <v>0</v>
      </c>
      <c r="U313" s="15">
        <f t="shared" si="21"/>
        <v>0</v>
      </c>
      <c r="V313" s="15">
        <f t="shared" si="21"/>
        <v>0</v>
      </c>
      <c r="W313" s="18">
        <f xml:space="preserve"> SUM( R313:V313 )</f>
        <v>0</v>
      </c>
    </row>
    <row r="314" spans="2:23" ht="15" customHeight="1">
      <c r="D314" s="124" t="s">
        <v>207</v>
      </c>
      <c r="F314" s="107"/>
      <c r="G314" s="107"/>
      <c r="H314" s="107"/>
      <c r="I314" s="107"/>
      <c r="J314" s="107"/>
      <c r="K314" s="87" t="str">
        <f xml:space="preserve"> Model.Units</f>
        <v>DKKt</v>
      </c>
      <c r="L314" s="85"/>
      <c r="M314" s="85"/>
      <c r="N314" s="107"/>
      <c r="O314" s="370"/>
      <c r="P314" s="370"/>
      <c r="Q314" s="370"/>
      <c r="R314" s="1">
        <f t="shared" si="21"/>
        <v>0</v>
      </c>
      <c r="S314" s="1">
        <f t="shared" si="21"/>
        <v>0</v>
      </c>
      <c r="T314" s="1">
        <f t="shared" si="21"/>
        <v>0</v>
      </c>
      <c r="U314" s="1">
        <f t="shared" si="21"/>
        <v>0</v>
      </c>
      <c r="V314" s="1">
        <f t="shared" si="21"/>
        <v>0</v>
      </c>
      <c r="W314" s="4">
        <f xml:space="preserve"> SUM( R314:V314 )</f>
        <v>0</v>
      </c>
    </row>
    <row r="315" spans="2:23" ht="15" customHeight="1">
      <c r="D315" s="124" t="s">
        <v>185</v>
      </c>
      <c r="F315" s="107"/>
      <c r="G315" s="107"/>
      <c r="H315" s="107"/>
      <c r="I315" s="107"/>
      <c r="J315" s="107"/>
      <c r="K315" s="87" t="str">
        <f xml:space="preserve"> Model.Units</f>
        <v>DKKt</v>
      </c>
      <c r="L315" s="85"/>
      <c r="M315" s="85"/>
      <c r="N315" s="107"/>
      <c r="O315" s="370"/>
      <c r="P315" s="370"/>
      <c r="Q315" s="370"/>
      <c r="R315" s="27">
        <f t="shared" si="21"/>
        <v>0</v>
      </c>
      <c r="S315" s="27">
        <f t="shared" si="21"/>
        <v>0</v>
      </c>
      <c r="T315" s="27">
        <f t="shared" si="21"/>
        <v>0</v>
      </c>
      <c r="U315" s="27">
        <f t="shared" si="21"/>
        <v>0</v>
      </c>
      <c r="V315" s="27">
        <f t="shared" si="21"/>
        <v>0</v>
      </c>
      <c r="W315" s="4">
        <f xml:space="preserve"> SUM( R315:V315 )</f>
        <v>0</v>
      </c>
    </row>
    <row r="316" spans="2:23" ht="15" customHeight="1">
      <c r="D316" s="186" t="s">
        <v>16</v>
      </c>
      <c r="E316" s="33"/>
      <c r="F316" s="33"/>
      <c r="G316" s="33"/>
      <c r="H316" s="33"/>
      <c r="I316" s="33"/>
      <c r="J316" s="33"/>
      <c r="K316" s="187" t="str">
        <f xml:space="preserve"> Model.Units</f>
        <v>DKKt</v>
      </c>
      <c r="L316" s="33"/>
      <c r="M316" s="33"/>
      <c r="N316" s="33"/>
      <c r="O316" s="271"/>
      <c r="P316" s="271"/>
      <c r="Q316" s="271"/>
      <c r="R316" s="35">
        <f t="shared" ref="R316:W316" si="22" xml:space="preserve"> SUM( R313:R315 )</f>
        <v>0</v>
      </c>
      <c r="S316" s="35">
        <f t="shared" si="22"/>
        <v>0</v>
      </c>
      <c r="T316" s="35">
        <f t="shared" si="22"/>
        <v>0</v>
      </c>
      <c r="U316" s="35">
        <f t="shared" si="22"/>
        <v>0</v>
      </c>
      <c r="V316" s="35">
        <f t="shared" si="22"/>
        <v>0</v>
      </c>
      <c r="W316" s="186">
        <f t="shared" si="22"/>
        <v>0</v>
      </c>
    </row>
    <row r="320" spans="2:23" s="475" customFormat="1" ht="15" customHeight="1">
      <c r="B320" s="479" t="str">
        <f xml:space="preserve"> COUNTA(B$10:B315) &amp; ") Tidsdifferentieret tarif - tarifresidual og skalering af tariffer"</f>
        <v>5) Tidsdifferentieret tarif - tarifresidual og skalering af tariffer</v>
      </c>
      <c r="C320" s="477"/>
      <c r="D320" s="478"/>
      <c r="K320" s="472"/>
    </row>
    <row r="322" spans="4:23" ht="15" customHeight="1">
      <c r="D322" s="35" t="s">
        <v>127</v>
      </c>
      <c r="E322" s="27"/>
      <c r="F322" s="27"/>
      <c r="G322" s="27"/>
      <c r="H322" s="27"/>
      <c r="I322" s="27"/>
      <c r="J322" s="27"/>
      <c r="K322" s="32"/>
      <c r="L322" s="27"/>
      <c r="M322" s="27"/>
      <c r="N322" s="27"/>
      <c r="O322" s="27"/>
      <c r="P322" s="27"/>
      <c r="Q322" s="27"/>
      <c r="R322" s="27"/>
      <c r="S322" s="27"/>
      <c r="T322" s="27"/>
      <c r="U322" s="27"/>
      <c r="V322" s="27"/>
      <c r="W322" s="27"/>
    </row>
    <row r="323" spans="4:23" ht="15" customHeight="1">
      <c r="D323" s="15" t="s">
        <v>128</v>
      </c>
      <c r="E323" s="15"/>
      <c r="F323" s="15"/>
      <c r="G323" s="15"/>
      <c r="H323" s="15"/>
      <c r="I323" s="15"/>
      <c r="J323" s="15"/>
      <c r="K323" s="5" t="str">
        <f xml:space="preserve"> Model.Units</f>
        <v>DKKt</v>
      </c>
      <c r="L323" s="15"/>
      <c r="M323" s="15"/>
      <c r="N323" s="210"/>
      <c r="O323" s="407"/>
      <c r="P323" s="407"/>
      <c r="Q323" s="407"/>
      <c r="R323" s="193">
        <f xml:space="preserve"> R310 + R316</f>
        <v>0</v>
      </c>
      <c r="S323" s="193">
        <f xml:space="preserve"> S310 + S316</f>
        <v>0</v>
      </c>
      <c r="T323" s="193">
        <f xml:space="preserve"> T310 + T316</f>
        <v>0</v>
      </c>
      <c r="U323" s="193">
        <f xml:space="preserve"> U310 + U316</f>
        <v>0</v>
      </c>
      <c r="V323" s="193">
        <f xml:space="preserve"> V310 + V316</f>
        <v>0</v>
      </c>
      <c r="W323" s="15"/>
    </row>
    <row r="324" spans="4:23" ht="15" customHeight="1">
      <c r="D324" s="27" t="s">
        <v>190</v>
      </c>
      <c r="E324" s="27"/>
      <c r="F324" s="27"/>
      <c r="G324" s="27"/>
      <c r="H324" s="27"/>
      <c r="I324" s="27"/>
      <c r="J324" s="27"/>
      <c r="K324" s="5" t="str">
        <f xml:space="preserve"> Model.Units</f>
        <v>DKKt</v>
      </c>
      <c r="L324" s="27"/>
      <c r="M324" s="27"/>
      <c r="N324" s="211"/>
      <c r="O324" s="408"/>
      <c r="P324" s="408"/>
      <c r="Q324" s="408"/>
      <c r="R324" s="27">
        <f xml:space="preserve"> R19</f>
        <v>0</v>
      </c>
      <c r="S324" s="27">
        <f xml:space="preserve"> S19</f>
        <v>0</v>
      </c>
      <c r="T324" s="27">
        <f xml:space="preserve"> T19</f>
        <v>0</v>
      </c>
      <c r="U324" s="27">
        <f xml:space="preserve"> U19</f>
        <v>0</v>
      </c>
      <c r="V324" s="27">
        <f xml:space="preserve"> V19</f>
        <v>0</v>
      </c>
      <c r="W324" s="212"/>
    </row>
    <row r="325" spans="4:23" ht="15" customHeight="1">
      <c r="D325" s="186" t="s">
        <v>129</v>
      </c>
      <c r="E325" s="186"/>
      <c r="F325" s="186"/>
      <c r="G325" s="186"/>
      <c r="H325" s="186"/>
      <c r="I325" s="186"/>
      <c r="J325" s="186"/>
      <c r="K325" s="187" t="str">
        <f xml:space="preserve"> Model.Units</f>
        <v>DKKt</v>
      </c>
      <c r="L325" s="186"/>
      <c r="M325" s="186"/>
      <c r="N325" s="213"/>
      <c r="O325" s="409"/>
      <c r="P325" s="409"/>
      <c r="Q325" s="409"/>
      <c r="R325" s="326">
        <f xml:space="preserve"> R323 - R324</f>
        <v>0</v>
      </c>
      <c r="S325" s="326">
        <f xml:space="preserve"> S323 - S324</f>
        <v>0</v>
      </c>
      <c r="T325" s="326">
        <f xml:space="preserve"> T323 - T324</f>
        <v>0</v>
      </c>
      <c r="U325" s="326">
        <f xml:space="preserve"> U323 - U324</f>
        <v>0</v>
      </c>
      <c r="V325" s="326">
        <f xml:space="preserve"> V323 - V324</f>
        <v>0</v>
      </c>
      <c r="W325" s="33"/>
    </row>
    <row r="327" spans="4:23" ht="15" customHeight="1">
      <c r="D327" s="4" t="s">
        <v>130</v>
      </c>
    </row>
    <row r="328" spans="4:23" ht="15" customHeight="1">
      <c r="D328" s="33" t="s">
        <v>130</v>
      </c>
      <c r="E328" s="33"/>
      <c r="F328" s="33"/>
      <c r="G328" s="33"/>
      <c r="H328" s="33"/>
      <c r="I328" s="33"/>
      <c r="J328" s="33"/>
      <c r="K328" s="34" t="s">
        <v>116</v>
      </c>
      <c r="L328" s="90">
        <f xml:space="preserve"> -- ( COUNTIF( R328:V328, "&lt;0" ) &gt; 0 )</f>
        <v>0</v>
      </c>
      <c r="M328" s="33"/>
      <c r="N328" s="183"/>
      <c r="O328" s="141"/>
      <c r="P328" s="141"/>
      <c r="Q328" s="141"/>
      <c r="R328" s="183">
        <f xml:space="preserve"> IF( R323 = 0, 0, R324 / R323 )</f>
        <v>0</v>
      </c>
      <c r="S328" s="183">
        <f xml:space="preserve"> IF( S323 = 0, 0, S324 / S323 )</f>
        <v>0</v>
      </c>
      <c r="T328" s="183">
        <f xml:space="preserve"> IF( T323 = 0, 0, T324 / T323 )</f>
        <v>0</v>
      </c>
      <c r="U328" s="183">
        <f xml:space="preserve"> IF( U323 = 0, 0, U324 / U323 )</f>
        <v>0</v>
      </c>
      <c r="V328" s="183">
        <f xml:space="preserve"> IF( V323 = 0, 0, V324 / V323 )</f>
        <v>0</v>
      </c>
      <c r="W328" s="33"/>
    </row>
    <row r="330" spans="4:23" ht="15" customHeight="1">
      <c r="D330" s="35" t="s">
        <v>206</v>
      </c>
    </row>
    <row r="331" spans="4:23" ht="15" customHeight="1">
      <c r="D331" s="124" t="s">
        <v>182</v>
      </c>
      <c r="E331" s="15"/>
      <c r="F331" s="15"/>
      <c r="G331" s="15"/>
      <c r="H331" s="15"/>
      <c r="I331" s="15"/>
      <c r="J331" s="15"/>
      <c r="K331" s="19" t="s">
        <v>216</v>
      </c>
      <c r="L331" s="15"/>
      <c r="M331" s="15"/>
      <c r="N331" s="15"/>
      <c r="O331" s="274"/>
      <c r="P331" s="274"/>
      <c r="Q331" s="274"/>
      <c r="R331" s="150">
        <f t="shared" ref="R331:V333" si="23" xml:space="preserve"> R258 * R$328</f>
        <v>0</v>
      </c>
      <c r="S331" s="150">
        <f t="shared" si="23"/>
        <v>0</v>
      </c>
      <c r="T331" s="150">
        <f t="shared" si="23"/>
        <v>0</v>
      </c>
      <c r="U331" s="150">
        <f t="shared" si="23"/>
        <v>0</v>
      </c>
      <c r="V331" s="150">
        <f t="shared" si="23"/>
        <v>0</v>
      </c>
      <c r="W331" s="15"/>
    </row>
    <row r="332" spans="4:23" ht="15" customHeight="1">
      <c r="D332" s="124" t="s">
        <v>184</v>
      </c>
      <c r="K332" s="5" t="s">
        <v>216</v>
      </c>
      <c r="O332" s="202"/>
      <c r="P332" s="202"/>
      <c r="Q332" s="202"/>
      <c r="R332" s="121">
        <f t="shared" si="23"/>
        <v>0</v>
      </c>
      <c r="S332" s="121">
        <f t="shared" si="23"/>
        <v>0</v>
      </c>
      <c r="T332" s="121">
        <f t="shared" si="23"/>
        <v>0</v>
      </c>
      <c r="U332" s="121">
        <f t="shared" si="23"/>
        <v>0</v>
      </c>
      <c r="V332" s="121">
        <f t="shared" si="23"/>
        <v>0</v>
      </c>
    </row>
    <row r="333" spans="4:23" ht="15" customHeight="1">
      <c r="D333" s="125" t="s">
        <v>185</v>
      </c>
      <c r="E333" s="27"/>
      <c r="F333" s="27"/>
      <c r="G333" s="27"/>
      <c r="H333" s="27"/>
      <c r="I333" s="27"/>
      <c r="J333" s="27"/>
      <c r="K333" s="32" t="s">
        <v>216</v>
      </c>
      <c r="L333" s="27"/>
      <c r="M333" s="27"/>
      <c r="N333" s="27"/>
      <c r="O333" s="269"/>
      <c r="P333" s="269"/>
      <c r="Q333" s="269"/>
      <c r="R333" s="131">
        <f t="shared" si="23"/>
        <v>0</v>
      </c>
      <c r="S333" s="131">
        <f t="shared" si="23"/>
        <v>0</v>
      </c>
      <c r="T333" s="131">
        <f t="shared" si="23"/>
        <v>0</v>
      </c>
      <c r="U333" s="131">
        <f t="shared" si="23"/>
        <v>0</v>
      </c>
      <c r="V333" s="131">
        <f t="shared" si="23"/>
        <v>0</v>
      </c>
      <c r="W333" s="27"/>
    </row>
    <row r="334" spans="4:23" ht="15" customHeight="1">
      <c r="D334" s="124"/>
      <c r="R334" s="121"/>
      <c r="S334" s="121"/>
      <c r="T334" s="121"/>
      <c r="U334" s="121"/>
      <c r="V334" s="121"/>
    </row>
    <row r="335" spans="4:23" ht="15" customHeight="1">
      <c r="D335" s="35" t="s">
        <v>211</v>
      </c>
    </row>
    <row r="336" spans="4:23" ht="15" customHeight="1">
      <c r="D336" s="124" t="s">
        <v>182</v>
      </c>
      <c r="E336" s="15"/>
      <c r="F336" s="15"/>
      <c r="G336" s="15"/>
      <c r="H336" s="15"/>
      <c r="I336" s="15"/>
      <c r="J336" s="15"/>
      <c r="K336" s="19" t="s">
        <v>216</v>
      </c>
      <c r="L336" s="15"/>
      <c r="M336" s="15"/>
      <c r="N336" s="15"/>
      <c r="O336" s="274"/>
      <c r="P336" s="274"/>
      <c r="Q336" s="274"/>
      <c r="R336" s="150">
        <f t="shared" ref="R336:V338" si="24" xml:space="preserve"> R263 * R$328</f>
        <v>0</v>
      </c>
      <c r="S336" s="150">
        <f t="shared" si="24"/>
        <v>0</v>
      </c>
      <c r="T336" s="150">
        <f t="shared" si="24"/>
        <v>0</v>
      </c>
      <c r="U336" s="150">
        <f t="shared" si="24"/>
        <v>0</v>
      </c>
      <c r="V336" s="150">
        <f t="shared" si="24"/>
        <v>0</v>
      </c>
      <c r="W336" s="15"/>
    </row>
    <row r="337" spans="4:23" ht="15" customHeight="1">
      <c r="D337" s="124" t="s">
        <v>184</v>
      </c>
      <c r="K337" s="5" t="s">
        <v>216</v>
      </c>
      <c r="O337" s="202"/>
      <c r="P337" s="202"/>
      <c r="Q337" s="202"/>
      <c r="R337" s="121">
        <f t="shared" si="24"/>
        <v>0</v>
      </c>
      <c r="S337" s="121">
        <f t="shared" si="24"/>
        <v>0</v>
      </c>
      <c r="T337" s="121">
        <f t="shared" si="24"/>
        <v>0</v>
      </c>
      <c r="U337" s="121">
        <f t="shared" si="24"/>
        <v>0</v>
      </c>
      <c r="V337" s="121">
        <f t="shared" si="24"/>
        <v>0</v>
      </c>
    </row>
    <row r="338" spans="4:23" ht="15" customHeight="1">
      <c r="D338" s="125" t="s">
        <v>185</v>
      </c>
      <c r="E338" s="27"/>
      <c r="F338" s="27"/>
      <c r="G338" s="27"/>
      <c r="H338" s="27"/>
      <c r="I338" s="27"/>
      <c r="J338" s="27"/>
      <c r="K338" s="32" t="s">
        <v>216</v>
      </c>
      <c r="L338" s="27"/>
      <c r="M338" s="27"/>
      <c r="N338" s="27"/>
      <c r="O338" s="269"/>
      <c r="P338" s="269"/>
      <c r="Q338" s="269"/>
      <c r="R338" s="131">
        <f t="shared" si="24"/>
        <v>0</v>
      </c>
      <c r="S338" s="131">
        <f t="shared" si="24"/>
        <v>0</v>
      </c>
      <c r="T338" s="131">
        <f t="shared" si="24"/>
        <v>0</v>
      </c>
      <c r="U338" s="131">
        <f t="shared" si="24"/>
        <v>0</v>
      </c>
      <c r="V338" s="131">
        <f t="shared" si="24"/>
        <v>0</v>
      </c>
      <c r="W338" s="27"/>
    </row>
    <row r="340" spans="4:23" ht="15" customHeight="1">
      <c r="D340" s="88" t="s">
        <v>208</v>
      </c>
      <c r="F340" s="107"/>
      <c r="G340" s="107"/>
      <c r="H340" s="107"/>
      <c r="I340" s="107"/>
      <c r="J340" s="107"/>
      <c r="K340" s="87"/>
      <c r="L340" s="85"/>
      <c r="M340" s="85"/>
      <c r="N340" s="107"/>
      <c r="O340" s="107"/>
      <c r="P340" s="107"/>
      <c r="Q340" s="107"/>
      <c r="W340" s="89" t="s">
        <v>16</v>
      </c>
    </row>
    <row r="341" spans="4:23" ht="15" customHeight="1">
      <c r="D341" s="122" t="s">
        <v>182</v>
      </c>
      <c r="E341" s="15"/>
      <c r="F341" s="116"/>
      <c r="G341" s="116"/>
      <c r="H341" s="116"/>
      <c r="I341" s="116"/>
      <c r="J341" s="116"/>
      <c r="K341" s="117" t="str">
        <f xml:space="preserve"> Model.Units</f>
        <v>DKKt</v>
      </c>
      <c r="L341" s="123"/>
      <c r="M341" s="123"/>
      <c r="N341" s="116"/>
      <c r="O341" s="369"/>
      <c r="P341" s="369"/>
      <c r="Q341" s="369"/>
      <c r="R341" s="15">
        <f t="shared" ref="R341:V343" si="25" xml:space="preserve"> R295 * R331 / ( tDKKtiløre )</f>
        <v>0</v>
      </c>
      <c r="S341" s="15">
        <f t="shared" si="25"/>
        <v>0</v>
      </c>
      <c r="T341" s="15">
        <f t="shared" si="25"/>
        <v>0</v>
      </c>
      <c r="U341" s="15">
        <f t="shared" si="25"/>
        <v>0</v>
      </c>
      <c r="V341" s="15">
        <f t="shared" si="25"/>
        <v>0</v>
      </c>
      <c r="W341" s="18">
        <f xml:space="preserve"> SUM( R341:V341 )</f>
        <v>0</v>
      </c>
    </row>
    <row r="342" spans="4:23" ht="15" customHeight="1">
      <c r="D342" s="124" t="s">
        <v>207</v>
      </c>
      <c r="F342" s="107"/>
      <c r="G342" s="107"/>
      <c r="H342" s="107"/>
      <c r="I342" s="107"/>
      <c r="J342" s="107"/>
      <c r="K342" s="87" t="str">
        <f xml:space="preserve"> Model.Units</f>
        <v>DKKt</v>
      </c>
      <c r="L342" s="85"/>
      <c r="M342" s="85"/>
      <c r="N342" s="107"/>
      <c r="O342" s="370"/>
      <c r="P342" s="370"/>
      <c r="Q342" s="370"/>
      <c r="R342" s="1">
        <f t="shared" si="25"/>
        <v>0</v>
      </c>
      <c r="S342" s="1">
        <f t="shared" si="25"/>
        <v>0</v>
      </c>
      <c r="T342" s="1">
        <f t="shared" si="25"/>
        <v>0</v>
      </c>
      <c r="U342" s="1">
        <f t="shared" si="25"/>
        <v>0</v>
      </c>
      <c r="V342" s="1">
        <f t="shared" si="25"/>
        <v>0</v>
      </c>
      <c r="W342" s="4">
        <f xml:space="preserve"> SUM( R342:V342 )</f>
        <v>0</v>
      </c>
    </row>
    <row r="343" spans="4:23" ht="15" customHeight="1">
      <c r="D343" s="124" t="s">
        <v>185</v>
      </c>
      <c r="F343" s="107"/>
      <c r="G343" s="107"/>
      <c r="H343" s="107"/>
      <c r="I343" s="107"/>
      <c r="J343" s="107"/>
      <c r="K343" s="87" t="str">
        <f xml:space="preserve"> Model.Units</f>
        <v>DKKt</v>
      </c>
      <c r="L343" s="85"/>
      <c r="M343" s="85"/>
      <c r="N343" s="107"/>
      <c r="O343" s="370"/>
      <c r="P343" s="370"/>
      <c r="Q343" s="370"/>
      <c r="R343" s="1">
        <f t="shared" si="25"/>
        <v>0</v>
      </c>
      <c r="S343" s="1">
        <f t="shared" si="25"/>
        <v>0</v>
      </c>
      <c r="T343" s="1">
        <f t="shared" si="25"/>
        <v>0</v>
      </c>
      <c r="U343" s="1">
        <f t="shared" si="25"/>
        <v>0</v>
      </c>
      <c r="V343" s="27">
        <f t="shared" si="25"/>
        <v>0</v>
      </c>
      <c r="W343" s="4">
        <f xml:space="preserve"> SUM( R343:V343 )</f>
        <v>0</v>
      </c>
    </row>
    <row r="344" spans="4:23" ht="15" customHeight="1">
      <c r="D344" s="186" t="s">
        <v>16</v>
      </c>
      <c r="E344" s="33"/>
      <c r="F344" s="33"/>
      <c r="G344" s="33"/>
      <c r="H344" s="33"/>
      <c r="I344" s="33"/>
      <c r="J344" s="33"/>
      <c r="K344" s="187" t="str">
        <f xml:space="preserve"> Model.Units</f>
        <v>DKKt</v>
      </c>
      <c r="L344" s="33"/>
      <c r="M344" s="33"/>
      <c r="N344" s="33"/>
      <c r="O344" s="271"/>
      <c r="P344" s="271"/>
      <c r="Q344" s="271"/>
      <c r="R344" s="186">
        <f t="shared" ref="R344:W344" si="26" xml:space="preserve"> SUM( R341:R343 )</f>
        <v>0</v>
      </c>
      <c r="S344" s="186">
        <f t="shared" si="26"/>
        <v>0</v>
      </c>
      <c r="T344" s="186">
        <f t="shared" si="26"/>
        <v>0</v>
      </c>
      <c r="U344" s="186">
        <f t="shared" si="26"/>
        <v>0</v>
      </c>
      <c r="V344" s="35">
        <f t="shared" si="26"/>
        <v>0</v>
      </c>
      <c r="W344" s="186">
        <f t="shared" si="26"/>
        <v>0</v>
      </c>
    </row>
    <row r="346" spans="4:23" ht="15" customHeight="1">
      <c r="D346" s="88" t="s">
        <v>209</v>
      </c>
      <c r="F346" s="107"/>
      <c r="G346" s="107"/>
      <c r="H346" s="107"/>
      <c r="I346" s="107"/>
      <c r="J346" s="107"/>
      <c r="K346" s="87"/>
      <c r="L346" s="85"/>
      <c r="M346" s="85"/>
      <c r="N346" s="107"/>
      <c r="O346" s="107"/>
      <c r="P346" s="107"/>
      <c r="Q346" s="107"/>
      <c r="W346" s="89" t="s">
        <v>16</v>
      </c>
    </row>
    <row r="347" spans="4:23" ht="15" customHeight="1">
      <c r="D347" s="122" t="s">
        <v>182</v>
      </c>
      <c r="E347" s="15"/>
      <c r="F347" s="116"/>
      <c r="G347" s="116"/>
      <c r="H347" s="116"/>
      <c r="I347" s="116"/>
      <c r="J347" s="116"/>
      <c r="K347" s="117" t="str">
        <f xml:space="preserve"> Model.Units</f>
        <v>DKKt</v>
      </c>
      <c r="L347" s="123"/>
      <c r="M347" s="123"/>
      <c r="N347" s="116"/>
      <c r="O347" s="369"/>
      <c r="P347" s="369"/>
      <c r="Q347" s="369"/>
      <c r="R347" s="15">
        <f t="shared" ref="R347:V349" si="27" xml:space="preserve"> R301 * R336 / ( tDKKtiløre )</f>
        <v>0</v>
      </c>
      <c r="S347" s="15">
        <f t="shared" si="27"/>
        <v>0</v>
      </c>
      <c r="T347" s="15">
        <f t="shared" si="27"/>
        <v>0</v>
      </c>
      <c r="U347" s="15">
        <f t="shared" si="27"/>
        <v>0</v>
      </c>
      <c r="V347" s="15">
        <f t="shared" si="27"/>
        <v>0</v>
      </c>
      <c r="W347" s="18">
        <f xml:space="preserve"> SUM( R347:V347 )</f>
        <v>0</v>
      </c>
    </row>
    <row r="348" spans="4:23" ht="15" customHeight="1">
      <c r="D348" s="124" t="s">
        <v>207</v>
      </c>
      <c r="F348" s="107"/>
      <c r="G348" s="107"/>
      <c r="H348" s="107"/>
      <c r="I348" s="107"/>
      <c r="J348" s="107"/>
      <c r="K348" s="87" t="str">
        <f xml:space="preserve"> Model.Units</f>
        <v>DKKt</v>
      </c>
      <c r="L348" s="85"/>
      <c r="M348" s="85"/>
      <c r="N348" s="107"/>
      <c r="O348" s="370"/>
      <c r="P348" s="370"/>
      <c r="Q348" s="370"/>
      <c r="R348" s="1">
        <f t="shared" si="27"/>
        <v>0</v>
      </c>
      <c r="S348" s="1">
        <f t="shared" si="27"/>
        <v>0</v>
      </c>
      <c r="T348" s="1">
        <f t="shared" si="27"/>
        <v>0</v>
      </c>
      <c r="U348" s="1">
        <f t="shared" si="27"/>
        <v>0</v>
      </c>
      <c r="V348" s="1">
        <f t="shared" si="27"/>
        <v>0</v>
      </c>
      <c r="W348" s="4">
        <f xml:space="preserve"> SUM( R348:V348 )</f>
        <v>0</v>
      </c>
    </row>
    <row r="349" spans="4:23" ht="15" customHeight="1">
      <c r="D349" s="124" t="s">
        <v>185</v>
      </c>
      <c r="F349" s="107"/>
      <c r="G349" s="107"/>
      <c r="H349" s="107"/>
      <c r="I349" s="107"/>
      <c r="J349" s="107"/>
      <c r="K349" s="87" t="str">
        <f xml:space="preserve"> Model.Units</f>
        <v>DKKt</v>
      </c>
      <c r="L349" s="85"/>
      <c r="M349" s="85"/>
      <c r="N349" s="107"/>
      <c r="O349" s="370"/>
      <c r="P349" s="370"/>
      <c r="Q349" s="370"/>
      <c r="R349" s="1">
        <f t="shared" si="27"/>
        <v>0</v>
      </c>
      <c r="S349" s="1">
        <f t="shared" si="27"/>
        <v>0</v>
      </c>
      <c r="T349" s="1">
        <f t="shared" si="27"/>
        <v>0</v>
      </c>
      <c r="U349" s="1">
        <f t="shared" si="27"/>
        <v>0</v>
      </c>
      <c r="V349" s="27">
        <f t="shared" si="27"/>
        <v>0</v>
      </c>
      <c r="W349" s="4">
        <f xml:space="preserve"> SUM( R349:V349 )</f>
        <v>0</v>
      </c>
    </row>
    <row r="350" spans="4:23" ht="15" customHeight="1">
      <c r="D350" s="186" t="s">
        <v>16</v>
      </c>
      <c r="E350" s="33"/>
      <c r="F350" s="33"/>
      <c r="G350" s="33"/>
      <c r="H350" s="33"/>
      <c r="I350" s="33"/>
      <c r="J350" s="33"/>
      <c r="K350" s="187" t="str">
        <f xml:space="preserve"> Model.Units</f>
        <v>DKKt</v>
      </c>
      <c r="L350" s="33"/>
      <c r="M350" s="33"/>
      <c r="N350" s="33"/>
      <c r="O350" s="271"/>
      <c r="P350" s="271"/>
      <c r="Q350" s="271"/>
      <c r="R350" s="186">
        <f t="shared" ref="R350:W350" si="28" xml:space="preserve"> SUM( R347:R349 )</f>
        <v>0</v>
      </c>
      <c r="S350" s="186">
        <f t="shared" si="28"/>
        <v>0</v>
      </c>
      <c r="T350" s="186">
        <f t="shared" si="28"/>
        <v>0</v>
      </c>
      <c r="U350" s="186">
        <f t="shared" si="28"/>
        <v>0</v>
      </c>
      <c r="V350" s="35">
        <f t="shared" si="28"/>
        <v>0</v>
      </c>
      <c r="W350" s="186">
        <f t="shared" si="28"/>
        <v>0</v>
      </c>
    </row>
    <row r="352" spans="4:23" ht="15" customHeight="1">
      <c r="D352" s="88" t="s">
        <v>210</v>
      </c>
      <c r="F352" s="107"/>
      <c r="G352" s="107"/>
      <c r="H352" s="107"/>
      <c r="I352" s="107"/>
      <c r="J352" s="107"/>
      <c r="K352" s="87"/>
      <c r="L352" s="85"/>
      <c r="M352" s="85"/>
      <c r="N352" s="107"/>
      <c r="O352" s="107"/>
      <c r="P352" s="107"/>
      <c r="Q352" s="107"/>
      <c r="W352" s="89" t="s">
        <v>16</v>
      </c>
    </row>
    <row r="353" spans="2:23" ht="15" customHeight="1">
      <c r="D353" s="122" t="s">
        <v>182</v>
      </c>
      <c r="E353" s="15"/>
      <c r="F353" s="116"/>
      <c r="G353" s="116"/>
      <c r="H353" s="116"/>
      <c r="I353" s="116"/>
      <c r="J353" s="116"/>
      <c r="K353" s="117" t="str">
        <f xml:space="preserve"> Model.Units</f>
        <v>DKKt</v>
      </c>
      <c r="L353" s="123"/>
      <c r="M353" s="123"/>
      <c r="N353" s="116"/>
      <c r="O353" s="369"/>
      <c r="P353" s="369"/>
      <c r="Q353" s="369"/>
      <c r="R353" s="15">
        <f t="shared" ref="R353:V355" si="29" xml:space="preserve"> R341 + R347</f>
        <v>0</v>
      </c>
      <c r="S353" s="15">
        <f t="shared" si="29"/>
        <v>0</v>
      </c>
      <c r="T353" s="15">
        <f t="shared" si="29"/>
        <v>0</v>
      </c>
      <c r="U353" s="15">
        <f t="shared" si="29"/>
        <v>0</v>
      </c>
      <c r="V353" s="15">
        <f t="shared" si="29"/>
        <v>0</v>
      </c>
      <c r="W353" s="18">
        <f xml:space="preserve"> SUM( R353:V353 )</f>
        <v>0</v>
      </c>
    </row>
    <row r="354" spans="2:23" ht="15" customHeight="1">
      <c r="D354" s="124" t="s">
        <v>184</v>
      </c>
      <c r="F354" s="107"/>
      <c r="G354" s="107"/>
      <c r="H354" s="107"/>
      <c r="I354" s="107"/>
      <c r="J354" s="107"/>
      <c r="K354" s="87" t="str">
        <f xml:space="preserve"> Model.Units</f>
        <v>DKKt</v>
      </c>
      <c r="L354" s="85"/>
      <c r="M354" s="85"/>
      <c r="N354" s="107"/>
      <c r="O354" s="370"/>
      <c r="P354" s="370"/>
      <c r="Q354" s="370"/>
      <c r="R354" s="1">
        <f t="shared" si="29"/>
        <v>0</v>
      </c>
      <c r="S354" s="1">
        <f t="shared" si="29"/>
        <v>0</v>
      </c>
      <c r="T354" s="1">
        <f t="shared" si="29"/>
        <v>0</v>
      </c>
      <c r="U354" s="1">
        <f t="shared" si="29"/>
        <v>0</v>
      </c>
      <c r="V354" s="1">
        <f t="shared" si="29"/>
        <v>0</v>
      </c>
      <c r="W354" s="4">
        <f xml:space="preserve"> SUM( R354:V354 )</f>
        <v>0</v>
      </c>
    </row>
    <row r="355" spans="2:23" ht="15" customHeight="1">
      <c r="D355" s="124" t="s">
        <v>185</v>
      </c>
      <c r="F355" s="107"/>
      <c r="G355" s="107"/>
      <c r="H355" s="107"/>
      <c r="I355" s="107"/>
      <c r="J355" s="107"/>
      <c r="K355" s="87" t="str">
        <f xml:space="preserve"> Model.Units</f>
        <v>DKKt</v>
      </c>
      <c r="L355" s="85"/>
      <c r="M355" s="85"/>
      <c r="N355" s="107"/>
      <c r="O355" s="370"/>
      <c r="P355" s="370"/>
      <c r="Q355" s="370"/>
      <c r="R355" s="1">
        <f t="shared" si="29"/>
        <v>0</v>
      </c>
      <c r="S355" s="1">
        <f t="shared" si="29"/>
        <v>0</v>
      </c>
      <c r="T355" s="1">
        <f t="shared" si="29"/>
        <v>0</v>
      </c>
      <c r="U355" s="1">
        <f t="shared" si="29"/>
        <v>0</v>
      </c>
      <c r="V355" s="1">
        <f t="shared" si="29"/>
        <v>0</v>
      </c>
      <c r="W355" s="4">
        <f xml:space="preserve"> SUM( R355:V355 )</f>
        <v>0</v>
      </c>
    </row>
    <row r="356" spans="2:23" ht="15" customHeight="1">
      <c r="D356" s="186" t="s">
        <v>16</v>
      </c>
      <c r="E356" s="33"/>
      <c r="F356" s="33"/>
      <c r="G356" s="33"/>
      <c r="H356" s="33"/>
      <c r="I356" s="33"/>
      <c r="J356" s="33"/>
      <c r="K356" s="187" t="str">
        <f xml:space="preserve"> Model.Units</f>
        <v>DKKt</v>
      </c>
      <c r="L356" s="186"/>
      <c r="M356" s="186"/>
      <c r="N356" s="186"/>
      <c r="O356" s="388"/>
      <c r="P356" s="388"/>
      <c r="Q356" s="388"/>
      <c r="R356" s="186">
        <f t="shared" ref="R356:W356" si="30" xml:space="preserve"> SUM( R353:R355 )</f>
        <v>0</v>
      </c>
      <c r="S356" s="186">
        <f t="shared" si="30"/>
        <v>0</v>
      </c>
      <c r="T356" s="186">
        <f t="shared" si="30"/>
        <v>0</v>
      </c>
      <c r="U356" s="186">
        <f t="shared" si="30"/>
        <v>0</v>
      </c>
      <c r="V356" s="186">
        <f t="shared" si="30"/>
        <v>0</v>
      </c>
      <c r="W356" s="186">
        <f t="shared" si="30"/>
        <v>0</v>
      </c>
    </row>
    <row r="358" spans="2:23" ht="15" customHeight="1">
      <c r="D358" s="35" t="s">
        <v>131</v>
      </c>
      <c r="E358" s="27"/>
      <c r="F358" s="27"/>
      <c r="G358" s="27"/>
      <c r="H358" s="27"/>
      <c r="I358" s="27"/>
      <c r="J358" s="27"/>
      <c r="K358" s="32"/>
      <c r="L358" s="27"/>
      <c r="M358" s="27"/>
      <c r="N358" s="27"/>
      <c r="O358" s="27"/>
      <c r="P358" s="27"/>
      <c r="Q358" s="27"/>
      <c r="R358" s="27"/>
      <c r="S358" s="27"/>
      <c r="T358" s="27"/>
      <c r="U358" s="27"/>
      <c r="V358" s="27"/>
      <c r="W358" s="89" t="s">
        <v>16</v>
      </c>
    </row>
    <row r="359" spans="2:23" ht="15" customHeight="1">
      <c r="D359" s="15" t="s">
        <v>128</v>
      </c>
      <c r="E359" s="15"/>
      <c r="F359" s="15"/>
      <c r="G359" s="15"/>
      <c r="H359" s="15"/>
      <c r="I359" s="15"/>
      <c r="J359" s="15"/>
      <c r="K359" s="5" t="str">
        <f xml:space="preserve"> Model.Units</f>
        <v>DKKt</v>
      </c>
      <c r="L359" s="15"/>
      <c r="M359" s="15"/>
      <c r="N359" s="210"/>
      <c r="O359" s="407"/>
      <c r="P359" s="407"/>
      <c r="Q359" s="407"/>
      <c r="R359" s="193">
        <f xml:space="preserve"> R356</f>
        <v>0</v>
      </c>
      <c r="S359" s="193">
        <f xml:space="preserve"> S356</f>
        <v>0</v>
      </c>
      <c r="T359" s="193">
        <f xml:space="preserve"> T356</f>
        <v>0</v>
      </c>
      <c r="U359" s="193">
        <f xml:space="preserve"> U356</f>
        <v>0</v>
      </c>
      <c r="V359" s="193">
        <f xml:space="preserve"> V356</f>
        <v>0</v>
      </c>
      <c r="W359" s="18">
        <f xml:space="preserve"> SUM( R359:V359 )</f>
        <v>0</v>
      </c>
    </row>
    <row r="360" spans="2:23" ht="15" customHeight="1">
      <c r="D360" s="27" t="s">
        <v>190</v>
      </c>
      <c r="E360" s="27"/>
      <c r="F360" s="27"/>
      <c r="G360" s="27"/>
      <c r="H360" s="27"/>
      <c r="I360" s="27"/>
      <c r="J360" s="27"/>
      <c r="K360" s="5" t="str">
        <f xml:space="preserve"> Model.Units</f>
        <v>DKKt</v>
      </c>
      <c r="L360" s="27"/>
      <c r="M360" s="27"/>
      <c r="N360" s="211"/>
      <c r="O360" s="408"/>
      <c r="P360" s="408"/>
      <c r="Q360" s="408"/>
      <c r="R360" s="195">
        <f xml:space="preserve"> R19</f>
        <v>0</v>
      </c>
      <c r="S360" s="195">
        <f xml:space="preserve"> S19</f>
        <v>0</v>
      </c>
      <c r="T360" s="195">
        <f xml:space="preserve"> T19</f>
        <v>0</v>
      </c>
      <c r="U360" s="195">
        <f xml:space="preserve"> U19</f>
        <v>0</v>
      </c>
      <c r="V360" s="195">
        <f xml:space="preserve"> V19</f>
        <v>0</v>
      </c>
      <c r="W360" s="4">
        <f xml:space="preserve"> SUM( R360:V360 )</f>
        <v>0</v>
      </c>
    </row>
    <row r="361" spans="2:23" ht="15" customHeight="1">
      <c r="D361" s="186" t="s">
        <v>129</v>
      </c>
      <c r="E361" s="186"/>
      <c r="F361" s="186"/>
      <c r="G361" s="186"/>
      <c r="H361" s="186"/>
      <c r="I361" s="186"/>
      <c r="J361" s="186"/>
      <c r="K361" s="187" t="str">
        <f xml:space="preserve"> Model.Units</f>
        <v>DKKt</v>
      </c>
      <c r="L361" s="90" cm="1">
        <f t="array" ref="L361" xml:space="preserve"> -- ( IF( '2.3 Selskabsspecifikke input'!N51 = 0, 0, SUMPRODUCT(-- ( ROUND( R361:W361, 5 ) &lt;&gt; 0 ) ) &gt; 0 ) )</f>
        <v>0</v>
      </c>
      <c r="M361" s="186"/>
      <c r="N361" s="187"/>
      <c r="O361" s="410"/>
      <c r="P361" s="410"/>
      <c r="Q361" s="410"/>
      <c r="R361" s="186">
        <f t="shared" ref="R361:W361" si="31" xml:space="preserve"> R359 - R360</f>
        <v>0</v>
      </c>
      <c r="S361" s="186">
        <f xml:space="preserve"> S359 - S360</f>
        <v>0</v>
      </c>
      <c r="T361" s="186">
        <f t="shared" si="31"/>
        <v>0</v>
      </c>
      <c r="U361" s="186">
        <f t="shared" si="31"/>
        <v>0</v>
      </c>
      <c r="V361" s="186">
        <f t="shared" si="31"/>
        <v>0</v>
      </c>
      <c r="W361" s="186">
        <f t="shared" si="31"/>
        <v>0</v>
      </c>
    </row>
    <row r="365" spans="2:23" s="475" customFormat="1" ht="15" customHeight="1">
      <c r="B365" s="479" t="s">
        <v>104</v>
      </c>
      <c r="C365" s="477"/>
      <c r="D365" s="478"/>
      <c r="K365" s="472"/>
    </row>
  </sheetData>
  <sheetProtection sheet="1" objects="1" scenarios="1"/>
  <conditionalFormatting sqref="I4:I7">
    <cfRule type="cellIs" dxfId="338" priority="38" operator="between">
      <formula>-ErrorTolerance</formula>
      <formula>ErrorTolerance</formula>
    </cfRule>
  </conditionalFormatting>
  <conditionalFormatting sqref="J2:Q3 B2:E3">
    <cfRule type="expression" dxfId="337" priority="39">
      <formula>$I$4&lt;ErrorTolerance</formula>
    </cfRule>
  </conditionalFormatting>
  <conditionalFormatting sqref="B3">
    <cfRule type="expression" dxfId="336" priority="40">
      <formula>$I$5&gt;=ErrorTolerance</formula>
    </cfRule>
  </conditionalFormatting>
  <conditionalFormatting sqref="L173:L196 L256">
    <cfRule type="cellIs" dxfId="335" priority="29" operator="greaterThan">
      <formula>0</formula>
    </cfRule>
  </conditionalFormatting>
  <conditionalFormatting sqref="L146:L170">
    <cfRule type="cellIs" dxfId="334" priority="30" operator="greaterThan">
      <formula>0</formula>
    </cfRule>
  </conditionalFormatting>
  <conditionalFormatting sqref="L200:L223">
    <cfRule type="cellIs" dxfId="333" priority="28" operator="greaterThan">
      <formula>0</formula>
    </cfRule>
  </conditionalFormatting>
  <conditionalFormatting sqref="L227:L250 L252:L254">
    <cfRule type="cellIs" dxfId="332" priority="27" operator="greaterThan">
      <formula>0</formula>
    </cfRule>
  </conditionalFormatting>
  <conditionalFormatting sqref="L21">
    <cfRule type="cellIs" dxfId="331" priority="26" operator="greaterThan">
      <formula>0</formula>
    </cfRule>
  </conditionalFormatting>
  <conditionalFormatting sqref="L197">
    <cfRule type="cellIs" dxfId="330" priority="24" operator="greaterThan">
      <formula>0</formula>
    </cfRule>
  </conditionalFormatting>
  <conditionalFormatting sqref="L224">
    <cfRule type="cellIs" dxfId="329" priority="23" operator="greaterThan">
      <formula>0</formula>
    </cfRule>
  </conditionalFormatting>
  <conditionalFormatting sqref="L251">
    <cfRule type="cellIs" dxfId="328" priority="22" operator="greaterThan">
      <formula>0</formula>
    </cfRule>
  </conditionalFormatting>
  <conditionalFormatting sqref="L289:L292">
    <cfRule type="cellIs" dxfId="327" priority="21" operator="greaterThan">
      <formula>0</formula>
    </cfRule>
  </conditionalFormatting>
  <conditionalFormatting sqref="L298">
    <cfRule type="cellIs" dxfId="326" priority="20" operator="greaterThan">
      <formula>0</formula>
    </cfRule>
  </conditionalFormatting>
  <conditionalFormatting sqref="L304">
    <cfRule type="cellIs" dxfId="325" priority="19" operator="greaterThan">
      <formula>0</formula>
    </cfRule>
  </conditionalFormatting>
  <conditionalFormatting sqref="L328">
    <cfRule type="cellIs" dxfId="324" priority="18" operator="greaterThan">
      <formula>0</formula>
    </cfRule>
  </conditionalFormatting>
  <conditionalFormatting sqref="L361">
    <cfRule type="cellIs" dxfId="323" priority="17" operator="greaterThan">
      <formula>0</formula>
    </cfRule>
  </conditionalFormatting>
  <conditionalFormatting sqref="H2">
    <cfRule type="expression" dxfId="322" priority="10">
      <formula>Model.Navigation.View=No</formula>
    </cfRule>
  </conditionalFormatting>
  <conditionalFormatting sqref="H2">
    <cfRule type="expression" dxfId="321" priority="9">
      <formula>Model.Navigation.View=No</formula>
    </cfRule>
  </conditionalFormatting>
  <conditionalFormatting sqref="F2">
    <cfRule type="expression" dxfId="320" priority="6">
      <formula>Model.Navigation.View=No</formula>
    </cfRule>
  </conditionalFormatting>
  <conditionalFormatting sqref="F2">
    <cfRule type="expression" dxfId="319" priority="5">
      <formula>Model.Navigation.View=No</formula>
    </cfRule>
  </conditionalFormatting>
  <conditionalFormatting sqref="I2">
    <cfRule type="expression" dxfId="318" priority="4">
      <formula>Model.Navigation.View=No</formula>
    </cfRule>
  </conditionalFormatting>
  <conditionalFormatting sqref="I2">
    <cfRule type="expression" dxfId="317" priority="3">
      <formula>Model.Navigation.View=No</formula>
    </cfRule>
  </conditionalFormatting>
  <conditionalFormatting sqref="G2">
    <cfRule type="expression" dxfId="316" priority="2">
      <formula>Model.Navigation.View=No</formula>
    </cfRule>
  </conditionalFormatting>
  <conditionalFormatting sqref="G2">
    <cfRule type="expression" dxfId="315" priority="1">
      <formula>Model.Navigation.View=No</formula>
    </cfRule>
  </conditionalFormatting>
  <hyperlinks>
    <hyperlink ref="G2" location="'3.4 Tidsdifferentieret tarif'!B11" tooltip="Gå til toppen af arket" display="'3.4 Tidsdifferentieret tarif'!B11" xr:uid="{2D06CEBA-A0F5-44DC-B30D-A6A9738BDC61}"/>
    <hyperlink ref="H2" location="'2.3 Selskabsspecifikke input'!B2" tooltip="Gå til selskabsspecifikke input" display="'2.3 Selskabsspecifikke input'!B2" xr:uid="{A0C1BB71-5833-4E45-9D5A-9C227872333D}"/>
    <hyperlink ref="F2" location="Modeloverblik!B2" tooltip="Gå til modelbeskrivelse" display="Modeloverblik!B2" xr:uid="{12A6961C-7104-4F16-BDCA-D784CE3CB180}"/>
    <hyperlink ref="I2" location="'4.1 Fejl- og kontroloversigt'!B2" tooltip="Gå til fejl- og kontrolchecks" display="'4.1 Fejl- og kontroloversigt'!B2" xr:uid="{AEDF6E8F-153A-4A67-87A6-B52632B00249}"/>
  </hyperlinks>
  <pageMargins left="0.70866141732283472" right="0.70866141732283472" top="0.74803149606299213" bottom="0.74803149606299213" header="0.31496062992125984" footer="0.31496062992125984"/>
  <pageSetup paperSize="9" scale="56"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ignoredErrors>
    <ignoredError sqref="D239 D212 D185 D158 D128 D102 D76 D50" twoDigitTextYear="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01538-E896-49A0-97FB-F02188A90D04}">
  <sheetPr>
    <tabColor rgb="FF966432"/>
    <outlinePr summaryBelow="0"/>
    <pageSetUpPr fitToPage="1"/>
  </sheetPr>
  <dimension ref="A1:XFD804"/>
  <sheetViews>
    <sheetView showGridLines="0" zoomScale="85" zoomScaleNormal="85" workbookViewId="0">
      <pane xSplit="14" ySplit="10" topLeftCell="O11" activePane="bottomRight" state="frozen"/>
      <selection activeCell="C6" sqref="C6"/>
      <selection pane="topRight" activeCell="C6" sqref="C6"/>
      <selection pane="bottomLeft" activeCell="C6" sqref="C6"/>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16" width="18.6640625" style="1" customWidth="1"/>
    <col min="17" max="17" width="18.6640625" style="1" hidden="1" customWidth="1"/>
    <col min="18" max="24" width="18.6640625" style="1" customWidth="1"/>
    <col min="25" max="74" width="16.6640625" style="1" hidden="1" customWidth="1"/>
    <col min="75" max="16384" width="9.1640625" style="1" hidden="1"/>
  </cols>
  <sheetData>
    <row r="1" spans="2:23" ht="4.9000000000000004" customHeight="1"/>
    <row r="2" spans="2:23" ht="19.899999999999999" customHeight="1">
      <c r="B2" s="6" t="str">
        <f ca="1" xml:space="preserve"> MID( CELL("filename", B2), FIND("]", CELL("filename",B2) ) + 1, Model.MaxChars)</f>
        <v>3.5 Indfødningstarif</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2:23"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2:23" ht="15" customHeight="1">
      <c r="F4" s="74" t="s">
        <v>274</v>
      </c>
      <c r="G4" s="2"/>
      <c r="I4" s="25">
        <f xml:space="preserve"> SUM(L:L)</f>
        <v>0</v>
      </c>
    </row>
    <row r="5" spans="2:23" ht="15" customHeight="1">
      <c r="F5" s="74" t="s">
        <v>275</v>
      </c>
      <c r="G5" s="2"/>
      <c r="I5" s="84">
        <f xml:space="preserve"> SUM(M:M)</f>
        <v>0</v>
      </c>
    </row>
    <row r="6" spans="2:23" ht="15" customHeight="1">
      <c r="F6" s="74" t="s">
        <v>276</v>
      </c>
      <c r="G6" s="2"/>
      <c r="I6" s="25">
        <f xml:space="preserve"> SUM( L:L ) + SUM( '1.1 Provenu'!L:L ) + SUM( '1.2 Tarifoversigt'!L:L) + SUM( '1.3 Varslingsanalyse'!L:L) + SUM( '1.4 Hoveddata'!L:L) + SUM('2.1 Model setup'!L:L ) + SUM('2.2 Generelle input'!L:L ) + SUM( '2.3 Selskabsspecifikke input'!L:L) + SUM( '3.1 Opsplitning af forbrug'!L:L) + SUM( '3.2 Abonnement'!L:L) + SUM( '3.3 Forbrugstariffer og effekt'!L:L) + SUM( '3.4 Tidsdifferentieret tarif'!L:L) + SUM( 'Hjælpeark, forbrugsnøgler'!L:L) + SUM( 'Hjælpeark, fall-back-metoden'!L:L )</f>
        <v>0</v>
      </c>
    </row>
    <row r="7" spans="2:23" ht="15" customHeight="1">
      <c r="F7" s="75" t="s">
        <v>236</v>
      </c>
      <c r="G7" s="26"/>
      <c r="H7" s="27"/>
      <c r="I7" s="329">
        <f xml:space="preserve"> '1.3 Varslingsanalyse'!I7</f>
        <v>0</v>
      </c>
    </row>
    <row r="8" spans="2:23" ht="15" customHeight="1">
      <c r="L8" s="484" t="str">
        <f xml:space="preserve"> Header.Labels</f>
        <v>Checks</v>
      </c>
      <c r="M8" s="484"/>
    </row>
    <row r="9" spans="2:23" ht="5.0999999999999996" customHeight="1">
      <c r="E9" s="14"/>
      <c r="F9" s="28"/>
      <c r="G9" s="28"/>
      <c r="H9" s="28"/>
      <c r="I9" s="28"/>
      <c r="J9" s="28"/>
      <c r="L9" s="485"/>
      <c r="M9" s="473"/>
      <c r="N9" s="28"/>
      <c r="O9" s="28"/>
      <c r="P9" s="28"/>
      <c r="Q9" s="28"/>
    </row>
    <row r="10" spans="2:23"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2:23" s="15" customFormat="1" ht="15" customHeight="1">
      <c r="C11" s="16"/>
      <c r="D11" s="17"/>
      <c r="F11" s="1"/>
      <c r="K11" s="19"/>
    </row>
    <row r="12" spans="2:23" s="475" customFormat="1" ht="15" customHeight="1">
      <c r="B12" s="479" t="str">
        <f xml:space="preserve"> COUNTA(B$10:B11) &amp; ") Fordelingsnøgler"</f>
        <v>1) Fordelingsnøgler</v>
      </c>
      <c r="C12" s="477"/>
      <c r="D12" s="478"/>
      <c r="K12" s="472"/>
      <c r="L12" s="471"/>
    </row>
    <row r="13" spans="2:23" ht="15" customHeight="1">
      <c r="B13" s="2"/>
      <c r="L13" s="231"/>
    </row>
    <row r="14" spans="2:23" ht="15" customHeight="1">
      <c r="D14" s="88" t="s">
        <v>590</v>
      </c>
      <c r="L14" s="231"/>
      <c r="W14" s="89"/>
    </row>
    <row r="15" spans="2:23" ht="15" customHeight="1">
      <c r="D15" s="15" t="str">
        <f>'2.1 Model setup'!K70</f>
        <v>1.1 Drift og vedligeholdelse af transformerstationer</v>
      </c>
      <c r="E15" s="15"/>
      <c r="F15" s="150"/>
      <c r="G15" s="150"/>
      <c r="H15" s="150"/>
      <c r="I15" s="150"/>
      <c r="J15" s="150"/>
      <c r="K15" s="19" t="s">
        <v>132</v>
      </c>
      <c r="L15" s="537"/>
      <c r="M15" s="15"/>
      <c r="N15" s="15"/>
      <c r="O15" s="15">
        <f>'2.2 Generelle input'!O248</f>
        <v>0</v>
      </c>
      <c r="P15" s="15">
        <f>'2.2 Generelle input'!P248</f>
        <v>0</v>
      </c>
      <c r="Q15" s="274"/>
      <c r="R15" s="15">
        <f>'2.2 Generelle input'!R248</f>
        <v>1</v>
      </c>
      <c r="S15" s="15">
        <f>'2.2 Generelle input'!S248</f>
        <v>1</v>
      </c>
      <c r="T15" s="15">
        <f>'2.2 Generelle input'!T248</f>
        <v>1</v>
      </c>
      <c r="U15" s="274"/>
      <c r="V15" s="274"/>
      <c r="W15" s="18"/>
    </row>
    <row r="16" spans="2:23" ht="15" customHeight="1">
      <c r="D16" s="1" t="str">
        <f>'2.1 Model setup'!K71</f>
        <v>1.2 Drift og vedligeholdelse af ledningsnet</v>
      </c>
      <c r="F16" s="121"/>
      <c r="G16" s="121"/>
      <c r="H16" s="121"/>
      <c r="I16" s="121"/>
      <c r="J16" s="121"/>
      <c r="K16" s="5" t="s">
        <v>132</v>
      </c>
      <c r="L16" s="231"/>
      <c r="O16" s="1">
        <f>'2.2 Generelle input'!O249</f>
        <v>0</v>
      </c>
      <c r="P16" s="1">
        <f>'2.2 Generelle input'!P249</f>
        <v>0</v>
      </c>
      <c r="Q16" s="202"/>
      <c r="R16" s="1">
        <f>'2.2 Generelle input'!R249</f>
        <v>1</v>
      </c>
      <c r="S16" s="1">
        <f>'2.2 Generelle input'!S249</f>
        <v>1</v>
      </c>
      <c r="T16" s="1">
        <f>'2.2 Generelle input'!T249</f>
        <v>1</v>
      </c>
      <c r="U16" s="202"/>
      <c r="V16" s="202"/>
      <c r="W16" s="4"/>
    </row>
    <row r="17" spans="2:23" ht="15" customHeight="1">
      <c r="D17" s="1" t="str">
        <f>'2.1 Model setup'!K72</f>
        <v>1.3 Øvrige omkostninger til drift, styring og kontrol af elnettet</v>
      </c>
      <c r="F17" s="121"/>
      <c r="G17" s="121"/>
      <c r="H17" s="121"/>
      <c r="I17" s="121"/>
      <c r="J17" s="121"/>
      <c r="K17" s="5" t="s">
        <v>132</v>
      </c>
      <c r="L17" s="231"/>
      <c r="O17" s="1">
        <f>'2.2 Generelle input'!O250</f>
        <v>0</v>
      </c>
      <c r="P17" s="1">
        <f>'2.2 Generelle input'!P250</f>
        <v>0</v>
      </c>
      <c r="Q17" s="202"/>
      <c r="R17" s="1">
        <f>'2.2 Generelle input'!R250</f>
        <v>0</v>
      </c>
      <c r="S17" s="1">
        <f>'2.2 Generelle input'!S250</f>
        <v>0</v>
      </c>
      <c r="T17" s="1">
        <f>'2.2 Generelle input'!T250</f>
        <v>0</v>
      </c>
      <c r="U17" s="202"/>
      <c r="V17" s="202"/>
      <c r="W17" s="4"/>
    </row>
    <row r="18" spans="2:23" ht="15" customHeight="1">
      <c r="D18" s="1" t="str">
        <f>'2.1 Model setup'!K73</f>
        <v>1.4 Omkostninger vedrørende 132-150/30-60 kV-stationer</v>
      </c>
      <c r="F18" s="121"/>
      <c r="G18" s="121"/>
      <c r="H18" s="121"/>
      <c r="I18" s="121"/>
      <c r="J18" s="121"/>
      <c r="K18" s="5" t="s">
        <v>132</v>
      </c>
      <c r="L18" s="231"/>
      <c r="O18" s="1">
        <f>'2.2 Generelle input'!O251</f>
        <v>1</v>
      </c>
      <c r="P18" s="1">
        <f>'2.2 Generelle input'!P251</f>
        <v>1</v>
      </c>
      <c r="Q18" s="202"/>
      <c r="R18" s="1">
        <f>'2.2 Generelle input'!R251</f>
        <v>0</v>
      </c>
      <c r="S18" s="1">
        <f>'2.2 Generelle input'!S251</f>
        <v>0</v>
      </c>
      <c r="T18" s="1">
        <f>'2.2 Generelle input'!T251</f>
        <v>0</v>
      </c>
      <c r="U18" s="202"/>
      <c r="V18" s="202"/>
      <c r="W18" s="4"/>
    </row>
    <row r="19" spans="2:23" ht="15" customHeight="1">
      <c r="D19" s="1" t="str">
        <f>'2.1 Model setup'!K74</f>
        <v>2.1 Drift og vedligeholdelse af målere</v>
      </c>
      <c r="F19" s="121"/>
      <c r="G19" s="121"/>
      <c r="H19" s="121"/>
      <c r="I19" s="121"/>
      <c r="J19" s="121"/>
      <c r="K19" s="5" t="s">
        <v>132</v>
      </c>
      <c r="L19" s="231"/>
      <c r="O19" s="1">
        <f>'2.2 Generelle input'!O252</f>
        <v>0</v>
      </c>
      <c r="P19" s="1">
        <f>'2.2 Generelle input'!P252</f>
        <v>0</v>
      </c>
      <c r="Q19" s="202"/>
      <c r="R19" s="1">
        <f>'2.2 Generelle input'!R252</f>
        <v>0</v>
      </c>
      <c r="S19" s="1">
        <f>'2.2 Generelle input'!S252</f>
        <v>0</v>
      </c>
      <c r="T19" s="1">
        <f>'2.2 Generelle input'!T252</f>
        <v>0</v>
      </c>
      <c r="U19" s="202"/>
      <c r="V19" s="202"/>
      <c r="W19" s="4"/>
    </row>
    <row r="20" spans="2:23" ht="15" customHeight="1">
      <c r="D20" s="1" t="str">
        <f>'2.1 Model setup'!K75</f>
        <v>2.2 Indhentning og validering af målerdata</v>
      </c>
      <c r="F20" s="121"/>
      <c r="G20" s="121"/>
      <c r="H20" s="121"/>
      <c r="I20" s="121"/>
      <c r="J20" s="121"/>
      <c r="K20" s="5" t="s">
        <v>132</v>
      </c>
      <c r="L20" s="231"/>
      <c r="O20" s="1">
        <f>'2.2 Generelle input'!O253</f>
        <v>0</v>
      </c>
      <c r="P20" s="1">
        <f>'2.2 Generelle input'!P253</f>
        <v>0</v>
      </c>
      <c r="Q20" s="202"/>
      <c r="R20" s="1">
        <f>'2.2 Generelle input'!R253</f>
        <v>0</v>
      </c>
      <c r="S20" s="1">
        <f>'2.2 Generelle input'!S253</f>
        <v>0</v>
      </c>
      <c r="T20" s="1">
        <f>'2.2 Generelle input'!T253</f>
        <v>0</v>
      </c>
      <c r="U20" s="202"/>
      <c r="V20" s="202"/>
      <c r="W20" s="4"/>
    </row>
    <row r="21" spans="2:23" ht="15" customHeight="1">
      <c r="D21" s="1" t="str">
        <f>'2.1 Model setup'!K76</f>
        <v>2.3 Måleradministration og kundehåndtering</v>
      </c>
      <c r="F21" s="121"/>
      <c r="G21" s="121"/>
      <c r="H21" s="121"/>
      <c r="I21" s="121"/>
      <c r="J21" s="121"/>
      <c r="K21" s="5" t="s">
        <v>132</v>
      </c>
      <c r="L21" s="231"/>
      <c r="O21" s="1">
        <f>'2.2 Generelle input'!O254</f>
        <v>0</v>
      </c>
      <c r="P21" s="1">
        <f>'2.2 Generelle input'!P254</f>
        <v>0</v>
      </c>
      <c r="Q21" s="202"/>
      <c r="R21" s="1">
        <f>'2.2 Generelle input'!R254</f>
        <v>0</v>
      </c>
      <c r="S21" s="1">
        <f>'2.2 Generelle input'!S254</f>
        <v>0</v>
      </c>
      <c r="T21" s="1">
        <f>'2.2 Generelle input'!T254</f>
        <v>0</v>
      </c>
      <c r="U21" s="202"/>
      <c r="V21" s="202"/>
      <c r="W21" s="4"/>
    </row>
    <row r="22" spans="2:23" ht="15" customHeight="1">
      <c r="D22" s="1" t="str">
        <f>'2.1 Model setup'!K77</f>
        <v>3.1 Generel administration</v>
      </c>
      <c r="F22" s="121"/>
      <c r="G22" s="121"/>
      <c r="H22" s="121"/>
      <c r="I22" s="121"/>
      <c r="J22" s="121"/>
      <c r="K22" s="5" t="s">
        <v>132</v>
      </c>
      <c r="L22" s="231"/>
      <c r="O22" s="1">
        <f>'2.2 Generelle input'!O255</f>
        <v>0</v>
      </c>
      <c r="P22" s="1">
        <f>'2.2 Generelle input'!P255</f>
        <v>0</v>
      </c>
      <c r="Q22" s="202"/>
      <c r="R22" s="1">
        <f>'2.2 Generelle input'!R255</f>
        <v>0</v>
      </c>
      <c r="S22" s="1">
        <f>'2.2 Generelle input'!S255</f>
        <v>0</v>
      </c>
      <c r="T22" s="1">
        <f>'2.2 Generelle input'!T255</f>
        <v>0</v>
      </c>
      <c r="U22" s="202"/>
      <c r="V22" s="202"/>
      <c r="W22" s="4"/>
    </row>
    <row r="23" spans="2:23" ht="15" customHeight="1">
      <c r="D23" s="1" t="str">
        <f>'2.1 Model setup'!K78</f>
        <v>4.1 Omkostninger vedrørende nettab i transformerstationer</v>
      </c>
      <c r="F23" s="121"/>
      <c r="G23" s="121"/>
      <c r="H23" s="121"/>
      <c r="I23" s="121"/>
      <c r="J23" s="121"/>
      <c r="K23" s="5" t="s">
        <v>132</v>
      </c>
      <c r="L23" s="231"/>
      <c r="O23" s="1">
        <f>'2.2 Generelle input'!O256</f>
        <v>0</v>
      </c>
      <c r="P23" s="1">
        <f>'2.2 Generelle input'!P256</f>
        <v>0</v>
      </c>
      <c r="Q23" s="202"/>
      <c r="R23" s="1">
        <f>'2.2 Generelle input'!R256</f>
        <v>1</v>
      </c>
      <c r="S23" s="1">
        <f>'2.2 Generelle input'!S256</f>
        <v>1</v>
      </c>
      <c r="T23" s="1">
        <f>'2.2 Generelle input'!T256</f>
        <v>1</v>
      </c>
      <c r="U23" s="202"/>
      <c r="V23" s="202"/>
      <c r="W23" s="4"/>
    </row>
    <row r="24" spans="2:23" ht="15" customHeight="1">
      <c r="D24" s="1" t="str">
        <f>'2.1 Model setup'!K79</f>
        <v>4.2 Omkostninger vedrørende nettab i ledningsnettet</v>
      </c>
      <c r="F24" s="121"/>
      <c r="G24" s="121"/>
      <c r="H24" s="121"/>
      <c r="I24" s="121"/>
      <c r="J24" s="121"/>
      <c r="K24" s="5" t="s">
        <v>132</v>
      </c>
      <c r="L24" s="231"/>
      <c r="O24" s="1">
        <f>'2.2 Generelle input'!O257</f>
        <v>0</v>
      </c>
      <c r="P24" s="1">
        <f>'2.2 Generelle input'!P257</f>
        <v>0</v>
      </c>
      <c r="Q24" s="202"/>
      <c r="R24" s="1">
        <f>'2.2 Generelle input'!R257</f>
        <v>1</v>
      </c>
      <c r="S24" s="1">
        <f>'2.2 Generelle input'!S257</f>
        <v>1</v>
      </c>
      <c r="T24" s="1">
        <f>'2.2 Generelle input'!T257</f>
        <v>1</v>
      </c>
      <c r="U24" s="202"/>
      <c r="V24" s="202"/>
      <c r="W24" s="4"/>
    </row>
    <row r="25" spans="2:23" ht="15" customHeight="1">
      <c r="D25" s="1" t="str">
        <f>'2.1 Model setup'!K88</f>
        <v>5.1 Omkostninger til overliggende net ifm. indfødning</v>
      </c>
      <c r="F25" s="121"/>
      <c r="G25" s="121"/>
      <c r="H25" s="121"/>
      <c r="I25" s="121"/>
      <c r="J25" s="121"/>
      <c r="K25" s="5" t="s">
        <v>132</v>
      </c>
      <c r="L25" s="231"/>
      <c r="O25" s="1">
        <f>'2.2 Generelle input'!O258</f>
        <v>1</v>
      </c>
      <c r="P25" s="1">
        <f>'2.2 Generelle input'!P258</f>
        <v>1</v>
      </c>
      <c r="Q25" s="202"/>
      <c r="R25" s="1">
        <f>'2.2 Generelle input'!R258</f>
        <v>1</v>
      </c>
      <c r="S25" s="1">
        <f>'2.2 Generelle input'!S258</f>
        <v>1</v>
      </c>
      <c r="T25" s="1">
        <f>'2.2 Generelle input'!T258</f>
        <v>1</v>
      </c>
      <c r="U25" s="549">
        <f>'2.2 Generelle input'!U258</f>
        <v>1</v>
      </c>
      <c r="V25" s="549">
        <f>'2.2 Generelle input'!V258</f>
        <v>1</v>
      </c>
      <c r="W25" s="4"/>
    </row>
    <row r="26" spans="2:23" ht="15" customHeight="1">
      <c r="D26" s="1" t="str">
        <f>'2.1 Model setup'!K81</f>
        <v>5.2 Øvrige omkostninger</v>
      </c>
      <c r="F26" s="121"/>
      <c r="G26" s="121"/>
      <c r="H26" s="121"/>
      <c r="I26" s="121"/>
      <c r="J26" s="121"/>
      <c r="K26" s="5" t="s">
        <v>132</v>
      </c>
      <c r="L26" s="231"/>
      <c r="O26" s="1">
        <f>'2.2 Generelle input'!O259</f>
        <v>0</v>
      </c>
      <c r="P26" s="1">
        <f>'2.2 Generelle input'!P259</f>
        <v>0</v>
      </c>
      <c r="Q26" s="202"/>
      <c r="R26" s="1">
        <f>'2.2 Generelle input'!R259</f>
        <v>0</v>
      </c>
      <c r="S26" s="1">
        <f>'2.2 Generelle input'!S259</f>
        <v>0</v>
      </c>
      <c r="T26" s="1">
        <f>'2.2 Generelle input'!T259</f>
        <v>0</v>
      </c>
      <c r="U26" s="202"/>
      <c r="V26" s="202"/>
      <c r="W26" s="4"/>
    </row>
    <row r="27" spans="2:23" ht="15" customHeight="1">
      <c r="D27" s="1" t="str">
        <f>'2.1 Model setup'!K82</f>
        <v>6.1 Afskrivninger på transformerstationer</v>
      </c>
      <c r="F27" s="121"/>
      <c r="G27" s="121"/>
      <c r="H27" s="121"/>
      <c r="I27" s="121"/>
      <c r="J27" s="121"/>
      <c r="K27" s="5" t="s">
        <v>132</v>
      </c>
      <c r="L27" s="231"/>
      <c r="O27" s="1">
        <f>'2.2 Generelle input'!O260</f>
        <v>0</v>
      </c>
      <c r="P27" s="1">
        <f>'2.2 Generelle input'!P260</f>
        <v>0</v>
      </c>
      <c r="Q27" s="202"/>
      <c r="R27" s="1">
        <f>'2.2 Generelle input'!R260</f>
        <v>0</v>
      </c>
      <c r="S27" s="1">
        <f>'2.2 Generelle input'!S260</f>
        <v>0</v>
      </c>
      <c r="T27" s="1">
        <f>'2.2 Generelle input'!T260</f>
        <v>0</v>
      </c>
      <c r="U27" s="202"/>
      <c r="V27" s="202"/>
      <c r="W27" s="4"/>
    </row>
    <row r="28" spans="2:23" ht="15" customHeight="1">
      <c r="D28" s="1" t="str">
        <f>'2.1 Model setup'!K83</f>
        <v>6.2 Afskrivninger på netaktiver ekskl. målere og transformerstationer</v>
      </c>
      <c r="F28" s="121"/>
      <c r="G28" s="121"/>
      <c r="H28" s="121"/>
      <c r="I28" s="121"/>
      <c r="J28" s="121"/>
      <c r="K28" s="5" t="s">
        <v>132</v>
      </c>
      <c r="L28" s="231"/>
      <c r="O28" s="1">
        <f>'2.2 Generelle input'!O261</f>
        <v>0</v>
      </c>
      <c r="P28" s="1">
        <f>'2.2 Generelle input'!P261</f>
        <v>0</v>
      </c>
      <c r="Q28" s="202"/>
      <c r="R28" s="1">
        <f>'2.2 Generelle input'!R261</f>
        <v>0</v>
      </c>
      <c r="S28" s="1">
        <f>'2.2 Generelle input'!S261</f>
        <v>0</v>
      </c>
      <c r="T28" s="1">
        <f>'2.2 Generelle input'!T261</f>
        <v>0</v>
      </c>
      <c r="U28" s="202"/>
      <c r="V28" s="202"/>
      <c r="W28" s="4"/>
    </row>
    <row r="29" spans="2:23" ht="15" customHeight="1">
      <c r="D29" s="27" t="str">
        <f>'2.1 Model setup'!K84</f>
        <v>6.3 Afskrivninger på målere</v>
      </c>
      <c r="E29" s="27"/>
      <c r="F29" s="131"/>
      <c r="G29" s="131"/>
      <c r="H29" s="131"/>
      <c r="I29" s="131"/>
      <c r="J29" s="131"/>
      <c r="K29" s="32" t="s">
        <v>132</v>
      </c>
      <c r="L29" s="510"/>
      <c r="M29" s="27"/>
      <c r="N29" s="27"/>
      <c r="O29" s="27">
        <f>'2.2 Generelle input'!O262</f>
        <v>0</v>
      </c>
      <c r="P29" s="27">
        <f>'2.2 Generelle input'!P262</f>
        <v>0</v>
      </c>
      <c r="Q29" s="269"/>
      <c r="R29" s="27">
        <f>'2.2 Generelle input'!R262</f>
        <v>0</v>
      </c>
      <c r="S29" s="27">
        <f>'2.2 Generelle input'!S262</f>
        <v>0</v>
      </c>
      <c r="T29" s="27">
        <f>'2.2 Generelle input'!T262</f>
        <v>0</v>
      </c>
      <c r="U29" s="269"/>
      <c r="V29" s="269"/>
      <c r="W29" s="35"/>
    </row>
    <row r="30" spans="2:23" ht="15" customHeight="1">
      <c r="B30" s="2"/>
      <c r="L30" s="231"/>
    </row>
    <row r="31" spans="2:23" ht="15" customHeight="1">
      <c r="D31" s="4" t="s">
        <v>588</v>
      </c>
      <c r="L31" s="231"/>
      <c r="W31" s="89" t="s">
        <v>16</v>
      </c>
    </row>
    <row r="32" spans="2:23" ht="15" customHeight="1">
      <c r="D32" s="15" t="str">
        <f>'2.1 Model setup'!K70</f>
        <v>1.1 Drift og vedligeholdelse af transformerstationer</v>
      </c>
      <c r="E32" s="15"/>
      <c r="F32" s="150"/>
      <c r="G32" s="150"/>
      <c r="H32" s="150"/>
      <c r="I32" s="150"/>
      <c r="J32" s="150"/>
      <c r="K32" s="19" t="str">
        <f t="shared" ref="K32:K46" si="0" xml:space="preserve"> Model.Units2</f>
        <v>kWh</v>
      </c>
      <c r="L32" s="537"/>
      <c r="M32" s="15"/>
      <c r="N32" s="15"/>
      <c r="O32" s="15">
        <f>'2.3 Selskabsspecifikke input'!O$310*O15</f>
        <v>0</v>
      </c>
      <c r="P32" s="15">
        <f>'2.3 Selskabsspecifikke input'!P$310*P15</f>
        <v>0</v>
      </c>
      <c r="Q32" s="274"/>
      <c r="R32" s="15">
        <f>'2.3 Selskabsspecifikke input'!R$310*R15</f>
        <v>0</v>
      </c>
      <c r="S32" s="15">
        <f>'2.3 Selskabsspecifikke input'!S$310*S15</f>
        <v>0</v>
      </c>
      <c r="T32" s="15">
        <f>'2.3 Selskabsspecifikke input'!T$310*T15</f>
        <v>0</v>
      </c>
      <c r="U32" s="274"/>
      <c r="V32" s="274"/>
      <c r="W32" s="18">
        <f xml:space="preserve"> SUM( O32:V32 )</f>
        <v>0</v>
      </c>
    </row>
    <row r="33" spans="1:25" ht="15" customHeight="1">
      <c r="D33" s="1" t="str">
        <f>'2.1 Model setup'!K71</f>
        <v>1.2 Drift og vedligeholdelse af ledningsnet</v>
      </c>
      <c r="F33" s="121"/>
      <c r="G33" s="121"/>
      <c r="H33" s="121"/>
      <c r="I33" s="121"/>
      <c r="J33" s="121"/>
      <c r="K33" s="5" t="str">
        <f t="shared" si="0"/>
        <v>kWh</v>
      </c>
      <c r="L33" s="231"/>
      <c r="O33" s="1">
        <f>'2.3 Selskabsspecifikke input'!O$310*O16</f>
        <v>0</v>
      </c>
      <c r="P33" s="1">
        <f>'2.3 Selskabsspecifikke input'!P$310*P16</f>
        <v>0</v>
      </c>
      <c r="Q33" s="202"/>
      <c r="R33" s="1">
        <f>'2.3 Selskabsspecifikke input'!R$310*R16</f>
        <v>0</v>
      </c>
      <c r="S33" s="1">
        <f>'2.3 Selskabsspecifikke input'!S$310*S16</f>
        <v>0</v>
      </c>
      <c r="T33" s="1">
        <f>'2.3 Selskabsspecifikke input'!T$310*T16</f>
        <v>0</v>
      </c>
      <c r="U33" s="202"/>
      <c r="V33" s="202"/>
      <c r="W33" s="4">
        <f t="shared" ref="W33:W45" si="1" xml:space="preserve"> SUM( O33:V33 )</f>
        <v>0</v>
      </c>
    </row>
    <row r="34" spans="1:25" ht="15" customHeight="1">
      <c r="D34" s="1" t="str">
        <f>'2.1 Model setup'!K72</f>
        <v>1.3 Øvrige omkostninger til drift, styring og kontrol af elnettet</v>
      </c>
      <c r="F34" s="121"/>
      <c r="G34" s="121"/>
      <c r="H34" s="121"/>
      <c r="I34" s="121"/>
      <c r="J34" s="121"/>
      <c r="K34" s="5" t="str">
        <f t="shared" si="0"/>
        <v>kWh</v>
      </c>
      <c r="L34" s="231"/>
      <c r="O34" s="1">
        <f>'2.3 Selskabsspecifikke input'!O$310*O17</f>
        <v>0</v>
      </c>
      <c r="P34" s="1">
        <f>'2.3 Selskabsspecifikke input'!P$310*P17</f>
        <v>0</v>
      </c>
      <c r="Q34" s="202"/>
      <c r="R34" s="1">
        <f>'2.3 Selskabsspecifikke input'!R$310*R17</f>
        <v>0</v>
      </c>
      <c r="S34" s="1">
        <f>'2.3 Selskabsspecifikke input'!S$310*S17</f>
        <v>0</v>
      </c>
      <c r="T34" s="1">
        <f>'2.3 Selskabsspecifikke input'!T$310*T17</f>
        <v>0</v>
      </c>
      <c r="U34" s="202"/>
      <c r="V34" s="202"/>
      <c r="W34" s="4">
        <f t="shared" si="1"/>
        <v>0</v>
      </c>
    </row>
    <row r="35" spans="1:25" ht="15" customHeight="1">
      <c r="D35" s="1" t="str">
        <f>'2.1 Model setup'!K73</f>
        <v>1.4 Omkostninger vedrørende 132-150/30-60 kV-stationer</v>
      </c>
      <c r="F35" s="121"/>
      <c r="G35" s="121"/>
      <c r="H35" s="121"/>
      <c r="I35" s="121"/>
      <c r="J35" s="121"/>
      <c r="K35" s="5" t="str">
        <f t="shared" si="0"/>
        <v>kWh</v>
      </c>
      <c r="L35" s="231"/>
      <c r="O35" s="1">
        <f>'2.3 Selskabsspecifikke input'!O$310*O18</f>
        <v>0</v>
      </c>
      <c r="P35" s="1">
        <f>'2.3 Selskabsspecifikke input'!P$310*P18</f>
        <v>0</v>
      </c>
      <c r="Q35" s="202"/>
      <c r="R35" s="1">
        <f>'2.3 Selskabsspecifikke input'!R$310*R18</f>
        <v>0</v>
      </c>
      <c r="S35" s="1">
        <f>'2.3 Selskabsspecifikke input'!S$310*S18</f>
        <v>0</v>
      </c>
      <c r="T35" s="1">
        <f>'2.3 Selskabsspecifikke input'!T$310*T18</f>
        <v>0</v>
      </c>
      <c r="U35" s="202"/>
      <c r="V35" s="202"/>
      <c r="W35" s="4">
        <f t="shared" si="1"/>
        <v>0</v>
      </c>
    </row>
    <row r="36" spans="1:25" ht="15" customHeight="1">
      <c r="D36" s="1" t="str">
        <f>'2.1 Model setup'!K74</f>
        <v>2.1 Drift og vedligeholdelse af målere</v>
      </c>
      <c r="F36" s="121"/>
      <c r="G36" s="121"/>
      <c r="H36" s="121"/>
      <c r="I36" s="121"/>
      <c r="J36" s="121"/>
      <c r="K36" s="5" t="str">
        <f t="shared" si="0"/>
        <v>kWh</v>
      </c>
      <c r="L36" s="231"/>
      <c r="O36" s="1">
        <f>'2.3 Selskabsspecifikke input'!O$310*O19</f>
        <v>0</v>
      </c>
      <c r="P36" s="1">
        <f>'2.3 Selskabsspecifikke input'!P$310*P19</f>
        <v>0</v>
      </c>
      <c r="Q36" s="202"/>
      <c r="R36" s="1">
        <f>'2.3 Selskabsspecifikke input'!R$310*R19</f>
        <v>0</v>
      </c>
      <c r="S36" s="1">
        <f>'2.3 Selskabsspecifikke input'!S$310*S19</f>
        <v>0</v>
      </c>
      <c r="T36" s="1">
        <f>'2.3 Selskabsspecifikke input'!T$310*T19</f>
        <v>0</v>
      </c>
      <c r="U36" s="202"/>
      <c r="V36" s="202"/>
      <c r="W36" s="4">
        <f t="shared" si="1"/>
        <v>0</v>
      </c>
    </row>
    <row r="37" spans="1:25" ht="15" customHeight="1">
      <c r="D37" s="1" t="str">
        <f>'2.1 Model setup'!K75</f>
        <v>2.2 Indhentning og validering af målerdata</v>
      </c>
      <c r="F37" s="121"/>
      <c r="G37" s="121"/>
      <c r="H37" s="121"/>
      <c r="I37" s="121"/>
      <c r="J37" s="121"/>
      <c r="K37" s="5" t="str">
        <f t="shared" si="0"/>
        <v>kWh</v>
      </c>
      <c r="L37" s="231"/>
      <c r="O37" s="1">
        <f>'2.3 Selskabsspecifikke input'!O$310*O20</f>
        <v>0</v>
      </c>
      <c r="P37" s="1">
        <f>'2.3 Selskabsspecifikke input'!P$310*P20</f>
        <v>0</v>
      </c>
      <c r="Q37" s="202"/>
      <c r="R37" s="1">
        <f>'2.3 Selskabsspecifikke input'!R$310*R20</f>
        <v>0</v>
      </c>
      <c r="S37" s="1">
        <f>'2.3 Selskabsspecifikke input'!S$310*S20</f>
        <v>0</v>
      </c>
      <c r="T37" s="1">
        <f>'2.3 Selskabsspecifikke input'!T$310*T20</f>
        <v>0</v>
      </c>
      <c r="U37" s="202"/>
      <c r="V37" s="202"/>
      <c r="W37" s="4">
        <f t="shared" si="1"/>
        <v>0</v>
      </c>
    </row>
    <row r="38" spans="1:25" ht="15" customHeight="1">
      <c r="D38" s="1" t="str">
        <f>'2.1 Model setup'!K76</f>
        <v>2.3 Måleradministration og kundehåndtering</v>
      </c>
      <c r="F38" s="121"/>
      <c r="G38" s="121"/>
      <c r="H38" s="121"/>
      <c r="I38" s="121"/>
      <c r="J38" s="121"/>
      <c r="K38" s="5" t="str">
        <f t="shared" si="0"/>
        <v>kWh</v>
      </c>
      <c r="L38" s="231"/>
      <c r="O38" s="1">
        <f>'2.3 Selskabsspecifikke input'!O$310*O21</f>
        <v>0</v>
      </c>
      <c r="P38" s="1">
        <f>'2.3 Selskabsspecifikke input'!P$310*P21</f>
        <v>0</v>
      </c>
      <c r="Q38" s="202"/>
      <c r="R38" s="1">
        <f>'2.3 Selskabsspecifikke input'!R$310*R21</f>
        <v>0</v>
      </c>
      <c r="S38" s="1">
        <f>'2.3 Selskabsspecifikke input'!S$310*S21</f>
        <v>0</v>
      </c>
      <c r="T38" s="1">
        <f>'2.3 Selskabsspecifikke input'!T$310*T21</f>
        <v>0</v>
      </c>
      <c r="U38" s="202"/>
      <c r="V38" s="202"/>
      <c r="W38" s="4">
        <f t="shared" si="1"/>
        <v>0</v>
      </c>
    </row>
    <row r="39" spans="1:25" ht="15" customHeight="1">
      <c r="D39" s="1" t="str">
        <f>'2.1 Model setup'!K77</f>
        <v>3.1 Generel administration</v>
      </c>
      <c r="F39" s="121"/>
      <c r="G39" s="121"/>
      <c r="H39" s="121"/>
      <c r="I39" s="121"/>
      <c r="J39" s="121"/>
      <c r="K39" s="5" t="str">
        <f t="shared" si="0"/>
        <v>kWh</v>
      </c>
      <c r="L39" s="231"/>
      <c r="O39" s="1">
        <f>'2.3 Selskabsspecifikke input'!O$310*O22</f>
        <v>0</v>
      </c>
      <c r="P39" s="1">
        <f>'2.3 Selskabsspecifikke input'!P$310*P22</f>
        <v>0</v>
      </c>
      <c r="Q39" s="202"/>
      <c r="R39" s="1">
        <f>'2.3 Selskabsspecifikke input'!R$310*R22</f>
        <v>0</v>
      </c>
      <c r="S39" s="1">
        <f>'2.3 Selskabsspecifikke input'!S$310*S22</f>
        <v>0</v>
      </c>
      <c r="T39" s="1">
        <f>'2.3 Selskabsspecifikke input'!T$310*T22</f>
        <v>0</v>
      </c>
      <c r="U39" s="202"/>
      <c r="V39" s="202"/>
      <c r="W39" s="4">
        <f t="shared" si="1"/>
        <v>0</v>
      </c>
    </row>
    <row r="40" spans="1:25" ht="15" customHeight="1">
      <c r="D40" s="1" t="str">
        <f>'2.1 Model setup'!K78</f>
        <v>4.1 Omkostninger vedrørende nettab i transformerstationer</v>
      </c>
      <c r="F40" s="121"/>
      <c r="G40" s="121"/>
      <c r="H40" s="121"/>
      <c r="I40" s="121"/>
      <c r="J40" s="121"/>
      <c r="K40" s="5" t="str">
        <f t="shared" si="0"/>
        <v>kWh</v>
      </c>
      <c r="L40" s="231"/>
      <c r="O40" s="1">
        <f>'2.3 Selskabsspecifikke input'!O$310*O23</f>
        <v>0</v>
      </c>
      <c r="P40" s="1">
        <f>'2.3 Selskabsspecifikke input'!P$310*P23</f>
        <v>0</v>
      </c>
      <c r="Q40" s="202"/>
      <c r="R40" s="1">
        <f>'2.3 Selskabsspecifikke input'!R$310*R23</f>
        <v>0</v>
      </c>
      <c r="S40" s="1">
        <f>'2.3 Selskabsspecifikke input'!S$310*S23</f>
        <v>0</v>
      </c>
      <c r="T40" s="1">
        <f>'2.3 Selskabsspecifikke input'!T$310*T23</f>
        <v>0</v>
      </c>
      <c r="U40" s="202"/>
      <c r="V40" s="202"/>
      <c r="W40" s="4">
        <f t="shared" si="1"/>
        <v>0</v>
      </c>
    </row>
    <row r="41" spans="1:25" ht="15" customHeight="1">
      <c r="D41" s="1" t="str">
        <f>'2.1 Model setup'!K79</f>
        <v>4.2 Omkostninger vedrørende nettab i ledningsnettet</v>
      </c>
      <c r="F41" s="121"/>
      <c r="G41" s="121"/>
      <c r="H41" s="121"/>
      <c r="I41" s="121"/>
      <c r="J41" s="121"/>
      <c r="K41" s="5" t="str">
        <f t="shared" si="0"/>
        <v>kWh</v>
      </c>
      <c r="L41" s="231"/>
      <c r="O41" s="1">
        <f>'2.3 Selskabsspecifikke input'!O$310*O24</f>
        <v>0</v>
      </c>
      <c r="P41" s="1">
        <f>'2.3 Selskabsspecifikke input'!P$310*P24</f>
        <v>0</v>
      </c>
      <c r="Q41" s="202"/>
      <c r="R41" s="1">
        <f>'2.3 Selskabsspecifikke input'!R$310*R24</f>
        <v>0</v>
      </c>
      <c r="S41" s="1">
        <f>'2.3 Selskabsspecifikke input'!S$310*S24</f>
        <v>0</v>
      </c>
      <c r="T41" s="1">
        <f>'2.3 Selskabsspecifikke input'!T$310*T24</f>
        <v>0</v>
      </c>
      <c r="U41" s="202"/>
      <c r="V41" s="202"/>
      <c r="W41" s="4">
        <f xml:space="preserve"> SUM( O41:V41 )</f>
        <v>0</v>
      </c>
    </row>
    <row r="42" spans="1:25" ht="15" customHeight="1">
      <c r="D42" s="1" t="str">
        <f>'2.1 Model setup'!K88</f>
        <v>5.1 Omkostninger til overliggende net ifm. indfødning</v>
      </c>
      <c r="F42" s="121"/>
      <c r="G42" s="121"/>
      <c r="H42" s="121"/>
      <c r="I42" s="121"/>
      <c r="J42" s="121"/>
      <c r="K42" s="5" t="str">
        <f t="shared" si="0"/>
        <v>kWh</v>
      </c>
      <c r="L42" s="231"/>
      <c r="O42" s="1">
        <f>'2.3 Selskabsspecifikke input'!O$310*O25</f>
        <v>0</v>
      </c>
      <c r="P42" s="1">
        <f>'2.3 Selskabsspecifikke input'!P$310*P25</f>
        <v>0</v>
      </c>
      <c r="Q42" s="202"/>
      <c r="R42" s="1">
        <f>'2.3 Selskabsspecifikke input'!R$310*R25</f>
        <v>0</v>
      </c>
      <c r="S42" s="1">
        <f>'2.3 Selskabsspecifikke input'!S$310*S25</f>
        <v>0</v>
      </c>
      <c r="T42" s="1">
        <f>'2.3 Selskabsspecifikke input'!T$310*T25</f>
        <v>0</v>
      </c>
      <c r="U42" s="549">
        <f>'2.3 Selskabsspecifikke input'!U$310*U25</f>
        <v>0</v>
      </c>
      <c r="V42" s="549">
        <f>'2.3 Selskabsspecifikke input'!V$310*V25</f>
        <v>0</v>
      </c>
      <c r="W42" s="4">
        <f t="shared" si="1"/>
        <v>0</v>
      </c>
    </row>
    <row r="43" spans="1:25" ht="15" customHeight="1">
      <c r="D43" s="1" t="str">
        <f>'2.1 Model setup'!K81</f>
        <v>5.2 Øvrige omkostninger</v>
      </c>
      <c r="F43" s="121"/>
      <c r="G43" s="121"/>
      <c r="H43" s="121"/>
      <c r="I43" s="121"/>
      <c r="J43" s="121"/>
      <c r="K43" s="5" t="str">
        <f t="shared" si="0"/>
        <v>kWh</v>
      </c>
      <c r="L43" s="231"/>
      <c r="O43" s="1">
        <f>'2.3 Selskabsspecifikke input'!O$310*O26</f>
        <v>0</v>
      </c>
      <c r="P43" s="1">
        <f>'2.3 Selskabsspecifikke input'!P$310*P26</f>
        <v>0</v>
      </c>
      <c r="Q43" s="202"/>
      <c r="R43" s="1">
        <f>'2.3 Selskabsspecifikke input'!R$310*R26</f>
        <v>0</v>
      </c>
      <c r="S43" s="1">
        <f>'2.3 Selskabsspecifikke input'!S$310*S26</f>
        <v>0</v>
      </c>
      <c r="T43" s="1">
        <f>'2.3 Selskabsspecifikke input'!T$310*T26</f>
        <v>0</v>
      </c>
      <c r="U43" s="202"/>
      <c r="V43" s="202"/>
      <c r="W43" s="4">
        <f t="shared" si="1"/>
        <v>0</v>
      </c>
    </row>
    <row r="44" spans="1:25" ht="15" customHeight="1">
      <c r="D44" s="1" t="str">
        <f>'2.1 Model setup'!K82</f>
        <v>6.1 Afskrivninger på transformerstationer</v>
      </c>
      <c r="F44" s="121"/>
      <c r="G44" s="121"/>
      <c r="H44" s="121"/>
      <c r="I44" s="121"/>
      <c r="J44" s="121"/>
      <c r="K44" s="5" t="str">
        <f t="shared" si="0"/>
        <v>kWh</v>
      </c>
      <c r="L44" s="231"/>
      <c r="O44" s="1">
        <f>'2.3 Selskabsspecifikke input'!O$310*O27</f>
        <v>0</v>
      </c>
      <c r="P44" s="1">
        <f>'2.3 Selskabsspecifikke input'!P$310*P27</f>
        <v>0</v>
      </c>
      <c r="Q44" s="202"/>
      <c r="R44" s="1">
        <f>'2.3 Selskabsspecifikke input'!R$310*R27</f>
        <v>0</v>
      </c>
      <c r="S44" s="1">
        <f>'2.3 Selskabsspecifikke input'!S$310*S27</f>
        <v>0</v>
      </c>
      <c r="T44" s="1">
        <f>'2.3 Selskabsspecifikke input'!T$310*T27</f>
        <v>0</v>
      </c>
      <c r="U44" s="202"/>
      <c r="V44" s="202"/>
      <c r="W44" s="4">
        <f t="shared" si="1"/>
        <v>0</v>
      </c>
    </row>
    <row r="45" spans="1:25" ht="15" customHeight="1">
      <c r="D45" s="1" t="str">
        <f>'2.1 Model setup'!K83</f>
        <v>6.2 Afskrivninger på netaktiver ekskl. målere og transformerstationer</v>
      </c>
      <c r="F45" s="121"/>
      <c r="G45" s="121"/>
      <c r="H45" s="121"/>
      <c r="I45" s="121"/>
      <c r="J45" s="121"/>
      <c r="K45" s="5" t="str">
        <f t="shared" si="0"/>
        <v>kWh</v>
      </c>
      <c r="L45" s="231"/>
      <c r="O45" s="1">
        <f>'2.3 Selskabsspecifikke input'!O$310*O28</f>
        <v>0</v>
      </c>
      <c r="P45" s="1">
        <f>'2.3 Selskabsspecifikke input'!P$310*P28</f>
        <v>0</v>
      </c>
      <c r="Q45" s="202"/>
      <c r="R45" s="1">
        <f>'2.3 Selskabsspecifikke input'!R$310*R28</f>
        <v>0</v>
      </c>
      <c r="S45" s="1">
        <f>'2.3 Selskabsspecifikke input'!S$310*S28</f>
        <v>0</v>
      </c>
      <c r="T45" s="1">
        <f>'2.3 Selskabsspecifikke input'!T$310*T28</f>
        <v>0</v>
      </c>
      <c r="U45" s="202"/>
      <c r="V45" s="202"/>
      <c r="W45" s="4">
        <f t="shared" si="1"/>
        <v>0</v>
      </c>
    </row>
    <row r="46" spans="1:25" ht="15" customHeight="1">
      <c r="D46" s="27" t="str">
        <f>'2.1 Model setup'!K84</f>
        <v>6.3 Afskrivninger på målere</v>
      </c>
      <c r="E46" s="27"/>
      <c r="F46" s="131"/>
      <c r="G46" s="131"/>
      <c r="H46" s="131"/>
      <c r="I46" s="131"/>
      <c r="J46" s="131"/>
      <c r="K46" s="32" t="str">
        <f t="shared" si="0"/>
        <v>kWh</v>
      </c>
      <c r="L46" s="510"/>
      <c r="M46" s="27"/>
      <c r="N46" s="27"/>
      <c r="O46" s="27">
        <f>'2.3 Selskabsspecifikke input'!O$310*O29</f>
        <v>0</v>
      </c>
      <c r="P46" s="27">
        <f>'2.3 Selskabsspecifikke input'!P$310*P29</f>
        <v>0</v>
      </c>
      <c r="Q46" s="269"/>
      <c r="R46" s="27">
        <f>'2.3 Selskabsspecifikke input'!R$310*R29</f>
        <v>0</v>
      </c>
      <c r="S46" s="27">
        <f>'2.3 Selskabsspecifikke input'!S$310*S29</f>
        <v>0</v>
      </c>
      <c r="T46" s="27">
        <f>'2.3 Selskabsspecifikke input'!T$310*T29</f>
        <v>0</v>
      </c>
      <c r="U46" s="269"/>
      <c r="V46" s="269"/>
      <c r="W46" s="35">
        <f xml:space="preserve"> SUM( O46:V46 )</f>
        <v>0</v>
      </c>
    </row>
    <row r="47" spans="1:25" ht="15" customHeight="1">
      <c r="D47" s="1"/>
      <c r="K47" s="87"/>
      <c r="L47" s="231"/>
      <c r="R47" s="121"/>
      <c r="S47" s="121"/>
      <c r="T47" s="121"/>
      <c r="U47" s="121"/>
      <c r="V47" s="121"/>
      <c r="W47" s="111"/>
    </row>
    <row r="48" spans="1:25" customFormat="1" ht="15" customHeight="1">
      <c r="A48" s="1"/>
      <c r="B48" s="1"/>
      <c r="C48" s="2"/>
      <c r="D48" s="88" t="s">
        <v>574</v>
      </c>
      <c r="E48" s="1"/>
      <c r="F48" s="107"/>
      <c r="G48" s="107"/>
      <c r="H48" s="107"/>
      <c r="I48" s="107"/>
      <c r="J48" s="107"/>
      <c r="K48" s="87"/>
      <c r="L48" s="264"/>
      <c r="M48" s="85"/>
      <c r="N48" s="107"/>
      <c r="O48" s="107"/>
      <c r="P48" s="107"/>
      <c r="Q48" s="107"/>
      <c r="R48" s="1"/>
      <c r="S48" s="1"/>
      <c r="T48" s="1"/>
      <c r="U48" s="1"/>
      <c r="V48" s="1"/>
      <c r="W48" s="89" t="s">
        <v>16</v>
      </c>
      <c r="X48" s="1"/>
      <c r="Y48" s="1"/>
    </row>
    <row r="49" spans="1:25" customFormat="1" ht="15" customHeight="1">
      <c r="A49" s="1"/>
      <c r="B49" s="1"/>
      <c r="C49" s="2"/>
      <c r="D49" s="15" t="str">
        <f>'2.1 Model setup'!K70</f>
        <v>1.1 Drift og vedligeholdelse af transformerstationer</v>
      </c>
      <c r="E49" s="15"/>
      <c r="F49" s="150"/>
      <c r="G49" s="150"/>
      <c r="H49" s="150"/>
      <c r="I49" s="150"/>
      <c r="J49" s="150"/>
      <c r="K49" s="19" t="s">
        <v>4</v>
      </c>
      <c r="L49" s="263">
        <f xml:space="preserve"> -- ( IF( W49 = 0, 0, ROUND( SUM( O49:V49 ), 5 ) &lt;&gt; 100% ) )</f>
        <v>0</v>
      </c>
      <c r="M49" s="15"/>
      <c r="N49" s="15"/>
      <c r="O49" s="180">
        <f t="shared" ref="O49:P63" si="2">IF($W32=0,0,O32/$W32)</f>
        <v>0</v>
      </c>
      <c r="P49" s="180">
        <f t="shared" si="2"/>
        <v>0</v>
      </c>
      <c r="Q49" s="274"/>
      <c r="R49" s="180">
        <f t="shared" ref="R49:V63" si="3">IF($W32=0,0,R32/$W32)</f>
        <v>0</v>
      </c>
      <c r="S49" s="180">
        <f t="shared" si="3"/>
        <v>0</v>
      </c>
      <c r="T49" s="180">
        <f t="shared" si="3"/>
        <v>0</v>
      </c>
      <c r="U49" s="279"/>
      <c r="V49" s="279"/>
      <c r="W49" s="354">
        <f xml:space="preserve"> SUM( O49:V49 )</f>
        <v>0</v>
      </c>
      <c r="X49" s="111"/>
      <c r="Y49" s="121"/>
    </row>
    <row r="50" spans="1:25" customFormat="1" ht="15" customHeight="1">
      <c r="A50" s="1"/>
      <c r="B50" s="1"/>
      <c r="C50" s="2"/>
      <c r="D50" s="1" t="str">
        <f>'2.1 Model setup'!K71</f>
        <v>1.2 Drift og vedligeholdelse af ledningsnet</v>
      </c>
      <c r="E50" s="1"/>
      <c r="F50" s="121"/>
      <c r="G50" s="121"/>
      <c r="H50" s="121"/>
      <c r="I50" s="121"/>
      <c r="J50" s="121"/>
      <c r="K50" s="5" t="s">
        <v>4</v>
      </c>
      <c r="L50" s="264">
        <f t="shared" ref="L50:L63" si="4" xml:space="preserve"> -- ( IF( W50 = 0, 0, ROUND( SUM( O50:V50 ), 5 ) &lt;&gt; 100% ) )</f>
        <v>0</v>
      </c>
      <c r="M50" s="1"/>
      <c r="N50" s="1"/>
      <c r="O50" s="181">
        <f t="shared" si="2"/>
        <v>0</v>
      </c>
      <c r="P50" s="181">
        <f t="shared" si="2"/>
        <v>0</v>
      </c>
      <c r="Q50" s="202"/>
      <c r="R50" s="181">
        <f t="shared" si="3"/>
        <v>0</v>
      </c>
      <c r="S50" s="181">
        <f t="shared" si="3"/>
        <v>0</v>
      </c>
      <c r="T50" s="181">
        <f t="shared" si="3"/>
        <v>0</v>
      </c>
      <c r="U50" s="280"/>
      <c r="V50" s="280"/>
      <c r="W50" s="198">
        <f t="shared" ref="W50:W63" si="5" xml:space="preserve"> SUM( O50:V50 )</f>
        <v>0</v>
      </c>
      <c r="X50" s="111"/>
      <c r="Y50" s="121"/>
    </row>
    <row r="51" spans="1:25" customFormat="1" ht="15" customHeight="1">
      <c r="A51" s="1"/>
      <c r="B51" s="1"/>
      <c r="C51" s="2"/>
      <c r="D51" s="1" t="str">
        <f>'2.1 Model setup'!K72</f>
        <v>1.3 Øvrige omkostninger til drift, styring og kontrol af elnettet</v>
      </c>
      <c r="E51" s="1"/>
      <c r="F51" s="121"/>
      <c r="G51" s="121"/>
      <c r="H51" s="121"/>
      <c r="I51" s="121"/>
      <c r="J51" s="121"/>
      <c r="K51" s="5" t="s">
        <v>4</v>
      </c>
      <c r="L51" s="264">
        <f t="shared" si="4"/>
        <v>0</v>
      </c>
      <c r="M51" s="1"/>
      <c r="N51" s="1"/>
      <c r="O51" s="181">
        <f t="shared" si="2"/>
        <v>0</v>
      </c>
      <c r="P51" s="181">
        <f t="shared" si="2"/>
        <v>0</v>
      </c>
      <c r="Q51" s="202"/>
      <c r="R51" s="181">
        <f t="shared" si="3"/>
        <v>0</v>
      </c>
      <c r="S51" s="181">
        <f t="shared" si="3"/>
        <v>0</v>
      </c>
      <c r="T51" s="181">
        <f t="shared" si="3"/>
        <v>0</v>
      </c>
      <c r="U51" s="280"/>
      <c r="V51" s="280"/>
      <c r="W51" s="198">
        <f t="shared" si="5"/>
        <v>0</v>
      </c>
      <c r="X51" s="111"/>
      <c r="Y51" s="121"/>
    </row>
    <row r="52" spans="1:25" customFormat="1" ht="15" customHeight="1">
      <c r="A52" s="1"/>
      <c r="B52" s="1"/>
      <c r="C52" s="2"/>
      <c r="D52" s="1" t="str">
        <f>'2.1 Model setup'!K73</f>
        <v>1.4 Omkostninger vedrørende 132-150/30-60 kV-stationer</v>
      </c>
      <c r="E52" s="1"/>
      <c r="F52" s="121"/>
      <c r="G52" s="121"/>
      <c r="H52" s="121"/>
      <c r="I52" s="121"/>
      <c r="J52" s="121"/>
      <c r="K52" s="5" t="s">
        <v>4</v>
      </c>
      <c r="L52" s="264">
        <f t="shared" si="4"/>
        <v>0</v>
      </c>
      <c r="M52" s="1"/>
      <c r="N52" s="1"/>
      <c r="O52" s="181">
        <f t="shared" si="2"/>
        <v>0</v>
      </c>
      <c r="P52" s="181">
        <f t="shared" si="2"/>
        <v>0</v>
      </c>
      <c r="Q52" s="202"/>
      <c r="R52" s="181">
        <f t="shared" si="3"/>
        <v>0</v>
      </c>
      <c r="S52" s="181">
        <f t="shared" si="3"/>
        <v>0</v>
      </c>
      <c r="T52" s="181">
        <f t="shared" si="3"/>
        <v>0</v>
      </c>
      <c r="U52" s="280"/>
      <c r="V52" s="280"/>
      <c r="W52" s="198">
        <f t="shared" si="5"/>
        <v>0</v>
      </c>
      <c r="X52" s="111"/>
      <c r="Y52" s="121"/>
    </row>
    <row r="53" spans="1:25" customFormat="1" ht="15" customHeight="1">
      <c r="A53" s="1"/>
      <c r="B53" s="1"/>
      <c r="C53" s="2"/>
      <c r="D53" s="1" t="str">
        <f>'2.1 Model setup'!K74</f>
        <v>2.1 Drift og vedligeholdelse af målere</v>
      </c>
      <c r="E53" s="1"/>
      <c r="F53" s="121"/>
      <c r="G53" s="121"/>
      <c r="H53" s="121"/>
      <c r="I53" s="121"/>
      <c r="J53" s="121"/>
      <c r="K53" s="5" t="s">
        <v>4</v>
      </c>
      <c r="L53" s="264">
        <f xml:space="preserve"> -- ( IF( W53 = 0, 0, ROUND( SUM( O53:V53 ), 5 ) &lt;&gt; 100% ) )</f>
        <v>0</v>
      </c>
      <c r="M53" s="1"/>
      <c r="N53" s="1"/>
      <c r="O53" s="181">
        <f t="shared" si="2"/>
        <v>0</v>
      </c>
      <c r="P53" s="181">
        <f t="shared" si="2"/>
        <v>0</v>
      </c>
      <c r="Q53" s="202"/>
      <c r="R53" s="181">
        <f t="shared" si="3"/>
        <v>0</v>
      </c>
      <c r="S53" s="181">
        <f t="shared" si="3"/>
        <v>0</v>
      </c>
      <c r="T53" s="181">
        <f t="shared" si="3"/>
        <v>0</v>
      </c>
      <c r="U53" s="280"/>
      <c r="V53" s="280"/>
      <c r="W53" s="198">
        <f t="shared" si="5"/>
        <v>0</v>
      </c>
      <c r="X53" s="111"/>
      <c r="Y53" s="121"/>
    </row>
    <row r="54" spans="1:25" customFormat="1" ht="15" customHeight="1">
      <c r="A54" s="1"/>
      <c r="B54" s="1"/>
      <c r="C54" s="2"/>
      <c r="D54" s="1" t="str">
        <f>'2.1 Model setup'!K75</f>
        <v>2.2 Indhentning og validering af målerdata</v>
      </c>
      <c r="E54" s="1"/>
      <c r="F54" s="121"/>
      <c r="G54" s="121"/>
      <c r="H54" s="121"/>
      <c r="I54" s="121"/>
      <c r="J54" s="121"/>
      <c r="K54" s="5" t="s">
        <v>4</v>
      </c>
      <c r="L54" s="264">
        <f t="shared" si="4"/>
        <v>0</v>
      </c>
      <c r="M54" s="1"/>
      <c r="N54" s="1"/>
      <c r="O54" s="181">
        <f t="shared" si="2"/>
        <v>0</v>
      </c>
      <c r="P54" s="181">
        <f t="shared" si="2"/>
        <v>0</v>
      </c>
      <c r="Q54" s="202"/>
      <c r="R54" s="181">
        <f t="shared" si="3"/>
        <v>0</v>
      </c>
      <c r="S54" s="181">
        <f t="shared" si="3"/>
        <v>0</v>
      </c>
      <c r="T54" s="181">
        <f t="shared" si="3"/>
        <v>0</v>
      </c>
      <c r="U54" s="280"/>
      <c r="V54" s="280"/>
      <c r="W54" s="198">
        <f t="shared" si="5"/>
        <v>0</v>
      </c>
      <c r="X54" s="111"/>
      <c r="Y54" s="121"/>
    </row>
    <row r="55" spans="1:25" customFormat="1" ht="15" customHeight="1">
      <c r="A55" s="1"/>
      <c r="B55" s="1"/>
      <c r="C55" s="2"/>
      <c r="D55" s="1" t="str">
        <f>'2.1 Model setup'!K76</f>
        <v>2.3 Måleradministration og kundehåndtering</v>
      </c>
      <c r="E55" s="1"/>
      <c r="F55" s="121"/>
      <c r="G55" s="121"/>
      <c r="H55" s="121"/>
      <c r="I55" s="121"/>
      <c r="J55" s="121"/>
      <c r="K55" s="5" t="s">
        <v>4</v>
      </c>
      <c r="L55" s="264">
        <f t="shared" si="4"/>
        <v>0</v>
      </c>
      <c r="M55" s="1"/>
      <c r="N55" s="1"/>
      <c r="O55" s="181">
        <f t="shared" si="2"/>
        <v>0</v>
      </c>
      <c r="P55" s="181">
        <f t="shared" si="2"/>
        <v>0</v>
      </c>
      <c r="Q55" s="202"/>
      <c r="R55" s="181">
        <f t="shared" si="3"/>
        <v>0</v>
      </c>
      <c r="S55" s="181">
        <f t="shared" si="3"/>
        <v>0</v>
      </c>
      <c r="T55" s="181">
        <f t="shared" si="3"/>
        <v>0</v>
      </c>
      <c r="U55" s="280"/>
      <c r="V55" s="280"/>
      <c r="W55" s="198">
        <f t="shared" si="5"/>
        <v>0</v>
      </c>
      <c r="X55" s="111"/>
      <c r="Y55" s="121"/>
    </row>
    <row r="56" spans="1:25" customFormat="1" ht="15" customHeight="1">
      <c r="A56" s="1"/>
      <c r="B56" s="1"/>
      <c r="C56" s="2"/>
      <c r="D56" s="1" t="str">
        <f>'2.1 Model setup'!K77</f>
        <v>3.1 Generel administration</v>
      </c>
      <c r="E56" s="1"/>
      <c r="F56" s="121"/>
      <c r="G56" s="121"/>
      <c r="H56" s="121"/>
      <c r="I56" s="121"/>
      <c r="J56" s="121"/>
      <c r="K56" s="5" t="s">
        <v>4</v>
      </c>
      <c r="L56" s="264">
        <f t="shared" si="4"/>
        <v>0</v>
      </c>
      <c r="M56" s="1"/>
      <c r="N56" s="1"/>
      <c r="O56" s="181">
        <f t="shared" si="2"/>
        <v>0</v>
      </c>
      <c r="P56" s="181">
        <f t="shared" si="2"/>
        <v>0</v>
      </c>
      <c r="Q56" s="202"/>
      <c r="R56" s="181">
        <f t="shared" si="3"/>
        <v>0</v>
      </c>
      <c r="S56" s="181">
        <f t="shared" si="3"/>
        <v>0</v>
      </c>
      <c r="T56" s="181">
        <f t="shared" si="3"/>
        <v>0</v>
      </c>
      <c r="U56" s="280"/>
      <c r="V56" s="280"/>
      <c r="W56" s="198">
        <f t="shared" si="5"/>
        <v>0</v>
      </c>
      <c r="X56" s="111"/>
      <c r="Y56" s="121"/>
    </row>
    <row r="57" spans="1:25" customFormat="1" ht="15" customHeight="1">
      <c r="A57" s="1"/>
      <c r="B57" s="1"/>
      <c r="C57" s="2"/>
      <c r="D57" s="1" t="str">
        <f>'2.1 Model setup'!K78</f>
        <v>4.1 Omkostninger vedrørende nettab i transformerstationer</v>
      </c>
      <c r="E57" s="1"/>
      <c r="F57" s="121"/>
      <c r="G57" s="121"/>
      <c r="H57" s="121"/>
      <c r="I57" s="121"/>
      <c r="J57" s="121"/>
      <c r="K57" s="5" t="s">
        <v>4</v>
      </c>
      <c r="L57" s="264">
        <f t="shared" si="4"/>
        <v>0</v>
      </c>
      <c r="M57" s="1"/>
      <c r="N57" s="1"/>
      <c r="O57" s="181">
        <f t="shared" si="2"/>
        <v>0</v>
      </c>
      <c r="P57" s="181">
        <f t="shared" si="2"/>
        <v>0</v>
      </c>
      <c r="Q57" s="202"/>
      <c r="R57" s="181">
        <f t="shared" si="3"/>
        <v>0</v>
      </c>
      <c r="S57" s="181">
        <f t="shared" si="3"/>
        <v>0</v>
      </c>
      <c r="T57" s="181">
        <f t="shared" si="3"/>
        <v>0</v>
      </c>
      <c r="U57" s="280"/>
      <c r="V57" s="280"/>
      <c r="W57" s="198">
        <f t="shared" si="5"/>
        <v>0</v>
      </c>
      <c r="X57" s="111"/>
      <c r="Y57" s="121"/>
    </row>
    <row r="58" spans="1:25" customFormat="1" ht="15" customHeight="1">
      <c r="A58" s="1"/>
      <c r="B58" s="1"/>
      <c r="C58" s="2"/>
      <c r="D58" s="1" t="str">
        <f>'2.1 Model setup'!K79</f>
        <v>4.2 Omkostninger vedrørende nettab i ledningsnettet</v>
      </c>
      <c r="E58" s="1"/>
      <c r="F58" s="121"/>
      <c r="G58" s="121"/>
      <c r="H58" s="121"/>
      <c r="I58" s="121"/>
      <c r="J58" s="121"/>
      <c r="K58" s="5" t="s">
        <v>4</v>
      </c>
      <c r="L58" s="264">
        <f t="shared" si="4"/>
        <v>0</v>
      </c>
      <c r="M58" s="1"/>
      <c r="N58" s="1"/>
      <c r="O58" s="181">
        <f t="shared" si="2"/>
        <v>0</v>
      </c>
      <c r="P58" s="181">
        <f t="shared" si="2"/>
        <v>0</v>
      </c>
      <c r="Q58" s="202"/>
      <c r="R58" s="181">
        <f t="shared" si="3"/>
        <v>0</v>
      </c>
      <c r="S58" s="181">
        <f t="shared" si="3"/>
        <v>0</v>
      </c>
      <c r="T58" s="181">
        <f t="shared" si="3"/>
        <v>0</v>
      </c>
      <c r="U58" s="280"/>
      <c r="V58" s="280"/>
      <c r="W58" s="198">
        <f t="shared" si="5"/>
        <v>0</v>
      </c>
      <c r="X58" s="111"/>
      <c r="Y58" s="121"/>
    </row>
    <row r="59" spans="1:25" customFormat="1" ht="15" customHeight="1">
      <c r="A59" s="1"/>
      <c r="B59" s="1"/>
      <c r="C59" s="2"/>
      <c r="D59" s="1" t="str">
        <f>'2.1 Model setup'!K88</f>
        <v>5.1 Omkostninger til overliggende net ifm. indfødning</v>
      </c>
      <c r="E59" s="1"/>
      <c r="F59" s="121"/>
      <c r="G59" s="121"/>
      <c r="H59" s="121"/>
      <c r="I59" s="121"/>
      <c r="J59" s="121"/>
      <c r="K59" s="5" t="s">
        <v>4</v>
      </c>
      <c r="L59" s="264">
        <f t="shared" si="4"/>
        <v>0</v>
      </c>
      <c r="M59" s="1"/>
      <c r="N59" s="527"/>
      <c r="O59" s="181">
        <f t="shared" si="2"/>
        <v>0</v>
      </c>
      <c r="P59" s="181">
        <f t="shared" si="2"/>
        <v>0</v>
      </c>
      <c r="Q59" s="202"/>
      <c r="R59" s="181">
        <f t="shared" si="3"/>
        <v>0</v>
      </c>
      <c r="S59" s="181">
        <f t="shared" si="3"/>
        <v>0</v>
      </c>
      <c r="T59" s="181">
        <f t="shared" si="3"/>
        <v>0</v>
      </c>
      <c r="U59" s="641">
        <f t="shared" si="3"/>
        <v>0</v>
      </c>
      <c r="V59" s="641">
        <f t="shared" si="3"/>
        <v>0</v>
      </c>
      <c r="W59" s="198">
        <f t="shared" si="5"/>
        <v>0</v>
      </c>
      <c r="X59" s="111"/>
      <c r="Y59" s="121"/>
    </row>
    <row r="60" spans="1:25" customFormat="1" ht="15" customHeight="1">
      <c r="A60" s="1"/>
      <c r="B60" s="1"/>
      <c r="C60" s="2"/>
      <c r="D60" s="1" t="str">
        <f>'2.1 Model setup'!K81</f>
        <v>5.2 Øvrige omkostninger</v>
      </c>
      <c r="E60" s="1"/>
      <c r="F60" s="121"/>
      <c r="G60" s="121"/>
      <c r="H60" s="121"/>
      <c r="I60" s="121"/>
      <c r="J60" s="121"/>
      <c r="K60" s="5" t="s">
        <v>4</v>
      </c>
      <c r="L60" s="264">
        <f t="shared" si="4"/>
        <v>0</v>
      </c>
      <c r="M60" s="1"/>
      <c r="N60" s="540"/>
      <c r="O60" s="181">
        <f t="shared" si="2"/>
        <v>0</v>
      </c>
      <c r="P60" s="181">
        <f t="shared" si="2"/>
        <v>0</v>
      </c>
      <c r="Q60" s="202"/>
      <c r="R60" s="181">
        <f t="shared" si="3"/>
        <v>0</v>
      </c>
      <c r="S60" s="181">
        <f t="shared" si="3"/>
        <v>0</v>
      </c>
      <c r="T60" s="181">
        <f t="shared" si="3"/>
        <v>0</v>
      </c>
      <c r="U60" s="280"/>
      <c r="V60" s="280"/>
      <c r="W60" s="198">
        <f t="shared" si="5"/>
        <v>0</v>
      </c>
      <c r="X60" s="111"/>
      <c r="Y60" s="121"/>
    </row>
    <row r="61" spans="1:25" customFormat="1" ht="15" customHeight="1">
      <c r="A61" s="1"/>
      <c r="B61" s="1"/>
      <c r="C61" s="2"/>
      <c r="D61" s="1" t="str">
        <f>'2.1 Model setup'!K82</f>
        <v>6.1 Afskrivninger på transformerstationer</v>
      </c>
      <c r="E61" s="1"/>
      <c r="F61" s="121"/>
      <c r="G61" s="121"/>
      <c r="H61" s="121"/>
      <c r="I61" s="121"/>
      <c r="J61" s="121"/>
      <c r="K61" s="5" t="s">
        <v>4</v>
      </c>
      <c r="L61" s="264">
        <f t="shared" si="4"/>
        <v>0</v>
      </c>
      <c r="M61" s="1"/>
      <c r="N61" s="1"/>
      <c r="O61" s="181">
        <f t="shared" si="2"/>
        <v>0</v>
      </c>
      <c r="P61" s="181">
        <f t="shared" si="2"/>
        <v>0</v>
      </c>
      <c r="Q61" s="202"/>
      <c r="R61" s="181">
        <f t="shared" si="3"/>
        <v>0</v>
      </c>
      <c r="S61" s="181">
        <f t="shared" si="3"/>
        <v>0</v>
      </c>
      <c r="T61" s="181">
        <f t="shared" si="3"/>
        <v>0</v>
      </c>
      <c r="U61" s="280"/>
      <c r="V61" s="280"/>
      <c r="W61" s="198">
        <f t="shared" si="5"/>
        <v>0</v>
      </c>
      <c r="X61" s="111"/>
      <c r="Y61" s="121"/>
    </row>
    <row r="62" spans="1:25" customFormat="1" ht="15" customHeight="1">
      <c r="A62" s="1"/>
      <c r="B62" s="1"/>
      <c r="C62" s="2"/>
      <c r="D62" s="1" t="str">
        <f>'2.1 Model setup'!K83</f>
        <v>6.2 Afskrivninger på netaktiver ekskl. målere og transformerstationer</v>
      </c>
      <c r="E62" s="1"/>
      <c r="F62" s="121"/>
      <c r="G62" s="121"/>
      <c r="H62" s="121"/>
      <c r="I62" s="121"/>
      <c r="J62" s="121"/>
      <c r="K62" s="5" t="s">
        <v>4</v>
      </c>
      <c r="L62" s="264">
        <f t="shared" si="4"/>
        <v>0</v>
      </c>
      <c r="M62" s="1"/>
      <c r="N62" s="1"/>
      <c r="O62" s="181">
        <f t="shared" si="2"/>
        <v>0</v>
      </c>
      <c r="P62" s="181">
        <f t="shared" si="2"/>
        <v>0</v>
      </c>
      <c r="Q62" s="202"/>
      <c r="R62" s="181">
        <f t="shared" si="3"/>
        <v>0</v>
      </c>
      <c r="S62" s="181">
        <f t="shared" si="3"/>
        <v>0</v>
      </c>
      <c r="T62" s="181">
        <f t="shared" si="3"/>
        <v>0</v>
      </c>
      <c r="U62" s="280"/>
      <c r="V62" s="280"/>
      <c r="W62" s="198">
        <f t="shared" si="5"/>
        <v>0</v>
      </c>
      <c r="X62" s="111"/>
      <c r="Y62" s="121"/>
    </row>
    <row r="63" spans="1:25" customFormat="1" ht="15" customHeight="1">
      <c r="A63" s="1"/>
      <c r="B63" s="1"/>
      <c r="C63" s="2"/>
      <c r="D63" s="27" t="str">
        <f>'2.1 Model setup'!K84</f>
        <v>6.3 Afskrivninger på målere</v>
      </c>
      <c r="E63" s="27"/>
      <c r="F63" s="131"/>
      <c r="G63" s="131"/>
      <c r="H63" s="131"/>
      <c r="I63" s="131"/>
      <c r="J63" s="131"/>
      <c r="K63" s="32" t="s">
        <v>4</v>
      </c>
      <c r="L63" s="99">
        <f t="shared" si="4"/>
        <v>0</v>
      </c>
      <c r="M63" s="27"/>
      <c r="N63" s="27"/>
      <c r="O63" s="182">
        <f t="shared" si="2"/>
        <v>0</v>
      </c>
      <c r="P63" s="182">
        <f t="shared" si="2"/>
        <v>0</v>
      </c>
      <c r="Q63" s="269"/>
      <c r="R63" s="182">
        <f t="shared" si="3"/>
        <v>0</v>
      </c>
      <c r="S63" s="182">
        <f t="shared" si="3"/>
        <v>0</v>
      </c>
      <c r="T63" s="182">
        <f t="shared" si="3"/>
        <v>0</v>
      </c>
      <c r="U63" s="541"/>
      <c r="V63" s="541"/>
      <c r="W63" s="199">
        <f t="shared" si="5"/>
        <v>0</v>
      </c>
      <c r="X63" s="111"/>
      <c r="Y63" s="121"/>
    </row>
    <row r="64" spans="1:25" ht="15" customHeight="1">
      <c r="D64" s="1"/>
    </row>
    <row r="65" spans="2:23" ht="15" customHeight="1">
      <c r="D65" s="1"/>
    </row>
    <row r="66" spans="2:23" ht="15" customHeight="1">
      <c r="D66" s="1"/>
    </row>
    <row r="67" spans="2:23" s="475" customFormat="1" ht="15" customHeight="1">
      <c r="B67" s="479" t="str">
        <f xml:space="preserve"> COUNTA(B$10:B65) &amp; ") Fordeling af omkostninger"</f>
        <v>2) Fordeling af omkostninger</v>
      </c>
      <c r="C67" s="477"/>
      <c r="D67" s="478"/>
      <c r="K67" s="472"/>
    </row>
    <row r="68" spans="2:23" ht="15" customHeight="1">
      <c r="D68" s="1"/>
    </row>
    <row r="69" spans="2:23" ht="15" customHeight="1">
      <c r="D69" s="88" t="s">
        <v>49</v>
      </c>
      <c r="L69" s="231"/>
      <c r="N69" s="89" t="s">
        <v>16</v>
      </c>
      <c r="O69" s="89"/>
      <c r="P69" s="89"/>
      <c r="Q69" s="89"/>
      <c r="W69" s="89" t="s">
        <v>183</v>
      </c>
    </row>
    <row r="70" spans="2:23" ht="15" customHeight="1">
      <c r="D70" s="15" t="str">
        <f>'2.1 Model setup'!K70</f>
        <v>1.1 Drift og vedligeholdelse af transformerstationer</v>
      </c>
      <c r="E70" s="15"/>
      <c r="F70" s="150"/>
      <c r="G70" s="150"/>
      <c r="H70" s="150"/>
      <c r="I70" s="150"/>
      <c r="J70" s="150"/>
      <c r="K70" s="19" t="str">
        <f t="shared" ref="K70:K85" si="6" xml:space="preserve"> Model.Units</f>
        <v>DKKt</v>
      </c>
      <c r="L70" s="537"/>
      <c r="M70" s="15"/>
      <c r="N70" s="15">
        <f>'2.3 Selskabsspecifikke input'!N118</f>
        <v>0</v>
      </c>
      <c r="O70" s="15">
        <f>'2.3 Selskabsspecifikke input'!O118</f>
        <v>0</v>
      </c>
      <c r="P70" s="15">
        <f>'2.3 Selskabsspecifikke input'!P118</f>
        <v>0</v>
      </c>
      <c r="Q70" s="274"/>
      <c r="R70" s="15">
        <f>'2.3 Selskabsspecifikke input'!R118</f>
        <v>0</v>
      </c>
      <c r="S70" s="15">
        <f>'2.3 Selskabsspecifikke input'!S118</f>
        <v>0</v>
      </c>
      <c r="T70" s="15">
        <f>'2.3 Selskabsspecifikke input'!T118</f>
        <v>0</v>
      </c>
      <c r="U70" s="274"/>
      <c r="V70" s="274"/>
      <c r="W70" s="18">
        <f>'2.3 Selskabsspecifikke input'!W118</f>
        <v>0</v>
      </c>
    </row>
    <row r="71" spans="2:23" ht="15" customHeight="1">
      <c r="D71" s="1" t="str">
        <f>'2.1 Model setup'!K71</f>
        <v>1.2 Drift og vedligeholdelse af ledningsnet</v>
      </c>
      <c r="F71" s="121"/>
      <c r="G71" s="121"/>
      <c r="H71" s="121"/>
      <c r="I71" s="121"/>
      <c r="J71" s="121"/>
      <c r="K71" s="5" t="str">
        <f t="shared" si="6"/>
        <v>DKKt</v>
      </c>
      <c r="L71" s="231"/>
      <c r="N71" s="1">
        <f>'2.3 Selskabsspecifikke input'!N119</f>
        <v>0</v>
      </c>
      <c r="O71" s="1">
        <f>'2.3 Selskabsspecifikke input'!O119</f>
        <v>0</v>
      </c>
      <c r="P71" s="1">
        <f>'2.3 Selskabsspecifikke input'!P119</f>
        <v>0</v>
      </c>
      <c r="Q71" s="202"/>
      <c r="R71" s="1">
        <f>'2.3 Selskabsspecifikke input'!R119</f>
        <v>0</v>
      </c>
      <c r="S71" s="1">
        <f>'2.3 Selskabsspecifikke input'!S119</f>
        <v>0</v>
      </c>
      <c r="T71" s="1">
        <f>'2.3 Selskabsspecifikke input'!T119</f>
        <v>0</v>
      </c>
      <c r="U71" s="202"/>
      <c r="V71" s="202"/>
      <c r="W71" s="4">
        <f>'2.3 Selskabsspecifikke input'!W119</f>
        <v>0</v>
      </c>
    </row>
    <row r="72" spans="2:23" ht="15" customHeight="1">
      <c r="D72" s="1" t="str">
        <f>'2.1 Model setup'!K72</f>
        <v>1.3 Øvrige omkostninger til drift, styring og kontrol af elnettet</v>
      </c>
      <c r="F72" s="121"/>
      <c r="G72" s="121"/>
      <c r="H72" s="121"/>
      <c r="I72" s="121"/>
      <c r="J72" s="121"/>
      <c r="K72" s="5" t="str">
        <f t="shared" si="6"/>
        <v>DKKt</v>
      </c>
      <c r="L72" s="231"/>
      <c r="N72" s="1">
        <f>'2.3 Selskabsspecifikke input'!N120</f>
        <v>0</v>
      </c>
      <c r="O72" s="1">
        <f>'2.3 Selskabsspecifikke input'!O120</f>
        <v>0</v>
      </c>
      <c r="P72" s="1">
        <f>'2.3 Selskabsspecifikke input'!P120</f>
        <v>0</v>
      </c>
      <c r="Q72" s="202"/>
      <c r="R72" s="1">
        <f>'2.3 Selskabsspecifikke input'!R120</f>
        <v>0</v>
      </c>
      <c r="S72" s="1">
        <f>'2.3 Selskabsspecifikke input'!S120</f>
        <v>0</v>
      </c>
      <c r="T72" s="1">
        <f>'2.3 Selskabsspecifikke input'!T120</f>
        <v>0</v>
      </c>
      <c r="U72" s="202"/>
      <c r="V72" s="202"/>
      <c r="W72" s="4">
        <f>'2.3 Selskabsspecifikke input'!W120</f>
        <v>0</v>
      </c>
    </row>
    <row r="73" spans="2:23" ht="15" customHeight="1">
      <c r="D73" s="1" t="str">
        <f>'2.1 Model setup'!K73</f>
        <v>1.4 Omkostninger vedrørende 132-150/30-60 kV-stationer</v>
      </c>
      <c r="F73" s="121"/>
      <c r="G73" s="121"/>
      <c r="H73" s="121"/>
      <c r="I73" s="121"/>
      <c r="J73" s="121"/>
      <c r="K73" s="5" t="str">
        <f t="shared" si="6"/>
        <v>DKKt</v>
      </c>
      <c r="L73" s="231"/>
      <c r="N73" s="1">
        <f>'2.3 Selskabsspecifikke input'!N121</f>
        <v>0</v>
      </c>
      <c r="O73" s="1">
        <f>'2.3 Selskabsspecifikke input'!O121</f>
        <v>0</v>
      </c>
      <c r="P73" s="1">
        <f>'2.3 Selskabsspecifikke input'!P121</f>
        <v>0</v>
      </c>
      <c r="Q73" s="202"/>
      <c r="R73" s="1">
        <f>'2.3 Selskabsspecifikke input'!R121</f>
        <v>0</v>
      </c>
      <c r="S73" s="1">
        <f>'2.3 Selskabsspecifikke input'!S121</f>
        <v>0</v>
      </c>
      <c r="T73" s="1">
        <f>'2.3 Selskabsspecifikke input'!T121</f>
        <v>0</v>
      </c>
      <c r="U73" s="202"/>
      <c r="V73" s="202"/>
      <c r="W73" s="4">
        <f>'2.3 Selskabsspecifikke input'!W121</f>
        <v>0</v>
      </c>
    </row>
    <row r="74" spans="2:23" ht="15" customHeight="1">
      <c r="D74" s="1" t="str">
        <f>'2.1 Model setup'!K74</f>
        <v>2.1 Drift og vedligeholdelse af målere</v>
      </c>
      <c r="F74" s="121"/>
      <c r="G74" s="121"/>
      <c r="H74" s="121"/>
      <c r="I74" s="121"/>
      <c r="J74" s="121"/>
      <c r="K74" s="5" t="str">
        <f t="shared" si="6"/>
        <v>DKKt</v>
      </c>
      <c r="L74" s="231"/>
      <c r="N74" s="1">
        <f>'2.3 Selskabsspecifikke input'!N122</f>
        <v>0</v>
      </c>
      <c r="O74" s="1">
        <f>'2.3 Selskabsspecifikke input'!O122</f>
        <v>0</v>
      </c>
      <c r="P74" s="1">
        <f>'2.3 Selskabsspecifikke input'!P122</f>
        <v>0</v>
      </c>
      <c r="Q74" s="202"/>
      <c r="R74" s="1">
        <f>'2.3 Selskabsspecifikke input'!R122</f>
        <v>0</v>
      </c>
      <c r="S74" s="1">
        <f>'2.3 Selskabsspecifikke input'!S122</f>
        <v>0</v>
      </c>
      <c r="T74" s="1">
        <f>'2.3 Selskabsspecifikke input'!T122</f>
        <v>0</v>
      </c>
      <c r="U74" s="202"/>
      <c r="V74" s="202"/>
      <c r="W74" s="4">
        <f>'2.3 Selskabsspecifikke input'!W122</f>
        <v>0</v>
      </c>
    </row>
    <row r="75" spans="2:23" ht="15" customHeight="1">
      <c r="D75" s="1" t="str">
        <f>'2.1 Model setup'!K75</f>
        <v>2.2 Indhentning og validering af målerdata</v>
      </c>
      <c r="F75" s="121"/>
      <c r="G75" s="121"/>
      <c r="H75" s="121"/>
      <c r="I75" s="121"/>
      <c r="J75" s="121"/>
      <c r="K75" s="5" t="str">
        <f t="shared" si="6"/>
        <v>DKKt</v>
      </c>
      <c r="L75" s="231"/>
      <c r="N75" s="1">
        <f>'2.3 Selskabsspecifikke input'!N123</f>
        <v>0</v>
      </c>
      <c r="O75" s="1">
        <f>'2.3 Selskabsspecifikke input'!O123</f>
        <v>0</v>
      </c>
      <c r="P75" s="1">
        <f>'2.3 Selskabsspecifikke input'!P123</f>
        <v>0</v>
      </c>
      <c r="Q75" s="202"/>
      <c r="R75" s="1">
        <f>'2.3 Selskabsspecifikke input'!R123</f>
        <v>0</v>
      </c>
      <c r="S75" s="1">
        <f>'2.3 Selskabsspecifikke input'!S123</f>
        <v>0</v>
      </c>
      <c r="T75" s="1">
        <f>'2.3 Selskabsspecifikke input'!T123</f>
        <v>0</v>
      </c>
      <c r="U75" s="202"/>
      <c r="V75" s="202"/>
      <c r="W75" s="4">
        <f>'2.3 Selskabsspecifikke input'!W123</f>
        <v>0</v>
      </c>
    </row>
    <row r="76" spans="2:23" ht="15" customHeight="1">
      <c r="D76" s="1" t="str">
        <f>'2.1 Model setup'!K76</f>
        <v>2.3 Måleradministration og kundehåndtering</v>
      </c>
      <c r="F76" s="121"/>
      <c r="G76" s="121"/>
      <c r="H76" s="121"/>
      <c r="I76" s="121"/>
      <c r="J76" s="121"/>
      <c r="K76" s="5" t="str">
        <f t="shared" si="6"/>
        <v>DKKt</v>
      </c>
      <c r="L76" s="231"/>
      <c r="N76" s="1">
        <f>'2.3 Selskabsspecifikke input'!N124</f>
        <v>0</v>
      </c>
      <c r="O76" s="1">
        <f>'2.3 Selskabsspecifikke input'!O124</f>
        <v>0</v>
      </c>
      <c r="P76" s="1">
        <f>'2.3 Selskabsspecifikke input'!P124</f>
        <v>0</v>
      </c>
      <c r="Q76" s="202"/>
      <c r="R76" s="1">
        <f>'2.3 Selskabsspecifikke input'!R124</f>
        <v>0</v>
      </c>
      <c r="S76" s="1">
        <f>'2.3 Selskabsspecifikke input'!S124</f>
        <v>0</v>
      </c>
      <c r="T76" s="1">
        <f>'2.3 Selskabsspecifikke input'!T124</f>
        <v>0</v>
      </c>
      <c r="U76" s="202"/>
      <c r="V76" s="202"/>
      <c r="W76" s="4">
        <f>'2.3 Selskabsspecifikke input'!W124</f>
        <v>0</v>
      </c>
    </row>
    <row r="77" spans="2:23" ht="15" customHeight="1">
      <c r="D77" s="1" t="str">
        <f>'2.1 Model setup'!K77</f>
        <v>3.1 Generel administration</v>
      </c>
      <c r="F77" s="121"/>
      <c r="G77" s="121"/>
      <c r="H77" s="121"/>
      <c r="I77" s="121"/>
      <c r="J77" s="121"/>
      <c r="K77" s="5" t="str">
        <f t="shared" si="6"/>
        <v>DKKt</v>
      </c>
      <c r="L77" s="231"/>
      <c r="N77" s="1">
        <f>'2.3 Selskabsspecifikke input'!N125</f>
        <v>0</v>
      </c>
      <c r="O77" s="1">
        <f>'2.3 Selskabsspecifikke input'!O125</f>
        <v>0</v>
      </c>
      <c r="P77" s="1">
        <f>'2.3 Selskabsspecifikke input'!P125</f>
        <v>0</v>
      </c>
      <c r="Q77" s="202"/>
      <c r="R77" s="1">
        <f>'2.3 Selskabsspecifikke input'!R125</f>
        <v>0</v>
      </c>
      <c r="S77" s="1">
        <f>'2.3 Selskabsspecifikke input'!S125</f>
        <v>0</v>
      </c>
      <c r="T77" s="1">
        <f>'2.3 Selskabsspecifikke input'!T125</f>
        <v>0</v>
      </c>
      <c r="U77" s="202"/>
      <c r="V77" s="202"/>
      <c r="W77" s="4">
        <f>'2.3 Selskabsspecifikke input'!W125</f>
        <v>0</v>
      </c>
    </row>
    <row r="78" spans="2:23" ht="15" customHeight="1">
      <c r="D78" s="1" t="str">
        <f>'2.1 Model setup'!K78</f>
        <v>4.1 Omkostninger vedrørende nettab i transformerstationer</v>
      </c>
      <c r="F78" s="121"/>
      <c r="G78" s="121"/>
      <c r="H78" s="121"/>
      <c r="I78" s="121"/>
      <c r="J78" s="121"/>
      <c r="K78" s="5" t="str">
        <f t="shared" si="6"/>
        <v>DKKt</v>
      </c>
      <c r="L78" s="231"/>
      <c r="N78" s="1">
        <f>'2.3 Selskabsspecifikke input'!N126</f>
        <v>0</v>
      </c>
      <c r="O78" s="1">
        <f>'2.3 Selskabsspecifikke input'!O126</f>
        <v>0</v>
      </c>
      <c r="P78" s="1">
        <f>'2.3 Selskabsspecifikke input'!P126</f>
        <v>0</v>
      </c>
      <c r="Q78" s="202"/>
      <c r="R78" s="1">
        <f>'2.3 Selskabsspecifikke input'!R126</f>
        <v>0</v>
      </c>
      <c r="S78" s="1">
        <f>'2.3 Selskabsspecifikke input'!S126</f>
        <v>0</v>
      </c>
      <c r="T78" s="1">
        <f>'2.3 Selskabsspecifikke input'!T126</f>
        <v>0</v>
      </c>
      <c r="U78" s="202"/>
      <c r="V78" s="202"/>
      <c r="W78" s="4">
        <f>'2.3 Selskabsspecifikke input'!W126</f>
        <v>0</v>
      </c>
    </row>
    <row r="79" spans="2:23" ht="15" customHeight="1">
      <c r="D79" s="1" t="str">
        <f>'2.1 Model setup'!K79</f>
        <v>4.2 Omkostninger vedrørende nettab i ledningsnettet</v>
      </c>
      <c r="F79" s="121"/>
      <c r="G79" s="121"/>
      <c r="H79" s="121"/>
      <c r="I79" s="121"/>
      <c r="J79" s="121"/>
      <c r="K79" s="5" t="str">
        <f t="shared" si="6"/>
        <v>DKKt</v>
      </c>
      <c r="L79" s="231"/>
      <c r="N79" s="1">
        <f>'2.3 Selskabsspecifikke input'!N127</f>
        <v>0</v>
      </c>
      <c r="O79" s="1">
        <f>'2.3 Selskabsspecifikke input'!O127</f>
        <v>0</v>
      </c>
      <c r="P79" s="1">
        <f>'2.3 Selskabsspecifikke input'!P127</f>
        <v>0</v>
      </c>
      <c r="Q79" s="202"/>
      <c r="R79" s="1">
        <f>'2.3 Selskabsspecifikke input'!R127</f>
        <v>0</v>
      </c>
      <c r="S79" s="1">
        <f>'2.3 Selskabsspecifikke input'!S127</f>
        <v>0</v>
      </c>
      <c r="T79" s="1">
        <f>'2.3 Selskabsspecifikke input'!T127</f>
        <v>0</v>
      </c>
      <c r="U79" s="202"/>
      <c r="V79" s="202"/>
      <c r="W79" s="4">
        <f>'2.3 Selskabsspecifikke input'!W127</f>
        <v>0</v>
      </c>
    </row>
    <row r="80" spans="2:23" ht="15" customHeight="1">
      <c r="D80" s="1" t="str">
        <f>'2.1 Model setup'!K88</f>
        <v>5.1 Omkostninger til overliggende net ifm. indfødning</v>
      </c>
      <c r="F80" s="121"/>
      <c r="G80" s="121"/>
      <c r="H80" s="121"/>
      <c r="I80" s="121"/>
      <c r="J80" s="121"/>
      <c r="K80" s="5" t="str">
        <f t="shared" si="6"/>
        <v>DKKt</v>
      </c>
      <c r="L80" s="231"/>
      <c r="N80" s="1">
        <f>'2.3 Selskabsspecifikke input'!N128</f>
        <v>0</v>
      </c>
      <c r="O80" s="1">
        <f>'2.3 Selskabsspecifikke input'!O128</f>
        <v>0</v>
      </c>
      <c r="P80" s="1">
        <f>'2.3 Selskabsspecifikke input'!P128</f>
        <v>0</v>
      </c>
      <c r="Q80" s="202"/>
      <c r="R80" s="1">
        <f>'2.3 Selskabsspecifikke input'!R128</f>
        <v>0</v>
      </c>
      <c r="S80" s="1">
        <f>'2.3 Selskabsspecifikke input'!S128</f>
        <v>0</v>
      </c>
      <c r="T80" s="1">
        <f>'2.3 Selskabsspecifikke input'!T128</f>
        <v>0</v>
      </c>
      <c r="U80" s="202"/>
      <c r="V80" s="202"/>
      <c r="W80" s="4">
        <f>'2.3 Selskabsspecifikke input'!W128</f>
        <v>0</v>
      </c>
    </row>
    <row r="81" spans="4:23" ht="15" customHeight="1">
      <c r="D81" s="1" t="str">
        <f>'2.1 Model setup'!K81</f>
        <v>5.2 Øvrige omkostninger</v>
      </c>
      <c r="F81" s="121"/>
      <c r="G81" s="121"/>
      <c r="H81" s="121"/>
      <c r="I81" s="121"/>
      <c r="J81" s="121"/>
      <c r="K81" s="5" t="str">
        <f t="shared" si="6"/>
        <v>DKKt</v>
      </c>
      <c r="L81" s="231"/>
      <c r="N81" s="1">
        <f>'2.3 Selskabsspecifikke input'!N129</f>
        <v>0</v>
      </c>
      <c r="O81" s="1">
        <f>'2.3 Selskabsspecifikke input'!O129</f>
        <v>0</v>
      </c>
      <c r="P81" s="1">
        <f>'2.3 Selskabsspecifikke input'!P129</f>
        <v>0</v>
      </c>
      <c r="Q81" s="202"/>
      <c r="R81" s="1">
        <f>'2.3 Selskabsspecifikke input'!R129</f>
        <v>0</v>
      </c>
      <c r="S81" s="1">
        <f>'2.3 Selskabsspecifikke input'!S129</f>
        <v>0</v>
      </c>
      <c r="T81" s="1">
        <f>'2.3 Selskabsspecifikke input'!T129</f>
        <v>0</v>
      </c>
      <c r="U81" s="202"/>
      <c r="V81" s="202"/>
      <c r="W81" s="4">
        <f>'2.3 Selskabsspecifikke input'!W129</f>
        <v>0</v>
      </c>
    </row>
    <row r="82" spans="4:23" ht="15" customHeight="1">
      <c r="D82" s="1" t="str">
        <f>'2.1 Model setup'!K82</f>
        <v>6.1 Afskrivninger på transformerstationer</v>
      </c>
      <c r="F82" s="121"/>
      <c r="G82" s="121"/>
      <c r="H82" s="121"/>
      <c r="I82" s="121"/>
      <c r="J82" s="121"/>
      <c r="K82" s="5" t="str">
        <f t="shared" si="6"/>
        <v>DKKt</v>
      </c>
      <c r="L82" s="231"/>
      <c r="N82" s="1">
        <f>'2.3 Selskabsspecifikke input'!N130</f>
        <v>0</v>
      </c>
      <c r="O82" s="1">
        <f>'2.3 Selskabsspecifikke input'!O130</f>
        <v>0</v>
      </c>
      <c r="P82" s="1">
        <f>'2.3 Selskabsspecifikke input'!P130</f>
        <v>0</v>
      </c>
      <c r="Q82" s="202"/>
      <c r="R82" s="1">
        <f>'2.3 Selskabsspecifikke input'!R130</f>
        <v>0</v>
      </c>
      <c r="S82" s="1">
        <f>'2.3 Selskabsspecifikke input'!S130</f>
        <v>0</v>
      </c>
      <c r="T82" s="1">
        <f>'2.3 Selskabsspecifikke input'!T130</f>
        <v>0</v>
      </c>
      <c r="U82" s="202"/>
      <c r="V82" s="202"/>
      <c r="W82" s="4">
        <f>'2.3 Selskabsspecifikke input'!W130</f>
        <v>0</v>
      </c>
    </row>
    <row r="83" spans="4:23" ht="15" customHeight="1">
      <c r="D83" s="1" t="str">
        <f>'2.1 Model setup'!K83</f>
        <v>6.2 Afskrivninger på netaktiver ekskl. målere og transformerstationer</v>
      </c>
      <c r="F83" s="121"/>
      <c r="G83" s="121"/>
      <c r="H83" s="121"/>
      <c r="I83" s="121"/>
      <c r="J83" s="121"/>
      <c r="K83" s="5" t="str">
        <f t="shared" si="6"/>
        <v>DKKt</v>
      </c>
      <c r="L83" s="231"/>
      <c r="N83" s="1">
        <f>'2.3 Selskabsspecifikke input'!N131</f>
        <v>0</v>
      </c>
      <c r="O83" s="1">
        <f>'2.3 Selskabsspecifikke input'!O131</f>
        <v>0</v>
      </c>
      <c r="P83" s="1">
        <f>'2.3 Selskabsspecifikke input'!P131</f>
        <v>0</v>
      </c>
      <c r="Q83" s="202"/>
      <c r="R83" s="1">
        <f>'2.3 Selskabsspecifikke input'!R131</f>
        <v>0</v>
      </c>
      <c r="S83" s="1">
        <f>'2.3 Selskabsspecifikke input'!S131</f>
        <v>0</v>
      </c>
      <c r="T83" s="1">
        <f>'2.3 Selskabsspecifikke input'!T131</f>
        <v>0</v>
      </c>
      <c r="U83" s="202"/>
      <c r="V83" s="202"/>
      <c r="W83" s="4">
        <f>'2.3 Selskabsspecifikke input'!W131</f>
        <v>0</v>
      </c>
    </row>
    <row r="84" spans="4:23" ht="15" customHeight="1">
      <c r="D84" s="27" t="str">
        <f>'2.1 Model setup'!K84</f>
        <v>6.3 Afskrivninger på målere</v>
      </c>
      <c r="E84" s="27"/>
      <c r="F84" s="131"/>
      <c r="G84" s="131"/>
      <c r="H84" s="131"/>
      <c r="I84" s="131"/>
      <c r="J84" s="131"/>
      <c r="K84" s="32" t="str">
        <f t="shared" si="6"/>
        <v>DKKt</v>
      </c>
      <c r="L84" s="510"/>
      <c r="M84" s="27"/>
      <c r="N84" s="27">
        <f>'2.3 Selskabsspecifikke input'!N132</f>
        <v>0</v>
      </c>
      <c r="O84" s="27">
        <f>'2.3 Selskabsspecifikke input'!O132</f>
        <v>0</v>
      </c>
      <c r="P84" s="27">
        <f>'2.3 Selskabsspecifikke input'!P132</f>
        <v>0</v>
      </c>
      <c r="Q84" s="269"/>
      <c r="R84" s="27">
        <f>'2.3 Selskabsspecifikke input'!R132</f>
        <v>0</v>
      </c>
      <c r="S84" s="27">
        <f>'2.3 Selskabsspecifikke input'!S132</f>
        <v>0</v>
      </c>
      <c r="T84" s="27">
        <f>'2.3 Selskabsspecifikke input'!T132</f>
        <v>0</v>
      </c>
      <c r="U84" s="269"/>
      <c r="V84" s="269"/>
      <c r="W84" s="35">
        <f>'2.3 Selskabsspecifikke input'!W132</f>
        <v>0</v>
      </c>
    </row>
    <row r="85" spans="4:23" ht="15" customHeight="1">
      <c r="D85" s="97" t="s">
        <v>16</v>
      </c>
      <c r="E85" s="27"/>
      <c r="F85" s="104"/>
      <c r="G85" s="104"/>
      <c r="H85" s="104"/>
      <c r="I85" s="104"/>
      <c r="J85" s="104"/>
      <c r="K85" s="127" t="str">
        <f t="shared" si="6"/>
        <v>DKKt</v>
      </c>
      <c r="L85" s="334">
        <f xml:space="preserve"> -- ( ROUND( N85, 5 ) &lt;&gt; ROUND( '2.3 Selskabsspecifikke input'!N133, 5 ) )</f>
        <v>0</v>
      </c>
      <c r="M85" s="151"/>
      <c r="N85" s="35">
        <f xml:space="preserve"> SUM( N70:N84 )</f>
        <v>0</v>
      </c>
      <c r="O85" s="35">
        <f xml:space="preserve"> SUM( O70:O84 )</f>
        <v>0</v>
      </c>
      <c r="P85" s="35">
        <f xml:space="preserve"> SUM( P70:P84 )</f>
        <v>0</v>
      </c>
      <c r="Q85" s="269"/>
      <c r="R85" s="35">
        <f xml:space="preserve"> SUM( R70:R84 )</f>
        <v>0</v>
      </c>
      <c r="S85" s="35">
        <f xml:space="preserve"> SUM( S70:S84 )</f>
        <v>0</v>
      </c>
      <c r="T85" s="35">
        <f xml:space="preserve"> SUM( T70:T84 )</f>
        <v>0</v>
      </c>
      <c r="U85" s="269"/>
      <c r="V85" s="269"/>
      <c r="W85" s="35">
        <f xml:space="preserve"> SUM( W70:W84 )</f>
        <v>0</v>
      </c>
    </row>
    <row r="86" spans="4:23" ht="15" customHeight="1">
      <c r="D86" s="85"/>
      <c r="L86" s="231"/>
    </row>
    <row r="87" spans="4:23" ht="15" customHeight="1">
      <c r="D87" s="88" t="s">
        <v>84</v>
      </c>
      <c r="L87" s="231"/>
      <c r="O87" s="27"/>
      <c r="P87" s="27"/>
      <c r="Q87" s="27"/>
      <c r="R87" s="27"/>
      <c r="S87" s="27"/>
      <c r="T87" s="27"/>
      <c r="U87" s="27"/>
      <c r="V87" s="27"/>
      <c r="W87" s="27"/>
    </row>
    <row r="88" spans="4:23" ht="15" customHeight="1">
      <c r="D88" s="123" t="str">
        <f>'2.1 Model setup'!K70</f>
        <v>1.1 Drift og vedligeholdelse af transformerstationer</v>
      </c>
      <c r="E88" s="15"/>
      <c r="F88" s="15"/>
      <c r="G88" s="15"/>
      <c r="H88" s="15"/>
      <c r="I88" s="15"/>
      <c r="J88" s="15"/>
      <c r="K88" s="190" t="s">
        <v>41</v>
      </c>
      <c r="L88" s="537"/>
      <c r="M88" s="15"/>
      <c r="N88" s="193" t="str">
        <f>'2.2 Generelle input'!N22</f>
        <v>Antal kWh</v>
      </c>
      <c r="O88" s="274"/>
      <c r="P88" s="274"/>
      <c r="Q88" s="274"/>
      <c r="R88" s="274"/>
      <c r="S88" s="274"/>
      <c r="T88" s="274"/>
      <c r="U88" s="274"/>
      <c r="V88" s="274"/>
      <c r="W88" s="274"/>
    </row>
    <row r="89" spans="4:23" ht="15" customHeight="1">
      <c r="D89" s="85" t="str">
        <f>'2.1 Model setup'!K71</f>
        <v>1.2 Drift og vedligeholdelse af ledningsnet</v>
      </c>
      <c r="K89" s="5" t="s">
        <v>41</v>
      </c>
      <c r="L89" s="231"/>
      <c r="N89" s="194" t="str">
        <f>'2.2 Generelle input'!N23</f>
        <v>Antal kWh</v>
      </c>
      <c r="O89" s="202"/>
      <c r="P89" s="202"/>
      <c r="Q89" s="202"/>
      <c r="R89" s="202"/>
      <c r="S89" s="202"/>
      <c r="T89" s="202"/>
      <c r="U89" s="202"/>
      <c r="V89" s="202"/>
      <c r="W89" s="202"/>
    </row>
    <row r="90" spans="4:23" ht="15" customHeight="1">
      <c r="D90" s="85" t="str">
        <f>'2.1 Model setup'!K72</f>
        <v>1.3 Øvrige omkostninger til drift, styring og kontrol af elnettet</v>
      </c>
      <c r="K90" s="5" t="s">
        <v>41</v>
      </c>
      <c r="L90" s="231"/>
      <c r="N90" s="194" t="str">
        <f>'2.2 Generelle input'!N24</f>
        <v>Antal kWh</v>
      </c>
      <c r="O90" s="202"/>
      <c r="P90" s="202"/>
      <c r="Q90" s="202"/>
      <c r="R90" s="538"/>
      <c r="S90" s="202"/>
      <c r="T90" s="202"/>
      <c r="U90" s="202"/>
      <c r="V90" s="202"/>
      <c r="W90" s="202"/>
    </row>
    <row r="91" spans="4:23" ht="15" customHeight="1">
      <c r="D91" s="85" t="str">
        <f>'2.1 Model setup'!K73</f>
        <v>1.4 Omkostninger vedrørende 132-150/30-60 kV-stationer</v>
      </c>
      <c r="K91" s="5" t="s">
        <v>41</v>
      </c>
      <c r="L91" s="231"/>
      <c r="N91" s="194" t="str">
        <f>'2.2 Generelle input'!N25</f>
        <v>Antal kWh</v>
      </c>
      <c r="O91" s="202"/>
      <c r="P91" s="202"/>
      <c r="Q91" s="202"/>
      <c r="R91" s="538"/>
      <c r="S91" s="202"/>
      <c r="T91" s="202"/>
      <c r="U91" s="202"/>
      <c r="V91" s="202"/>
      <c r="W91" s="202"/>
    </row>
    <row r="92" spans="4:23" ht="15" customHeight="1">
      <c r="D92" s="85" t="str">
        <f>'2.1 Model setup'!K74</f>
        <v>2.1 Drift og vedligeholdelse af målere</v>
      </c>
      <c r="K92" s="5" t="s">
        <v>41</v>
      </c>
      <c r="L92" s="231"/>
      <c r="N92" s="194" t="str">
        <f>'2.2 Generelle input'!N26</f>
        <v>Måler-drift</v>
      </c>
      <c r="O92" s="202"/>
      <c r="P92" s="202"/>
      <c r="Q92" s="202"/>
      <c r="R92" s="202"/>
      <c r="S92" s="202"/>
      <c r="T92" s="202"/>
      <c r="U92" s="202"/>
      <c r="V92" s="202"/>
      <c r="W92" s="202"/>
    </row>
    <row r="93" spans="4:23" ht="15" customHeight="1">
      <c r="D93" s="85" t="str">
        <f>'2.1 Model setup'!K75</f>
        <v>2.2 Indhentning og validering af målerdata</v>
      </c>
      <c r="K93" s="5" t="s">
        <v>41</v>
      </c>
      <c r="L93" s="231"/>
      <c r="N93" s="194" t="str">
        <f>'2.2 Generelle input'!N27</f>
        <v>Måler-data</v>
      </c>
      <c r="O93" s="202"/>
      <c r="P93" s="202"/>
      <c r="Q93" s="202"/>
      <c r="R93" s="202"/>
      <c r="S93" s="202"/>
      <c r="T93" s="202"/>
      <c r="U93" s="202"/>
      <c r="V93" s="202"/>
      <c r="W93" s="202"/>
    </row>
    <row r="94" spans="4:23" ht="15" customHeight="1">
      <c r="D94" s="85" t="str">
        <f>'2.1 Model setup'!K76</f>
        <v>2.3 Måleradministration og kundehåndtering</v>
      </c>
      <c r="K94" s="5" t="s">
        <v>41</v>
      </c>
      <c r="L94" s="231"/>
      <c r="N94" s="194" t="str">
        <f>'2.2 Generelle input'!N28</f>
        <v xml:space="preserve">Antal målere </v>
      </c>
      <c r="O94" s="202"/>
      <c r="P94" s="202"/>
      <c r="Q94" s="202"/>
      <c r="R94" s="202"/>
      <c r="S94" s="202"/>
      <c r="T94" s="202"/>
      <c r="U94" s="202"/>
      <c r="V94" s="202"/>
      <c r="W94" s="202"/>
    </row>
    <row r="95" spans="4:23" ht="15" customHeight="1">
      <c r="D95" s="85" t="str">
        <f>'2.1 Model setup'!K77</f>
        <v>3.1 Generel administration</v>
      </c>
      <c r="K95" s="5" t="s">
        <v>41</v>
      </c>
      <c r="L95" s="231"/>
      <c r="N95" s="194" t="str">
        <f>'2.2 Generelle input'!N29</f>
        <v xml:space="preserve">Antal målere </v>
      </c>
      <c r="O95" s="202"/>
      <c r="P95" s="202"/>
      <c r="Q95" s="202"/>
      <c r="R95" s="202"/>
      <c r="S95" s="202"/>
      <c r="T95" s="202"/>
      <c r="U95" s="202"/>
      <c r="V95" s="202"/>
      <c r="W95" s="202"/>
    </row>
    <row r="96" spans="4:23" ht="15" customHeight="1">
      <c r="D96" s="85" t="str">
        <f>'2.1 Model setup'!K78</f>
        <v>4.1 Omkostninger vedrørende nettab i transformerstationer</v>
      </c>
      <c r="K96" s="5" t="s">
        <v>41</v>
      </c>
      <c r="L96" s="231"/>
      <c r="N96" s="194" t="str">
        <f>'2.2 Generelle input'!N30</f>
        <v>Antal kWh</v>
      </c>
      <c r="O96" s="202"/>
      <c r="P96" s="202"/>
      <c r="Q96" s="202"/>
      <c r="R96" s="202"/>
      <c r="S96" s="202"/>
      <c r="T96" s="202"/>
      <c r="U96" s="202"/>
      <c r="V96" s="202"/>
      <c r="W96" s="202"/>
    </row>
    <row r="97" spans="4:23" ht="15" customHeight="1">
      <c r="D97" s="85" t="str">
        <f>'2.1 Model setup'!K79</f>
        <v>4.2 Omkostninger vedrørende nettab i ledningsnettet</v>
      </c>
      <c r="K97" s="5" t="s">
        <v>41</v>
      </c>
      <c r="L97" s="231"/>
      <c r="N97" s="194" t="str">
        <f>'2.2 Generelle input'!N31</f>
        <v>Antal kWh</v>
      </c>
      <c r="O97" s="202"/>
      <c r="P97" s="202"/>
      <c r="Q97" s="202"/>
      <c r="R97" s="202"/>
      <c r="S97" s="202"/>
      <c r="T97" s="202"/>
      <c r="U97" s="202"/>
      <c r="V97" s="202"/>
      <c r="W97" s="202"/>
    </row>
    <row r="98" spans="4:23" ht="15" customHeight="1">
      <c r="D98" s="85" t="str">
        <f>'2.1 Model setup'!K88</f>
        <v>5.1 Omkostninger til overliggende net ifm. indfødning</v>
      </c>
      <c r="K98" s="5" t="s">
        <v>41</v>
      </c>
      <c r="L98" s="231"/>
      <c r="N98" s="194" t="str">
        <f>'2.2 Generelle input'!N32</f>
        <v>Antal kWh</v>
      </c>
      <c r="O98" s="202"/>
      <c r="P98" s="202"/>
      <c r="Q98" s="202"/>
      <c r="R98" s="202"/>
      <c r="S98" s="202"/>
      <c r="T98" s="202"/>
      <c r="U98" s="202"/>
      <c r="V98" s="202"/>
      <c r="W98" s="202"/>
    </row>
    <row r="99" spans="4:23" ht="15" customHeight="1">
      <c r="D99" s="85" t="str">
        <f>'2.1 Model setup'!K81</f>
        <v>5.2 Øvrige omkostninger</v>
      </c>
      <c r="K99" s="5" t="s">
        <v>41</v>
      </c>
      <c r="L99" s="231"/>
      <c r="N99" s="194">
        <f>'2.2 Generelle input'!N33</f>
        <v>0</v>
      </c>
      <c r="O99" s="202"/>
      <c r="P99" s="202"/>
      <c r="Q99" s="202"/>
      <c r="R99" s="202"/>
      <c r="S99" s="202"/>
      <c r="T99" s="202"/>
      <c r="U99" s="202"/>
      <c r="V99" s="202"/>
      <c r="W99" s="202"/>
    </row>
    <row r="100" spans="4:23" ht="15" customHeight="1">
      <c r="D100" s="85" t="str">
        <f>'2.1 Model setup'!K82</f>
        <v>6.1 Afskrivninger på transformerstationer</v>
      </c>
      <c r="K100" s="5" t="s">
        <v>41</v>
      </c>
      <c r="L100" s="231"/>
      <c r="N100" s="194">
        <f>'2.2 Generelle input'!N34</f>
        <v>0</v>
      </c>
      <c r="O100" s="202"/>
      <c r="P100" s="202"/>
      <c r="Q100" s="202"/>
      <c r="R100" s="202"/>
      <c r="S100" s="202"/>
      <c r="T100" s="202"/>
      <c r="U100" s="202"/>
      <c r="V100" s="202"/>
      <c r="W100" s="202"/>
    </row>
    <row r="101" spans="4:23" ht="15" customHeight="1">
      <c r="D101" s="85" t="str">
        <f>'2.1 Model setup'!K83</f>
        <v>6.2 Afskrivninger på netaktiver ekskl. målere og transformerstationer</v>
      </c>
      <c r="K101" s="5" t="s">
        <v>41</v>
      </c>
      <c r="L101" s="231"/>
      <c r="N101" s="194">
        <f>'2.2 Generelle input'!N35</f>
        <v>0</v>
      </c>
      <c r="O101" s="202"/>
      <c r="P101" s="202"/>
      <c r="Q101" s="202"/>
      <c r="R101" s="202"/>
      <c r="S101" s="202"/>
      <c r="T101" s="202"/>
      <c r="U101" s="202"/>
      <c r="V101" s="202"/>
      <c r="W101" s="202"/>
    </row>
    <row r="102" spans="4:23" ht="15" customHeight="1">
      <c r="D102" s="99" t="str">
        <f>'2.1 Model setup'!K84</f>
        <v>6.3 Afskrivninger på målere</v>
      </c>
      <c r="E102" s="27"/>
      <c r="F102" s="27"/>
      <c r="G102" s="27"/>
      <c r="H102" s="27"/>
      <c r="I102" s="27"/>
      <c r="J102" s="27"/>
      <c r="K102" s="32" t="s">
        <v>41</v>
      </c>
      <c r="L102" s="510"/>
      <c r="M102" s="27"/>
      <c r="N102" s="195" t="str">
        <f>'2.2 Generelle input'!N36</f>
        <v>Målerafskrivning</v>
      </c>
      <c r="O102" s="269"/>
      <c r="P102" s="269"/>
      <c r="Q102" s="269"/>
      <c r="R102" s="269"/>
      <c r="S102" s="269"/>
      <c r="T102" s="269"/>
      <c r="U102" s="269"/>
      <c r="V102" s="269"/>
      <c r="W102" s="269"/>
    </row>
    <row r="103" spans="4:23" ht="15" customHeight="1">
      <c r="L103" s="231"/>
    </row>
    <row r="104" spans="4:23" ht="15" customHeight="1">
      <c r="D104" s="35" t="s">
        <v>575</v>
      </c>
      <c r="E104" s="27"/>
      <c r="F104" s="27"/>
      <c r="G104" s="27"/>
      <c r="H104" s="27"/>
      <c r="I104" s="27"/>
      <c r="J104" s="27"/>
      <c r="K104" s="32"/>
      <c r="L104" s="231"/>
      <c r="M104" s="27"/>
      <c r="N104" s="27"/>
      <c r="O104" s="27"/>
      <c r="P104" s="27"/>
      <c r="Q104" s="27"/>
      <c r="R104" s="27"/>
      <c r="S104" s="27"/>
      <c r="T104" s="27"/>
      <c r="U104" s="27"/>
      <c r="V104" s="27"/>
      <c r="W104" s="185" t="s">
        <v>16</v>
      </c>
    </row>
    <row r="105" spans="4:23" ht="15" customHeight="1">
      <c r="D105" s="15" t="str">
        <f>'2.1 Model setup'!K70</f>
        <v>1.1 Drift og vedligeholdelse af transformerstationer</v>
      </c>
      <c r="E105" s="15"/>
      <c r="F105" s="150"/>
      <c r="G105" s="150"/>
      <c r="H105" s="150"/>
      <c r="I105" s="150"/>
      <c r="J105" s="150"/>
      <c r="K105" s="19" t="str">
        <f t="shared" ref="K105:K119" si="7" xml:space="preserve"> Model.Units</f>
        <v>DKKt</v>
      </c>
      <c r="L105" s="537"/>
      <c r="M105" s="15"/>
      <c r="N105" s="15"/>
      <c r="O105" s="15">
        <f>O70</f>
        <v>0</v>
      </c>
      <c r="P105" s="15">
        <f>P70</f>
        <v>0</v>
      </c>
      <c r="Q105" s="274"/>
      <c r="R105" s="15">
        <f>R70</f>
        <v>0</v>
      </c>
      <c r="S105" s="15">
        <f>S70</f>
        <v>0</v>
      </c>
      <c r="T105" s="15">
        <f>T70</f>
        <v>0</v>
      </c>
      <c r="U105" s="274"/>
      <c r="V105" s="274"/>
      <c r="W105" s="18">
        <f xml:space="preserve"> SUM( O105:V105 )</f>
        <v>0</v>
      </c>
    </row>
    <row r="106" spans="4:23" ht="15" customHeight="1">
      <c r="D106" s="1" t="str">
        <f>'2.1 Model setup'!K71</f>
        <v>1.2 Drift og vedligeholdelse af ledningsnet</v>
      </c>
      <c r="F106" s="121"/>
      <c r="G106" s="121"/>
      <c r="H106" s="121"/>
      <c r="I106" s="121"/>
      <c r="J106" s="121"/>
      <c r="K106" s="5" t="str">
        <f t="shared" si="7"/>
        <v>DKKt</v>
      </c>
      <c r="L106" s="231"/>
      <c r="O106" s="1">
        <f t="shared" ref="O106:T106" si="8">O71</f>
        <v>0</v>
      </c>
      <c r="P106" s="1">
        <f t="shared" si="8"/>
        <v>0</v>
      </c>
      <c r="Q106" s="202"/>
      <c r="R106" s="1">
        <f t="shared" si="8"/>
        <v>0</v>
      </c>
      <c r="S106" s="1">
        <f t="shared" si="8"/>
        <v>0</v>
      </c>
      <c r="T106" s="1">
        <f t="shared" si="8"/>
        <v>0</v>
      </c>
      <c r="U106" s="202"/>
      <c r="V106" s="202"/>
      <c r="W106" s="4">
        <f t="shared" ref="W106:W117" si="9" xml:space="preserve"> SUM( O106:V106 )</f>
        <v>0</v>
      </c>
    </row>
    <row r="107" spans="4:23" ht="15" customHeight="1">
      <c r="D107" s="1" t="str">
        <f>'2.1 Model setup'!K72</f>
        <v>1.3 Øvrige omkostninger til drift, styring og kontrol af elnettet</v>
      </c>
      <c r="F107" s="121"/>
      <c r="G107" s="121"/>
      <c r="H107" s="121"/>
      <c r="I107" s="121"/>
      <c r="J107" s="121"/>
      <c r="K107" s="5" t="str">
        <f t="shared" si="7"/>
        <v>DKKt</v>
      </c>
      <c r="L107" s="231"/>
      <c r="O107" s="1">
        <f t="shared" ref="O107:T107" si="10">O72</f>
        <v>0</v>
      </c>
      <c r="P107" s="1">
        <f t="shared" si="10"/>
        <v>0</v>
      </c>
      <c r="Q107" s="202"/>
      <c r="R107" s="1">
        <f t="shared" si="10"/>
        <v>0</v>
      </c>
      <c r="S107" s="1">
        <f t="shared" si="10"/>
        <v>0</v>
      </c>
      <c r="T107" s="1">
        <f t="shared" si="10"/>
        <v>0</v>
      </c>
      <c r="U107" s="202"/>
      <c r="V107" s="202"/>
      <c r="W107" s="4">
        <f t="shared" si="9"/>
        <v>0</v>
      </c>
    </row>
    <row r="108" spans="4:23" ht="15" customHeight="1">
      <c r="D108" s="1" t="str">
        <f>'2.1 Model setup'!K73</f>
        <v>1.4 Omkostninger vedrørende 132-150/30-60 kV-stationer</v>
      </c>
      <c r="F108" s="121"/>
      <c r="G108" s="121"/>
      <c r="H108" s="121"/>
      <c r="I108" s="121"/>
      <c r="J108" s="121"/>
      <c r="K108" s="5" t="str">
        <f t="shared" si="7"/>
        <v>DKKt</v>
      </c>
      <c r="L108" s="231"/>
      <c r="O108" s="1">
        <f t="shared" ref="O108:T108" si="11">O73</f>
        <v>0</v>
      </c>
      <c r="P108" s="1">
        <f t="shared" si="11"/>
        <v>0</v>
      </c>
      <c r="Q108" s="202"/>
      <c r="R108" s="1">
        <f t="shared" si="11"/>
        <v>0</v>
      </c>
      <c r="S108" s="1">
        <f t="shared" si="11"/>
        <v>0</v>
      </c>
      <c r="T108" s="1">
        <f t="shared" si="11"/>
        <v>0</v>
      </c>
      <c r="U108" s="202"/>
      <c r="V108" s="202"/>
      <c r="W108" s="4">
        <f t="shared" si="9"/>
        <v>0</v>
      </c>
    </row>
    <row r="109" spans="4:23" ht="15" customHeight="1">
      <c r="D109" s="1" t="str">
        <f>'2.1 Model setup'!K74</f>
        <v>2.1 Drift og vedligeholdelse af målere</v>
      </c>
      <c r="F109" s="121"/>
      <c r="G109" s="121"/>
      <c r="H109" s="121"/>
      <c r="I109" s="121"/>
      <c r="J109" s="121"/>
      <c r="K109" s="5" t="str">
        <f t="shared" si="7"/>
        <v>DKKt</v>
      </c>
      <c r="L109" s="231"/>
      <c r="O109" s="1">
        <f t="shared" ref="O109:T109" si="12">O74</f>
        <v>0</v>
      </c>
      <c r="P109" s="1">
        <f t="shared" si="12"/>
        <v>0</v>
      </c>
      <c r="Q109" s="202"/>
      <c r="R109" s="1">
        <f t="shared" si="12"/>
        <v>0</v>
      </c>
      <c r="S109" s="1">
        <f t="shared" si="12"/>
        <v>0</v>
      </c>
      <c r="T109" s="1">
        <f t="shared" si="12"/>
        <v>0</v>
      </c>
      <c r="U109" s="202"/>
      <c r="V109" s="202"/>
      <c r="W109" s="4">
        <f t="shared" si="9"/>
        <v>0</v>
      </c>
    </row>
    <row r="110" spans="4:23" ht="15" customHeight="1">
      <c r="D110" s="1" t="str">
        <f>'2.1 Model setup'!K75</f>
        <v>2.2 Indhentning og validering af målerdata</v>
      </c>
      <c r="F110" s="121"/>
      <c r="G110" s="121"/>
      <c r="H110" s="121"/>
      <c r="I110" s="121"/>
      <c r="J110" s="121"/>
      <c r="K110" s="5" t="str">
        <f t="shared" si="7"/>
        <v>DKKt</v>
      </c>
      <c r="L110" s="231"/>
      <c r="O110" s="1">
        <f t="shared" ref="O110:T110" si="13">O75</f>
        <v>0</v>
      </c>
      <c r="P110" s="1">
        <f t="shared" si="13"/>
        <v>0</v>
      </c>
      <c r="Q110" s="202"/>
      <c r="R110" s="1">
        <f t="shared" si="13"/>
        <v>0</v>
      </c>
      <c r="S110" s="1">
        <f t="shared" si="13"/>
        <v>0</v>
      </c>
      <c r="T110" s="1">
        <f t="shared" si="13"/>
        <v>0</v>
      </c>
      <c r="U110" s="202"/>
      <c r="V110" s="202"/>
      <c r="W110" s="4">
        <f t="shared" si="9"/>
        <v>0</v>
      </c>
    </row>
    <row r="111" spans="4:23" ht="15" customHeight="1">
      <c r="D111" s="1" t="str">
        <f>'2.1 Model setup'!K76</f>
        <v>2.3 Måleradministration og kundehåndtering</v>
      </c>
      <c r="F111" s="121"/>
      <c r="G111" s="121"/>
      <c r="H111" s="121"/>
      <c r="I111" s="121"/>
      <c r="J111" s="121"/>
      <c r="K111" s="5" t="str">
        <f t="shared" si="7"/>
        <v>DKKt</v>
      </c>
      <c r="L111" s="231"/>
      <c r="O111" s="1">
        <f t="shared" ref="O111:T111" si="14">O76</f>
        <v>0</v>
      </c>
      <c r="P111" s="1">
        <f t="shared" si="14"/>
        <v>0</v>
      </c>
      <c r="Q111" s="202"/>
      <c r="R111" s="1">
        <f t="shared" si="14"/>
        <v>0</v>
      </c>
      <c r="S111" s="1">
        <f t="shared" si="14"/>
        <v>0</v>
      </c>
      <c r="T111" s="1">
        <f t="shared" si="14"/>
        <v>0</v>
      </c>
      <c r="U111" s="202"/>
      <c r="V111" s="202"/>
      <c r="W111" s="4">
        <f t="shared" si="9"/>
        <v>0</v>
      </c>
    </row>
    <row r="112" spans="4:23" ht="15" customHeight="1">
      <c r="D112" s="1" t="str">
        <f>'2.1 Model setup'!K77</f>
        <v>3.1 Generel administration</v>
      </c>
      <c r="F112" s="121"/>
      <c r="G112" s="121"/>
      <c r="H112" s="121"/>
      <c r="I112" s="121"/>
      <c r="J112" s="121"/>
      <c r="K112" s="5" t="str">
        <f t="shared" si="7"/>
        <v>DKKt</v>
      </c>
      <c r="L112" s="231"/>
      <c r="O112" s="1">
        <f t="shared" ref="O112:T112" si="15">O77</f>
        <v>0</v>
      </c>
      <c r="P112" s="1">
        <f t="shared" si="15"/>
        <v>0</v>
      </c>
      <c r="Q112" s="202"/>
      <c r="R112" s="1">
        <f t="shared" si="15"/>
        <v>0</v>
      </c>
      <c r="S112" s="1">
        <f t="shared" si="15"/>
        <v>0</v>
      </c>
      <c r="T112" s="1">
        <f t="shared" si="15"/>
        <v>0</v>
      </c>
      <c r="U112" s="202"/>
      <c r="V112" s="202"/>
      <c r="W112" s="4">
        <f t="shared" si="9"/>
        <v>0</v>
      </c>
    </row>
    <row r="113" spans="4:16384" ht="15" customHeight="1">
      <c r="D113" s="1" t="str">
        <f>'2.1 Model setup'!K78</f>
        <v>4.1 Omkostninger vedrørende nettab i transformerstationer</v>
      </c>
      <c r="F113" s="121"/>
      <c r="G113" s="121"/>
      <c r="H113" s="121"/>
      <c r="I113" s="121"/>
      <c r="J113" s="121"/>
      <c r="K113" s="5" t="str">
        <f t="shared" si="7"/>
        <v>DKKt</v>
      </c>
      <c r="L113" s="231"/>
      <c r="O113" s="1">
        <f t="shared" ref="O113:T113" si="16">O78</f>
        <v>0</v>
      </c>
      <c r="P113" s="1">
        <f t="shared" si="16"/>
        <v>0</v>
      </c>
      <c r="Q113" s="202"/>
      <c r="R113" s="1">
        <f t="shared" si="16"/>
        <v>0</v>
      </c>
      <c r="S113" s="1">
        <f t="shared" si="16"/>
        <v>0</v>
      </c>
      <c r="T113" s="1">
        <f t="shared" si="16"/>
        <v>0</v>
      </c>
      <c r="U113" s="202"/>
      <c r="V113" s="202"/>
      <c r="W113" s="4">
        <f t="shared" si="9"/>
        <v>0</v>
      </c>
    </row>
    <row r="114" spans="4:16384" ht="15" customHeight="1">
      <c r="D114" s="1" t="str">
        <f>'2.1 Model setup'!K79</f>
        <v>4.2 Omkostninger vedrørende nettab i ledningsnettet</v>
      </c>
      <c r="F114" s="121"/>
      <c r="G114" s="121"/>
      <c r="H114" s="121"/>
      <c r="I114" s="121"/>
      <c r="J114" s="121"/>
      <c r="K114" s="5" t="str">
        <f t="shared" si="7"/>
        <v>DKKt</v>
      </c>
      <c r="L114" s="231"/>
      <c r="O114" s="1">
        <f t="shared" ref="O114:T114" si="17">O79</f>
        <v>0</v>
      </c>
      <c r="P114" s="1">
        <f t="shared" si="17"/>
        <v>0</v>
      </c>
      <c r="Q114" s="202"/>
      <c r="R114" s="1">
        <f t="shared" si="17"/>
        <v>0</v>
      </c>
      <c r="S114" s="1">
        <f t="shared" si="17"/>
        <v>0</v>
      </c>
      <c r="T114" s="1">
        <f t="shared" si="17"/>
        <v>0</v>
      </c>
      <c r="U114" s="202"/>
      <c r="V114" s="202"/>
      <c r="W114" s="4">
        <f t="shared" si="9"/>
        <v>0</v>
      </c>
    </row>
    <row r="115" spans="4:16384" ht="15" customHeight="1">
      <c r="D115" s="1" t="str">
        <f>'2.1 Model setup'!K88</f>
        <v>5.1 Omkostninger til overliggende net ifm. indfødning</v>
      </c>
      <c r="F115" s="121"/>
      <c r="G115" s="121"/>
      <c r="H115" s="121"/>
      <c r="I115" s="121"/>
      <c r="J115" s="121"/>
      <c r="K115" s="5" t="str">
        <f t="shared" si="7"/>
        <v>DKKt</v>
      </c>
      <c r="L115" s="231"/>
      <c r="O115" s="1">
        <f t="shared" ref="O115:T115" si="18">O80</f>
        <v>0</v>
      </c>
      <c r="P115" s="1">
        <f t="shared" si="18"/>
        <v>0</v>
      </c>
      <c r="Q115" s="202"/>
      <c r="R115" s="1">
        <f t="shared" si="18"/>
        <v>0</v>
      </c>
      <c r="S115" s="1">
        <f t="shared" si="18"/>
        <v>0</v>
      </c>
      <c r="T115" s="1">
        <f t="shared" si="18"/>
        <v>0</v>
      </c>
      <c r="U115" s="202"/>
      <c r="V115" s="202"/>
      <c r="W115" s="4">
        <f t="shared" si="9"/>
        <v>0</v>
      </c>
    </row>
    <row r="116" spans="4:16384" ht="15" customHeight="1">
      <c r="D116" s="1" t="str">
        <f>'2.1 Model setup'!K81</f>
        <v>5.2 Øvrige omkostninger</v>
      </c>
      <c r="F116" s="121"/>
      <c r="G116" s="121"/>
      <c r="H116" s="121"/>
      <c r="I116" s="121"/>
      <c r="J116" s="121"/>
      <c r="K116" s="5" t="str">
        <f t="shared" si="7"/>
        <v>DKKt</v>
      </c>
      <c r="L116" s="231"/>
      <c r="O116" s="1">
        <f t="shared" ref="O116:T116" si="19">O81</f>
        <v>0</v>
      </c>
      <c r="P116" s="1">
        <f t="shared" si="19"/>
        <v>0</v>
      </c>
      <c r="Q116" s="202"/>
      <c r="R116" s="1">
        <f t="shared" si="19"/>
        <v>0</v>
      </c>
      <c r="S116" s="1">
        <f t="shared" si="19"/>
        <v>0</v>
      </c>
      <c r="T116" s="1">
        <f t="shared" si="19"/>
        <v>0</v>
      </c>
      <c r="U116" s="202"/>
      <c r="V116" s="202"/>
      <c r="W116" s="4">
        <f t="shared" si="9"/>
        <v>0</v>
      </c>
    </row>
    <row r="117" spans="4:16384" ht="15" customHeight="1">
      <c r="D117" s="1" t="str">
        <f>'2.1 Model setup'!K82</f>
        <v>6.1 Afskrivninger på transformerstationer</v>
      </c>
      <c r="F117" s="121"/>
      <c r="G117" s="121"/>
      <c r="H117" s="121"/>
      <c r="I117" s="121"/>
      <c r="J117" s="121"/>
      <c r="K117" s="5" t="str">
        <f t="shared" si="7"/>
        <v>DKKt</v>
      </c>
      <c r="L117" s="231"/>
      <c r="O117" s="1">
        <f t="shared" ref="O117:T117" si="20">O82</f>
        <v>0</v>
      </c>
      <c r="P117" s="1">
        <f t="shared" si="20"/>
        <v>0</v>
      </c>
      <c r="Q117" s="202"/>
      <c r="R117" s="1">
        <f t="shared" si="20"/>
        <v>0</v>
      </c>
      <c r="S117" s="1">
        <f t="shared" si="20"/>
        <v>0</v>
      </c>
      <c r="T117" s="1">
        <f t="shared" si="20"/>
        <v>0</v>
      </c>
      <c r="U117" s="202"/>
      <c r="V117" s="202"/>
      <c r="W117" s="4">
        <f t="shared" si="9"/>
        <v>0</v>
      </c>
    </row>
    <row r="118" spans="4:16384" ht="15" customHeight="1">
      <c r="D118" s="1" t="str">
        <f>'2.1 Model setup'!K83</f>
        <v>6.2 Afskrivninger på netaktiver ekskl. målere og transformerstationer</v>
      </c>
      <c r="F118" s="121"/>
      <c r="G118" s="121"/>
      <c r="H118" s="121"/>
      <c r="I118" s="121"/>
      <c r="J118" s="121"/>
      <c r="K118" s="5" t="str">
        <f t="shared" si="7"/>
        <v>DKKt</v>
      </c>
      <c r="L118" s="231"/>
      <c r="O118" s="1">
        <f t="shared" ref="O118:T118" si="21">O83</f>
        <v>0</v>
      </c>
      <c r="P118" s="1">
        <f t="shared" si="21"/>
        <v>0</v>
      </c>
      <c r="Q118" s="202"/>
      <c r="R118" s="1">
        <f t="shared" si="21"/>
        <v>0</v>
      </c>
      <c r="S118" s="1">
        <f t="shared" si="21"/>
        <v>0</v>
      </c>
      <c r="T118" s="1">
        <f t="shared" si="21"/>
        <v>0</v>
      </c>
      <c r="U118" s="202"/>
      <c r="V118" s="202"/>
      <c r="W118" s="4">
        <f xml:space="preserve"> SUM( O118:V118 )</f>
        <v>0</v>
      </c>
    </row>
    <row r="119" spans="4:16384" ht="15" customHeight="1">
      <c r="D119" s="27" t="str">
        <f>'2.1 Model setup'!K84</f>
        <v>6.3 Afskrivninger på målere</v>
      </c>
      <c r="E119" s="27"/>
      <c r="F119" s="131"/>
      <c r="G119" s="131"/>
      <c r="H119" s="131"/>
      <c r="I119" s="131"/>
      <c r="J119" s="131"/>
      <c r="K119" s="32" t="str">
        <f t="shared" si="7"/>
        <v>DKKt</v>
      </c>
      <c r="L119" s="510"/>
      <c r="M119" s="27"/>
      <c r="N119" s="27"/>
      <c r="O119" s="27">
        <f t="shared" ref="O119:T119" si="22">O84</f>
        <v>0</v>
      </c>
      <c r="P119" s="27">
        <f t="shared" si="22"/>
        <v>0</v>
      </c>
      <c r="Q119" s="269"/>
      <c r="R119" s="27">
        <f t="shared" si="22"/>
        <v>0</v>
      </c>
      <c r="S119" s="27">
        <f t="shared" si="22"/>
        <v>0</v>
      </c>
      <c r="T119" s="27">
        <f t="shared" si="22"/>
        <v>0</v>
      </c>
      <c r="U119" s="269"/>
      <c r="V119" s="269"/>
      <c r="W119" s="35">
        <f xml:space="preserve"> SUM( O119:V119 )</f>
        <v>0</v>
      </c>
    </row>
    <row r="120" spans="4:16384" ht="15" customHeight="1">
      <c r="D120" s="97" t="s">
        <v>16</v>
      </c>
      <c r="E120" s="27"/>
      <c r="F120" s="104"/>
      <c r="G120" s="104"/>
      <c r="H120" s="104"/>
      <c r="I120" s="104"/>
      <c r="J120" s="104"/>
      <c r="K120" s="127" t="str">
        <f xml:space="preserve"> Model.Units</f>
        <v>DKKt</v>
      </c>
      <c r="L120" s="265"/>
      <c r="M120" s="151"/>
      <c r="N120" s="35"/>
      <c r="O120" s="35">
        <f xml:space="preserve"> SUM( O105:O119 )</f>
        <v>0</v>
      </c>
      <c r="P120" s="35">
        <f xml:space="preserve"> SUM( P105:P119 )</f>
        <v>0</v>
      </c>
      <c r="Q120" s="269"/>
      <c r="R120" s="35">
        <f xml:space="preserve"> SUM( R105:R119 )</f>
        <v>0</v>
      </c>
      <c r="S120" s="35">
        <f xml:space="preserve"> SUM( S105:S119 )</f>
        <v>0</v>
      </c>
      <c r="T120" s="35">
        <f xml:space="preserve"> SUM( T105:T119 )</f>
        <v>0</v>
      </c>
      <c r="U120" s="269"/>
      <c r="V120" s="269"/>
      <c r="W120" s="35">
        <f xml:space="preserve"> SUM( W105:W119 )</f>
        <v>0</v>
      </c>
    </row>
    <row r="121" spans="4:16384" ht="15" customHeight="1">
      <c r="D121" s="2"/>
      <c r="E121" s="2"/>
      <c r="F121" s="2"/>
      <c r="G121" s="2"/>
      <c r="H121" s="2"/>
      <c r="I121" s="2"/>
      <c r="J121" s="2"/>
      <c r="K121" s="2"/>
      <c r="L121" s="230"/>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c r="EKM121" s="2"/>
      <c r="EKN121" s="2"/>
      <c r="EKO121" s="2"/>
      <c r="EKP121" s="2"/>
      <c r="EKQ121" s="2"/>
      <c r="EKR121" s="2"/>
      <c r="EKS121" s="2"/>
      <c r="EKT121" s="2"/>
      <c r="EKU121" s="2"/>
      <c r="EKV121" s="2"/>
      <c r="EKW121" s="2"/>
      <c r="EKX121" s="2"/>
      <c r="EKY121" s="2"/>
      <c r="EKZ121" s="2"/>
      <c r="ELA121" s="2"/>
      <c r="ELB121" s="2"/>
      <c r="ELC121" s="2"/>
      <c r="ELD121" s="2"/>
      <c r="ELE121" s="2"/>
      <c r="ELF121" s="2"/>
      <c r="ELG121" s="2"/>
      <c r="ELH121" s="2"/>
      <c r="ELI121" s="2"/>
      <c r="ELJ121" s="2"/>
      <c r="ELK121" s="2"/>
      <c r="ELL121" s="2"/>
      <c r="ELM121" s="2"/>
      <c r="ELN121" s="2"/>
      <c r="ELO121" s="2"/>
      <c r="ELP121" s="2"/>
      <c r="ELQ121" s="2"/>
      <c r="ELR121" s="2"/>
      <c r="ELS121" s="2"/>
      <c r="ELT121" s="2"/>
      <c r="ELU121" s="2"/>
      <c r="ELV121" s="2"/>
      <c r="ELW121" s="2"/>
      <c r="ELX121" s="2"/>
      <c r="ELY121" s="2"/>
      <c r="ELZ121" s="2"/>
      <c r="EMA121" s="2"/>
      <c r="EMB121" s="2"/>
      <c r="EMC121" s="2"/>
      <c r="EMD121" s="2"/>
      <c r="EME121" s="2"/>
      <c r="EMF121" s="2"/>
      <c r="EMG121" s="2"/>
      <c r="EMH121" s="2"/>
      <c r="EMI121" s="2"/>
      <c r="EMJ121" s="2"/>
      <c r="EMK121" s="2"/>
      <c r="EML121" s="2"/>
      <c r="EMM121" s="2"/>
      <c r="EMN121" s="2"/>
      <c r="EMO121" s="2"/>
      <c r="EMP121" s="2"/>
      <c r="EMQ121" s="2"/>
      <c r="EMR121" s="2"/>
      <c r="EMS121" s="2"/>
      <c r="EMT121" s="2"/>
      <c r="EMU121" s="2"/>
      <c r="EMV121" s="2"/>
      <c r="EMW121" s="2"/>
      <c r="EMX121" s="2"/>
      <c r="EMY121" s="2"/>
      <c r="EMZ121" s="2"/>
      <c r="ENA121" s="2"/>
      <c r="ENB121" s="2"/>
      <c r="ENC121" s="2"/>
      <c r="END121" s="2"/>
      <c r="ENE121" s="2"/>
      <c r="ENF121" s="2"/>
      <c r="ENG121" s="2"/>
      <c r="ENH121" s="2"/>
      <c r="ENI121" s="2"/>
      <c r="ENJ121" s="2"/>
      <c r="ENK121" s="2"/>
      <c r="ENL121" s="2"/>
      <c r="ENM121" s="2"/>
      <c r="ENN121" s="2"/>
      <c r="ENO121" s="2"/>
      <c r="ENP121" s="2"/>
      <c r="ENQ121" s="2"/>
      <c r="ENR121" s="2"/>
      <c r="ENS121" s="2"/>
      <c r="ENT121" s="2"/>
      <c r="ENU121" s="2"/>
      <c r="ENV121" s="2"/>
      <c r="ENW121" s="2"/>
      <c r="ENX121" s="2"/>
      <c r="ENY121" s="2"/>
      <c r="ENZ121" s="2"/>
      <c r="EOA121" s="2"/>
      <c r="EOB121" s="2"/>
      <c r="EOC121" s="2"/>
      <c r="EOD121" s="2"/>
      <c r="EOE121" s="2"/>
      <c r="EOF121" s="2"/>
      <c r="EOG121" s="2"/>
      <c r="EOH121" s="2"/>
      <c r="EOI121" s="2"/>
      <c r="EOJ121" s="2"/>
      <c r="EOK121" s="2"/>
      <c r="EOL121" s="2"/>
      <c r="EOM121" s="2"/>
      <c r="EON121" s="2"/>
      <c r="EOO121" s="2"/>
      <c r="EOP121" s="2"/>
      <c r="EOQ121" s="2"/>
      <c r="EOR121" s="2"/>
      <c r="EOS121" s="2"/>
      <c r="EOT121" s="2"/>
      <c r="EOU121" s="2"/>
      <c r="EOV121" s="2"/>
      <c r="EOW121" s="2"/>
      <c r="EOX121" s="2"/>
      <c r="EOY121" s="2"/>
      <c r="EOZ121" s="2"/>
      <c r="EPA121" s="2"/>
      <c r="EPB121" s="2"/>
      <c r="EPC121" s="2"/>
      <c r="EPD121" s="2"/>
      <c r="EPE121" s="2"/>
      <c r="EPF121" s="2"/>
      <c r="EPG121" s="2"/>
      <c r="EPH121" s="2"/>
      <c r="EPI121" s="2"/>
      <c r="EPJ121" s="2"/>
      <c r="EPK121" s="2"/>
      <c r="EPL121" s="2"/>
      <c r="EPM121" s="2"/>
      <c r="EPN121" s="2"/>
      <c r="EPO121" s="2"/>
      <c r="EPP121" s="2"/>
      <c r="EPQ121" s="2"/>
      <c r="EPR121" s="2"/>
      <c r="EPS121" s="2"/>
      <c r="EPT121" s="2"/>
      <c r="EPU121" s="2"/>
      <c r="EPV121" s="2"/>
      <c r="EPW121" s="2"/>
      <c r="EPX121" s="2"/>
      <c r="EPY121" s="2"/>
      <c r="EPZ121" s="2"/>
      <c r="EQA121" s="2"/>
      <c r="EQB121" s="2"/>
      <c r="EQC121" s="2"/>
      <c r="EQD121" s="2"/>
      <c r="EQE121" s="2"/>
      <c r="EQF121" s="2"/>
      <c r="EQG121" s="2"/>
      <c r="EQH121" s="2"/>
      <c r="EQI121" s="2"/>
      <c r="EQJ121" s="2"/>
      <c r="EQK121" s="2"/>
      <c r="EQL121" s="2"/>
      <c r="EQM121" s="2"/>
      <c r="EQN121" s="2"/>
      <c r="EQO121" s="2"/>
      <c r="EQP121" s="2"/>
      <c r="EQQ121" s="2"/>
      <c r="EQR121" s="2"/>
      <c r="EQS121" s="2"/>
      <c r="EQT121" s="2"/>
      <c r="EQU121" s="2"/>
      <c r="EQV121" s="2"/>
      <c r="EQW121" s="2"/>
      <c r="EQX121" s="2"/>
      <c r="EQY121" s="2"/>
      <c r="EQZ121" s="2"/>
      <c r="ERA121" s="2"/>
      <c r="ERB121" s="2"/>
      <c r="ERC121" s="2"/>
      <c r="ERD121" s="2"/>
      <c r="ERE121" s="2"/>
      <c r="ERF121" s="2"/>
      <c r="ERG121" s="2"/>
      <c r="ERH121" s="2"/>
      <c r="ERI121" s="2"/>
      <c r="ERJ121" s="2"/>
      <c r="ERK121" s="2"/>
      <c r="ERL121" s="2"/>
      <c r="ERM121" s="2"/>
      <c r="ERN121" s="2"/>
      <c r="ERO121" s="2"/>
      <c r="ERP121" s="2"/>
      <c r="ERQ121" s="2"/>
      <c r="ERR121" s="2"/>
      <c r="ERS121" s="2"/>
      <c r="ERT121" s="2"/>
      <c r="ERU121" s="2"/>
      <c r="ERV121" s="2"/>
      <c r="ERW121" s="2"/>
      <c r="ERX121" s="2"/>
      <c r="ERY121" s="2"/>
      <c r="ERZ121" s="2"/>
      <c r="ESA121" s="2"/>
      <c r="ESB121" s="2"/>
      <c r="ESC121" s="2"/>
      <c r="ESD121" s="2"/>
      <c r="ESE121" s="2"/>
      <c r="ESF121" s="2"/>
      <c r="ESG121" s="2"/>
      <c r="ESH121" s="2"/>
      <c r="ESI121" s="2"/>
      <c r="ESJ121" s="2"/>
      <c r="ESK121" s="2"/>
      <c r="ESL121" s="2"/>
      <c r="ESM121" s="2"/>
      <c r="ESN121" s="2"/>
      <c r="ESO121" s="2"/>
      <c r="ESP121" s="2"/>
      <c r="ESQ121" s="2"/>
      <c r="ESR121" s="2"/>
      <c r="ESS121" s="2"/>
      <c r="EST121" s="2"/>
      <c r="ESU121" s="2"/>
      <c r="ESV121" s="2"/>
      <c r="ESW121" s="2"/>
      <c r="ESX121" s="2"/>
      <c r="ESY121" s="2"/>
      <c r="ESZ121" s="2"/>
      <c r="ETA121" s="2"/>
      <c r="ETB121" s="2"/>
      <c r="ETC121" s="2"/>
      <c r="ETD121" s="2"/>
      <c r="ETE121" s="2"/>
      <c r="ETF121" s="2"/>
      <c r="ETG121" s="2"/>
      <c r="ETH121" s="2"/>
      <c r="ETI121" s="2"/>
      <c r="ETJ121" s="2"/>
      <c r="ETK121" s="2"/>
      <c r="ETL121" s="2"/>
      <c r="ETM121" s="2"/>
      <c r="ETN121" s="2"/>
      <c r="ETO121" s="2"/>
      <c r="ETP121" s="2"/>
      <c r="ETQ121" s="2"/>
      <c r="ETR121" s="2"/>
      <c r="ETS121" s="2"/>
      <c r="ETT121" s="2"/>
      <c r="ETU121" s="2"/>
      <c r="ETV121" s="2"/>
      <c r="ETW121" s="2"/>
      <c r="ETX121" s="2"/>
      <c r="ETY121" s="2"/>
      <c r="ETZ121" s="2"/>
      <c r="EUA121" s="2"/>
      <c r="EUB121" s="2"/>
      <c r="EUC121" s="2"/>
      <c r="EUD121" s="2"/>
      <c r="EUE121" s="2"/>
      <c r="EUF121" s="2"/>
      <c r="EUG121" s="2"/>
      <c r="EUH121" s="2"/>
      <c r="EUI121" s="2"/>
      <c r="EUJ121" s="2"/>
      <c r="EUK121" s="2"/>
      <c r="EUL121" s="2"/>
      <c r="EUM121" s="2"/>
      <c r="EUN121" s="2"/>
      <c r="EUO121" s="2"/>
      <c r="EUP121" s="2"/>
      <c r="EUQ121" s="2"/>
      <c r="EUR121" s="2"/>
      <c r="EUS121" s="2"/>
      <c r="EUT121" s="2"/>
      <c r="EUU121" s="2"/>
      <c r="EUV121" s="2"/>
      <c r="EUW121" s="2"/>
      <c r="EUX121" s="2"/>
      <c r="EUY121" s="2"/>
      <c r="EUZ121" s="2"/>
      <c r="EVA121" s="2"/>
      <c r="EVB121" s="2"/>
      <c r="EVC121" s="2"/>
      <c r="EVD121" s="2"/>
      <c r="EVE121" s="2"/>
      <c r="EVF121" s="2"/>
      <c r="EVG121" s="2"/>
      <c r="EVH121" s="2"/>
      <c r="EVI121" s="2"/>
      <c r="EVJ121" s="2"/>
      <c r="EVK121" s="2"/>
      <c r="EVL121" s="2"/>
      <c r="EVM121" s="2"/>
      <c r="EVN121" s="2"/>
      <c r="EVO121" s="2"/>
      <c r="EVP121" s="2"/>
      <c r="EVQ121" s="2"/>
      <c r="EVR121" s="2"/>
      <c r="EVS121" s="2"/>
      <c r="EVT121" s="2"/>
      <c r="EVU121" s="2"/>
      <c r="EVV121" s="2"/>
      <c r="EVW121" s="2"/>
      <c r="EVX121" s="2"/>
      <c r="EVY121" s="2"/>
      <c r="EVZ121" s="2"/>
      <c r="EWA121" s="2"/>
      <c r="EWB121" s="2"/>
      <c r="EWC121" s="2"/>
      <c r="EWD121" s="2"/>
      <c r="EWE121" s="2"/>
      <c r="EWF121" s="2"/>
      <c r="EWG121" s="2"/>
      <c r="EWH121" s="2"/>
      <c r="EWI121" s="2"/>
      <c r="EWJ121" s="2"/>
      <c r="EWK121" s="2"/>
      <c r="EWL121" s="2"/>
      <c r="EWM121" s="2"/>
      <c r="EWN121" s="2"/>
      <c r="EWO121" s="2"/>
      <c r="EWP121" s="2"/>
      <c r="EWQ121" s="2"/>
      <c r="EWR121" s="2"/>
      <c r="EWS121" s="2"/>
      <c r="EWT121" s="2"/>
      <c r="EWU121" s="2"/>
      <c r="EWV121" s="2"/>
      <c r="EWW121" s="2"/>
      <c r="EWX121" s="2"/>
      <c r="EWY121" s="2"/>
      <c r="EWZ121" s="2"/>
      <c r="EXA121" s="2"/>
      <c r="EXB121" s="2"/>
      <c r="EXC121" s="2"/>
      <c r="EXD121" s="2"/>
      <c r="EXE121" s="2"/>
      <c r="EXF121" s="2"/>
      <c r="EXG121" s="2"/>
      <c r="EXH121" s="2"/>
      <c r="EXI121" s="2"/>
      <c r="EXJ121" s="2"/>
      <c r="EXK121" s="2"/>
      <c r="EXL121" s="2"/>
      <c r="EXM121" s="2"/>
      <c r="EXN121" s="2"/>
      <c r="EXO121" s="2"/>
      <c r="EXP121" s="2"/>
      <c r="EXQ121" s="2"/>
      <c r="EXR121" s="2"/>
      <c r="EXS121" s="2"/>
      <c r="EXT121" s="2"/>
      <c r="EXU121" s="2"/>
      <c r="EXV121" s="2"/>
      <c r="EXW121" s="2"/>
      <c r="EXX121" s="2"/>
      <c r="EXY121" s="2"/>
      <c r="EXZ121" s="2"/>
      <c r="EYA121" s="2"/>
      <c r="EYB121" s="2"/>
      <c r="EYC121" s="2"/>
      <c r="EYD121" s="2"/>
      <c r="EYE121" s="2"/>
      <c r="EYF121" s="2"/>
      <c r="EYG121" s="2"/>
      <c r="EYH121" s="2"/>
      <c r="EYI121" s="2"/>
      <c r="EYJ121" s="2"/>
      <c r="EYK121" s="2"/>
      <c r="EYL121" s="2"/>
      <c r="EYM121" s="2"/>
      <c r="EYN121" s="2"/>
      <c r="EYO121" s="2"/>
      <c r="EYP121" s="2"/>
      <c r="EYQ121" s="2"/>
      <c r="EYR121" s="2"/>
      <c r="EYS121" s="2"/>
      <c r="EYT121" s="2"/>
      <c r="EYU121" s="2"/>
      <c r="EYV121" s="2"/>
      <c r="EYW121" s="2"/>
      <c r="EYX121" s="2"/>
      <c r="EYY121" s="2"/>
      <c r="EYZ121" s="2"/>
      <c r="EZA121" s="2"/>
      <c r="EZB121" s="2"/>
      <c r="EZC121" s="2"/>
      <c r="EZD121" s="2"/>
      <c r="EZE121" s="2"/>
      <c r="EZF121" s="2"/>
      <c r="EZG121" s="2"/>
      <c r="EZH121" s="2"/>
      <c r="EZI121" s="2"/>
      <c r="EZJ121" s="2"/>
      <c r="EZK121" s="2"/>
      <c r="EZL121" s="2"/>
      <c r="EZM121" s="2"/>
      <c r="EZN121" s="2"/>
      <c r="EZO121" s="2"/>
      <c r="EZP121" s="2"/>
      <c r="EZQ121" s="2"/>
      <c r="EZR121" s="2"/>
      <c r="EZS121" s="2"/>
      <c r="EZT121" s="2"/>
      <c r="EZU121" s="2"/>
      <c r="EZV121" s="2"/>
      <c r="EZW121" s="2"/>
      <c r="EZX121" s="2"/>
      <c r="EZY121" s="2"/>
      <c r="EZZ121" s="2"/>
      <c r="FAA121" s="2"/>
      <c r="FAB121" s="2"/>
      <c r="FAC121" s="2"/>
      <c r="FAD121" s="2"/>
      <c r="FAE121" s="2"/>
      <c r="FAF121" s="2"/>
      <c r="FAG121" s="2"/>
      <c r="FAH121" s="2"/>
      <c r="FAI121" s="2"/>
      <c r="FAJ121" s="2"/>
      <c r="FAK121" s="2"/>
      <c r="FAL121" s="2"/>
      <c r="FAM121" s="2"/>
      <c r="FAN121" s="2"/>
      <c r="FAO121" s="2"/>
      <c r="FAP121" s="2"/>
      <c r="FAQ121" s="2"/>
      <c r="FAR121" s="2"/>
      <c r="FAS121" s="2"/>
      <c r="FAT121" s="2"/>
      <c r="FAU121" s="2"/>
      <c r="FAV121" s="2"/>
      <c r="FAW121" s="2"/>
      <c r="FAX121" s="2"/>
      <c r="FAY121" s="2"/>
      <c r="FAZ121" s="2"/>
      <c r="FBA121" s="2"/>
      <c r="FBB121" s="2"/>
      <c r="FBC121" s="2"/>
      <c r="FBD121" s="2"/>
      <c r="FBE121" s="2"/>
      <c r="FBF121" s="2"/>
      <c r="FBG121" s="2"/>
      <c r="FBH121" s="2"/>
      <c r="FBI121" s="2"/>
      <c r="FBJ121" s="2"/>
      <c r="FBK121" s="2"/>
      <c r="FBL121" s="2"/>
      <c r="FBM121" s="2"/>
      <c r="FBN121" s="2"/>
      <c r="FBO121" s="2"/>
      <c r="FBP121" s="2"/>
      <c r="FBQ121" s="2"/>
      <c r="FBR121" s="2"/>
      <c r="FBS121" s="2"/>
      <c r="FBT121" s="2"/>
      <c r="FBU121" s="2"/>
      <c r="FBV121" s="2"/>
      <c r="FBW121" s="2"/>
      <c r="FBX121" s="2"/>
      <c r="FBY121" s="2"/>
      <c r="FBZ121" s="2"/>
      <c r="FCA121" s="2"/>
      <c r="FCB121" s="2"/>
      <c r="FCC121" s="2"/>
      <c r="FCD121" s="2"/>
      <c r="FCE121" s="2"/>
      <c r="FCF121" s="2"/>
      <c r="FCG121" s="2"/>
      <c r="FCH121" s="2"/>
      <c r="FCI121" s="2"/>
      <c r="FCJ121" s="2"/>
      <c r="FCK121" s="2"/>
      <c r="FCL121" s="2"/>
      <c r="FCM121" s="2"/>
      <c r="FCN121" s="2"/>
      <c r="FCO121" s="2"/>
      <c r="FCP121" s="2"/>
      <c r="FCQ121" s="2"/>
      <c r="FCR121" s="2"/>
      <c r="FCS121" s="2"/>
      <c r="FCT121" s="2"/>
      <c r="FCU121" s="2"/>
      <c r="FCV121" s="2"/>
      <c r="FCW121" s="2"/>
      <c r="FCX121" s="2"/>
      <c r="FCY121" s="2"/>
      <c r="FCZ121" s="2"/>
      <c r="FDA121" s="2"/>
      <c r="FDB121" s="2"/>
      <c r="FDC121" s="2"/>
      <c r="FDD121" s="2"/>
      <c r="FDE121" s="2"/>
      <c r="FDF121" s="2"/>
      <c r="FDG121" s="2"/>
      <c r="FDH121" s="2"/>
      <c r="FDI121" s="2"/>
      <c r="FDJ121" s="2"/>
      <c r="FDK121" s="2"/>
      <c r="FDL121" s="2"/>
      <c r="FDM121" s="2"/>
      <c r="FDN121" s="2"/>
      <c r="FDO121" s="2"/>
      <c r="FDP121" s="2"/>
      <c r="FDQ121" s="2"/>
      <c r="FDR121" s="2"/>
      <c r="FDS121" s="2"/>
      <c r="FDT121" s="2"/>
      <c r="FDU121" s="2"/>
      <c r="FDV121" s="2"/>
      <c r="FDW121" s="2"/>
      <c r="FDX121" s="2"/>
      <c r="FDY121" s="2"/>
      <c r="FDZ121" s="2"/>
      <c r="FEA121" s="2"/>
      <c r="FEB121" s="2"/>
      <c r="FEC121" s="2"/>
      <c r="FED121" s="2"/>
      <c r="FEE121" s="2"/>
      <c r="FEF121" s="2"/>
      <c r="FEG121" s="2"/>
      <c r="FEH121" s="2"/>
      <c r="FEI121" s="2"/>
      <c r="FEJ121" s="2"/>
      <c r="FEK121" s="2"/>
      <c r="FEL121" s="2"/>
      <c r="FEM121" s="2"/>
      <c r="FEN121" s="2"/>
      <c r="FEO121" s="2"/>
      <c r="FEP121" s="2"/>
      <c r="FEQ121" s="2"/>
      <c r="FER121" s="2"/>
      <c r="FES121" s="2"/>
      <c r="FET121" s="2"/>
      <c r="FEU121" s="2"/>
      <c r="FEV121" s="2"/>
      <c r="FEW121" s="2"/>
      <c r="FEX121" s="2"/>
      <c r="FEY121" s="2"/>
      <c r="FEZ121" s="2"/>
      <c r="FFA121" s="2"/>
      <c r="FFB121" s="2"/>
      <c r="FFC121" s="2"/>
      <c r="FFD121" s="2"/>
      <c r="FFE121" s="2"/>
      <c r="FFF121" s="2"/>
      <c r="FFG121" s="2"/>
      <c r="FFH121" s="2"/>
      <c r="FFI121" s="2"/>
      <c r="FFJ121" s="2"/>
      <c r="FFK121" s="2"/>
      <c r="FFL121" s="2"/>
      <c r="FFM121" s="2"/>
      <c r="FFN121" s="2"/>
      <c r="FFO121" s="2"/>
      <c r="FFP121" s="2"/>
      <c r="FFQ121" s="2"/>
      <c r="FFR121" s="2"/>
      <c r="FFS121" s="2"/>
      <c r="FFT121" s="2"/>
      <c r="FFU121" s="2"/>
      <c r="FFV121" s="2"/>
      <c r="FFW121" s="2"/>
      <c r="FFX121" s="2"/>
      <c r="FFY121" s="2"/>
      <c r="FFZ121" s="2"/>
      <c r="FGA121" s="2"/>
      <c r="FGB121" s="2"/>
      <c r="FGC121" s="2"/>
      <c r="FGD121" s="2"/>
      <c r="FGE121" s="2"/>
      <c r="FGF121" s="2"/>
      <c r="FGG121" s="2"/>
      <c r="FGH121" s="2"/>
      <c r="FGI121" s="2"/>
      <c r="FGJ121" s="2"/>
      <c r="FGK121" s="2"/>
      <c r="FGL121" s="2"/>
      <c r="FGM121" s="2"/>
      <c r="FGN121" s="2"/>
      <c r="FGO121" s="2"/>
      <c r="FGP121" s="2"/>
      <c r="FGQ121" s="2"/>
      <c r="FGR121" s="2"/>
      <c r="FGS121" s="2"/>
      <c r="FGT121" s="2"/>
      <c r="FGU121" s="2"/>
      <c r="FGV121" s="2"/>
      <c r="FGW121" s="2"/>
      <c r="FGX121" s="2"/>
      <c r="FGY121" s="2"/>
      <c r="FGZ121" s="2"/>
      <c r="FHA121" s="2"/>
      <c r="FHB121" s="2"/>
      <c r="FHC121" s="2"/>
      <c r="FHD121" s="2"/>
      <c r="FHE121" s="2"/>
      <c r="FHF121" s="2"/>
      <c r="FHG121" s="2"/>
      <c r="FHH121" s="2"/>
      <c r="FHI121" s="2"/>
      <c r="FHJ121" s="2"/>
      <c r="FHK121" s="2"/>
      <c r="FHL121" s="2"/>
      <c r="FHM121" s="2"/>
      <c r="FHN121" s="2"/>
      <c r="FHO121" s="2"/>
      <c r="FHP121" s="2"/>
      <c r="FHQ121" s="2"/>
      <c r="FHR121" s="2"/>
      <c r="FHS121" s="2"/>
      <c r="FHT121" s="2"/>
      <c r="FHU121" s="2"/>
      <c r="FHV121" s="2"/>
      <c r="FHW121" s="2"/>
      <c r="FHX121" s="2"/>
      <c r="FHY121" s="2"/>
      <c r="FHZ121" s="2"/>
      <c r="FIA121" s="2"/>
      <c r="FIB121" s="2"/>
      <c r="FIC121" s="2"/>
      <c r="FID121" s="2"/>
      <c r="FIE121" s="2"/>
      <c r="FIF121" s="2"/>
      <c r="FIG121" s="2"/>
      <c r="FIH121" s="2"/>
      <c r="FII121" s="2"/>
      <c r="FIJ121" s="2"/>
      <c r="FIK121" s="2"/>
      <c r="FIL121" s="2"/>
      <c r="FIM121" s="2"/>
      <c r="FIN121" s="2"/>
      <c r="FIO121" s="2"/>
      <c r="FIP121" s="2"/>
      <c r="FIQ121" s="2"/>
      <c r="FIR121" s="2"/>
      <c r="FIS121" s="2"/>
      <c r="FIT121" s="2"/>
      <c r="FIU121" s="2"/>
      <c r="FIV121" s="2"/>
      <c r="FIW121" s="2"/>
      <c r="FIX121" s="2"/>
      <c r="FIY121" s="2"/>
      <c r="FIZ121" s="2"/>
      <c r="FJA121" s="2"/>
      <c r="FJB121" s="2"/>
      <c r="FJC121" s="2"/>
      <c r="FJD121" s="2"/>
      <c r="FJE121" s="2"/>
      <c r="FJF121" s="2"/>
      <c r="FJG121" s="2"/>
      <c r="FJH121" s="2"/>
      <c r="FJI121" s="2"/>
      <c r="FJJ121" s="2"/>
      <c r="FJK121" s="2"/>
      <c r="FJL121" s="2"/>
      <c r="FJM121" s="2"/>
      <c r="FJN121" s="2"/>
      <c r="FJO121" s="2"/>
      <c r="FJP121" s="2"/>
      <c r="FJQ121" s="2"/>
      <c r="FJR121" s="2"/>
      <c r="FJS121" s="2"/>
      <c r="FJT121" s="2"/>
      <c r="FJU121" s="2"/>
      <c r="FJV121" s="2"/>
      <c r="FJW121" s="2"/>
      <c r="FJX121" s="2"/>
      <c r="FJY121" s="2"/>
      <c r="FJZ121" s="2"/>
      <c r="FKA121" s="2"/>
      <c r="FKB121" s="2"/>
      <c r="FKC121" s="2"/>
      <c r="FKD121" s="2"/>
      <c r="FKE121" s="2"/>
      <c r="FKF121" s="2"/>
      <c r="FKG121" s="2"/>
      <c r="FKH121" s="2"/>
      <c r="FKI121" s="2"/>
      <c r="FKJ121" s="2"/>
      <c r="FKK121" s="2"/>
      <c r="FKL121" s="2"/>
      <c r="FKM121" s="2"/>
      <c r="FKN121" s="2"/>
      <c r="FKO121" s="2"/>
      <c r="FKP121" s="2"/>
      <c r="FKQ121" s="2"/>
      <c r="FKR121" s="2"/>
      <c r="FKS121" s="2"/>
      <c r="FKT121" s="2"/>
      <c r="FKU121" s="2"/>
      <c r="FKV121" s="2"/>
      <c r="FKW121" s="2"/>
      <c r="FKX121" s="2"/>
      <c r="FKY121" s="2"/>
      <c r="FKZ121" s="2"/>
      <c r="FLA121" s="2"/>
      <c r="FLB121" s="2"/>
      <c r="FLC121" s="2"/>
      <c r="FLD121" s="2"/>
      <c r="FLE121" s="2"/>
      <c r="FLF121" s="2"/>
      <c r="FLG121" s="2"/>
      <c r="FLH121" s="2"/>
      <c r="FLI121" s="2"/>
      <c r="FLJ121" s="2"/>
      <c r="FLK121" s="2"/>
      <c r="FLL121" s="2"/>
      <c r="FLM121" s="2"/>
      <c r="FLN121" s="2"/>
      <c r="FLO121" s="2"/>
      <c r="FLP121" s="2"/>
      <c r="FLQ121" s="2"/>
      <c r="FLR121" s="2"/>
      <c r="FLS121" s="2"/>
      <c r="FLT121" s="2"/>
      <c r="FLU121" s="2"/>
      <c r="FLV121" s="2"/>
      <c r="FLW121" s="2"/>
      <c r="FLX121" s="2"/>
      <c r="FLY121" s="2"/>
      <c r="FLZ121" s="2"/>
      <c r="FMA121" s="2"/>
      <c r="FMB121" s="2"/>
      <c r="FMC121" s="2"/>
      <c r="FMD121" s="2"/>
      <c r="FME121" s="2"/>
      <c r="FMF121" s="2"/>
      <c r="FMG121" s="2"/>
      <c r="FMH121" s="2"/>
      <c r="FMI121" s="2"/>
      <c r="FMJ121" s="2"/>
      <c r="FMK121" s="2"/>
      <c r="FML121" s="2"/>
      <c r="FMM121" s="2"/>
      <c r="FMN121" s="2"/>
      <c r="FMO121" s="2"/>
      <c r="FMP121" s="2"/>
      <c r="FMQ121" s="2"/>
      <c r="FMR121" s="2"/>
      <c r="FMS121" s="2"/>
      <c r="FMT121" s="2"/>
      <c r="FMU121" s="2"/>
      <c r="FMV121" s="2"/>
      <c r="FMW121" s="2"/>
      <c r="FMX121" s="2"/>
      <c r="FMY121" s="2"/>
      <c r="FMZ121" s="2"/>
      <c r="FNA121" s="2"/>
      <c r="FNB121" s="2"/>
      <c r="FNC121" s="2"/>
      <c r="FND121" s="2"/>
      <c r="FNE121" s="2"/>
      <c r="FNF121" s="2"/>
      <c r="FNG121" s="2"/>
      <c r="FNH121" s="2"/>
      <c r="FNI121" s="2"/>
      <c r="FNJ121" s="2"/>
      <c r="FNK121" s="2"/>
      <c r="FNL121" s="2"/>
      <c r="FNM121" s="2"/>
      <c r="FNN121" s="2"/>
      <c r="FNO121" s="2"/>
      <c r="FNP121" s="2"/>
      <c r="FNQ121" s="2"/>
      <c r="FNR121" s="2"/>
      <c r="FNS121" s="2"/>
      <c r="FNT121" s="2"/>
      <c r="FNU121" s="2"/>
      <c r="FNV121" s="2"/>
      <c r="FNW121" s="2"/>
      <c r="FNX121" s="2"/>
      <c r="FNY121" s="2"/>
      <c r="FNZ121" s="2"/>
      <c r="FOA121" s="2"/>
      <c r="FOB121" s="2"/>
      <c r="FOC121" s="2"/>
      <c r="FOD121" s="2"/>
      <c r="FOE121" s="2"/>
      <c r="FOF121" s="2"/>
      <c r="FOG121" s="2"/>
      <c r="FOH121" s="2"/>
      <c r="FOI121" s="2"/>
      <c r="FOJ121" s="2"/>
      <c r="FOK121" s="2"/>
      <c r="FOL121" s="2"/>
      <c r="FOM121" s="2"/>
      <c r="FON121" s="2"/>
      <c r="FOO121" s="2"/>
      <c r="FOP121" s="2"/>
      <c r="FOQ121" s="2"/>
      <c r="FOR121" s="2"/>
      <c r="FOS121" s="2"/>
      <c r="FOT121" s="2"/>
      <c r="FOU121" s="2"/>
      <c r="FOV121" s="2"/>
      <c r="FOW121" s="2"/>
      <c r="FOX121" s="2"/>
      <c r="FOY121" s="2"/>
      <c r="FOZ121" s="2"/>
      <c r="FPA121" s="2"/>
      <c r="FPB121" s="2"/>
      <c r="FPC121" s="2"/>
      <c r="FPD121" s="2"/>
      <c r="FPE121" s="2"/>
      <c r="FPF121" s="2"/>
      <c r="FPG121" s="2"/>
      <c r="FPH121" s="2"/>
      <c r="FPI121" s="2"/>
      <c r="FPJ121" s="2"/>
      <c r="FPK121" s="2"/>
      <c r="FPL121" s="2"/>
      <c r="FPM121" s="2"/>
      <c r="FPN121" s="2"/>
      <c r="FPO121" s="2"/>
      <c r="FPP121" s="2"/>
      <c r="FPQ121" s="2"/>
      <c r="FPR121" s="2"/>
      <c r="FPS121" s="2"/>
      <c r="FPT121" s="2"/>
      <c r="FPU121" s="2"/>
      <c r="FPV121" s="2"/>
      <c r="FPW121" s="2"/>
      <c r="FPX121" s="2"/>
      <c r="FPY121" s="2"/>
      <c r="FPZ121" s="2"/>
      <c r="FQA121" s="2"/>
      <c r="FQB121" s="2"/>
      <c r="FQC121" s="2"/>
      <c r="FQD121" s="2"/>
      <c r="FQE121" s="2"/>
      <c r="FQF121" s="2"/>
      <c r="FQG121" s="2"/>
      <c r="FQH121" s="2"/>
      <c r="FQI121" s="2"/>
      <c r="FQJ121" s="2"/>
      <c r="FQK121" s="2"/>
      <c r="FQL121" s="2"/>
      <c r="FQM121" s="2"/>
      <c r="FQN121" s="2"/>
      <c r="FQO121" s="2"/>
      <c r="FQP121" s="2"/>
      <c r="FQQ121" s="2"/>
      <c r="FQR121" s="2"/>
      <c r="FQS121" s="2"/>
      <c r="FQT121" s="2"/>
      <c r="FQU121" s="2"/>
      <c r="FQV121" s="2"/>
      <c r="FQW121" s="2"/>
      <c r="FQX121" s="2"/>
      <c r="FQY121" s="2"/>
      <c r="FQZ121" s="2"/>
      <c r="FRA121" s="2"/>
      <c r="FRB121" s="2"/>
      <c r="FRC121" s="2"/>
      <c r="FRD121" s="2"/>
      <c r="FRE121" s="2"/>
      <c r="FRF121" s="2"/>
      <c r="FRG121" s="2"/>
      <c r="FRH121" s="2"/>
      <c r="FRI121" s="2"/>
      <c r="FRJ121" s="2"/>
      <c r="FRK121" s="2"/>
      <c r="FRL121" s="2"/>
      <c r="FRM121" s="2"/>
      <c r="FRN121" s="2"/>
      <c r="FRO121" s="2"/>
      <c r="FRP121" s="2"/>
      <c r="FRQ121" s="2"/>
      <c r="FRR121" s="2"/>
      <c r="FRS121" s="2"/>
      <c r="FRT121" s="2"/>
      <c r="FRU121" s="2"/>
      <c r="FRV121" s="2"/>
      <c r="FRW121" s="2"/>
      <c r="FRX121" s="2"/>
      <c r="FRY121" s="2"/>
      <c r="FRZ121" s="2"/>
      <c r="FSA121" s="2"/>
      <c r="FSB121" s="2"/>
      <c r="FSC121" s="2"/>
      <c r="FSD121" s="2"/>
      <c r="FSE121" s="2"/>
      <c r="FSF121" s="2"/>
      <c r="FSG121" s="2"/>
      <c r="FSH121" s="2"/>
      <c r="FSI121" s="2"/>
      <c r="FSJ121" s="2"/>
      <c r="FSK121" s="2"/>
      <c r="FSL121" s="2"/>
      <c r="FSM121" s="2"/>
      <c r="FSN121" s="2"/>
      <c r="FSO121" s="2"/>
      <c r="FSP121" s="2"/>
      <c r="FSQ121" s="2"/>
      <c r="FSR121" s="2"/>
      <c r="FSS121" s="2"/>
      <c r="FST121" s="2"/>
      <c r="FSU121" s="2"/>
      <c r="FSV121" s="2"/>
      <c r="FSW121" s="2"/>
      <c r="FSX121" s="2"/>
      <c r="FSY121" s="2"/>
      <c r="FSZ121" s="2"/>
      <c r="FTA121" s="2"/>
      <c r="FTB121" s="2"/>
      <c r="FTC121" s="2"/>
      <c r="FTD121" s="2"/>
      <c r="FTE121" s="2"/>
      <c r="FTF121" s="2"/>
      <c r="FTG121" s="2"/>
      <c r="FTH121" s="2"/>
      <c r="FTI121" s="2"/>
      <c r="FTJ121" s="2"/>
      <c r="FTK121" s="2"/>
      <c r="FTL121" s="2"/>
      <c r="FTM121" s="2"/>
      <c r="FTN121" s="2"/>
      <c r="FTO121" s="2"/>
      <c r="FTP121" s="2"/>
      <c r="FTQ121" s="2"/>
      <c r="FTR121" s="2"/>
      <c r="FTS121" s="2"/>
      <c r="FTT121" s="2"/>
      <c r="FTU121" s="2"/>
      <c r="FTV121" s="2"/>
      <c r="FTW121" s="2"/>
      <c r="FTX121" s="2"/>
      <c r="FTY121" s="2"/>
      <c r="FTZ121" s="2"/>
      <c r="FUA121" s="2"/>
      <c r="FUB121" s="2"/>
      <c r="FUC121" s="2"/>
      <c r="FUD121" s="2"/>
      <c r="FUE121" s="2"/>
      <c r="FUF121" s="2"/>
      <c r="FUG121" s="2"/>
      <c r="FUH121" s="2"/>
      <c r="FUI121" s="2"/>
      <c r="FUJ121" s="2"/>
      <c r="FUK121" s="2"/>
      <c r="FUL121" s="2"/>
      <c r="FUM121" s="2"/>
      <c r="FUN121" s="2"/>
      <c r="FUO121" s="2"/>
      <c r="FUP121" s="2"/>
      <c r="FUQ121" s="2"/>
      <c r="FUR121" s="2"/>
      <c r="FUS121" s="2"/>
      <c r="FUT121" s="2"/>
      <c r="FUU121" s="2"/>
      <c r="FUV121" s="2"/>
      <c r="FUW121" s="2"/>
      <c r="FUX121" s="2"/>
      <c r="FUY121" s="2"/>
      <c r="FUZ121" s="2"/>
      <c r="FVA121" s="2"/>
      <c r="FVB121" s="2"/>
      <c r="FVC121" s="2"/>
      <c r="FVD121" s="2"/>
      <c r="FVE121" s="2"/>
      <c r="FVF121" s="2"/>
      <c r="FVG121" s="2"/>
      <c r="FVH121" s="2"/>
      <c r="FVI121" s="2"/>
      <c r="FVJ121" s="2"/>
      <c r="FVK121" s="2"/>
      <c r="FVL121" s="2"/>
      <c r="FVM121" s="2"/>
      <c r="FVN121" s="2"/>
      <c r="FVO121" s="2"/>
      <c r="FVP121" s="2"/>
      <c r="FVQ121" s="2"/>
      <c r="FVR121" s="2"/>
      <c r="FVS121" s="2"/>
      <c r="FVT121" s="2"/>
      <c r="FVU121" s="2"/>
      <c r="FVV121" s="2"/>
      <c r="FVW121" s="2"/>
      <c r="FVX121" s="2"/>
      <c r="FVY121" s="2"/>
      <c r="FVZ121" s="2"/>
      <c r="FWA121" s="2"/>
      <c r="FWB121" s="2"/>
      <c r="FWC121" s="2"/>
      <c r="FWD121" s="2"/>
      <c r="FWE121" s="2"/>
      <c r="FWF121" s="2"/>
      <c r="FWG121" s="2"/>
      <c r="FWH121" s="2"/>
      <c r="FWI121" s="2"/>
      <c r="FWJ121" s="2"/>
      <c r="FWK121" s="2"/>
      <c r="FWL121" s="2"/>
      <c r="FWM121" s="2"/>
      <c r="FWN121" s="2"/>
      <c r="FWO121" s="2"/>
      <c r="FWP121" s="2"/>
      <c r="FWQ121" s="2"/>
      <c r="FWR121" s="2"/>
      <c r="FWS121" s="2"/>
      <c r="FWT121" s="2"/>
      <c r="FWU121" s="2"/>
      <c r="FWV121" s="2"/>
      <c r="FWW121" s="2"/>
      <c r="FWX121" s="2"/>
      <c r="FWY121" s="2"/>
      <c r="FWZ121" s="2"/>
      <c r="FXA121" s="2"/>
      <c r="FXB121" s="2"/>
      <c r="FXC121" s="2"/>
      <c r="FXD121" s="2"/>
      <c r="FXE121" s="2"/>
      <c r="FXF121" s="2"/>
      <c r="FXG121" s="2"/>
      <c r="FXH121" s="2"/>
      <c r="FXI121" s="2"/>
      <c r="FXJ121" s="2"/>
      <c r="FXK121" s="2"/>
      <c r="FXL121" s="2"/>
      <c r="FXM121" s="2"/>
      <c r="FXN121" s="2"/>
      <c r="FXO121" s="2"/>
      <c r="FXP121" s="2"/>
      <c r="FXQ121" s="2"/>
      <c r="FXR121" s="2"/>
      <c r="FXS121" s="2"/>
      <c r="FXT121" s="2"/>
      <c r="FXU121" s="2"/>
      <c r="FXV121" s="2"/>
      <c r="FXW121" s="2"/>
      <c r="FXX121" s="2"/>
      <c r="FXY121" s="2"/>
      <c r="FXZ121" s="2"/>
      <c r="FYA121" s="2"/>
      <c r="FYB121" s="2"/>
      <c r="FYC121" s="2"/>
      <c r="FYD121" s="2"/>
      <c r="FYE121" s="2"/>
      <c r="FYF121" s="2"/>
      <c r="FYG121" s="2"/>
      <c r="FYH121" s="2"/>
      <c r="FYI121" s="2"/>
      <c r="FYJ121" s="2"/>
      <c r="FYK121" s="2"/>
      <c r="FYL121" s="2"/>
      <c r="FYM121" s="2"/>
      <c r="FYN121" s="2"/>
      <c r="FYO121" s="2"/>
      <c r="FYP121" s="2"/>
      <c r="FYQ121" s="2"/>
      <c r="FYR121" s="2"/>
      <c r="FYS121" s="2"/>
      <c r="FYT121" s="2"/>
      <c r="FYU121" s="2"/>
      <c r="FYV121" s="2"/>
      <c r="FYW121" s="2"/>
      <c r="FYX121" s="2"/>
      <c r="FYY121" s="2"/>
      <c r="FYZ121" s="2"/>
      <c r="FZA121" s="2"/>
      <c r="FZB121" s="2"/>
      <c r="FZC121" s="2"/>
      <c r="FZD121" s="2"/>
      <c r="FZE121" s="2"/>
      <c r="FZF121" s="2"/>
      <c r="FZG121" s="2"/>
      <c r="FZH121" s="2"/>
      <c r="FZI121" s="2"/>
      <c r="FZJ121" s="2"/>
      <c r="FZK121" s="2"/>
      <c r="FZL121" s="2"/>
      <c r="FZM121" s="2"/>
      <c r="FZN121" s="2"/>
      <c r="FZO121" s="2"/>
      <c r="FZP121" s="2"/>
      <c r="FZQ121" s="2"/>
      <c r="FZR121" s="2"/>
      <c r="FZS121" s="2"/>
      <c r="FZT121" s="2"/>
      <c r="FZU121" s="2"/>
      <c r="FZV121" s="2"/>
      <c r="FZW121" s="2"/>
      <c r="FZX121" s="2"/>
      <c r="FZY121" s="2"/>
      <c r="FZZ121" s="2"/>
      <c r="GAA121" s="2"/>
      <c r="GAB121" s="2"/>
      <c r="GAC121" s="2"/>
      <c r="GAD121" s="2"/>
      <c r="GAE121" s="2"/>
      <c r="GAF121" s="2"/>
      <c r="GAG121" s="2"/>
      <c r="GAH121" s="2"/>
      <c r="GAI121" s="2"/>
      <c r="GAJ121" s="2"/>
      <c r="GAK121" s="2"/>
      <c r="GAL121" s="2"/>
      <c r="GAM121" s="2"/>
      <c r="GAN121" s="2"/>
      <c r="GAO121" s="2"/>
      <c r="GAP121" s="2"/>
      <c r="GAQ121" s="2"/>
      <c r="GAR121" s="2"/>
      <c r="GAS121" s="2"/>
      <c r="GAT121" s="2"/>
      <c r="GAU121" s="2"/>
      <c r="GAV121" s="2"/>
      <c r="GAW121" s="2"/>
      <c r="GAX121" s="2"/>
      <c r="GAY121" s="2"/>
      <c r="GAZ121" s="2"/>
      <c r="GBA121" s="2"/>
      <c r="GBB121" s="2"/>
      <c r="GBC121" s="2"/>
      <c r="GBD121" s="2"/>
      <c r="GBE121" s="2"/>
      <c r="GBF121" s="2"/>
      <c r="GBG121" s="2"/>
      <c r="GBH121" s="2"/>
      <c r="GBI121" s="2"/>
      <c r="GBJ121" s="2"/>
      <c r="GBK121" s="2"/>
      <c r="GBL121" s="2"/>
      <c r="GBM121" s="2"/>
      <c r="GBN121" s="2"/>
      <c r="GBO121" s="2"/>
      <c r="GBP121" s="2"/>
      <c r="GBQ121" s="2"/>
      <c r="GBR121" s="2"/>
      <c r="GBS121" s="2"/>
      <c r="GBT121" s="2"/>
      <c r="GBU121" s="2"/>
      <c r="GBV121" s="2"/>
      <c r="GBW121" s="2"/>
      <c r="GBX121" s="2"/>
      <c r="GBY121" s="2"/>
      <c r="GBZ121" s="2"/>
      <c r="GCA121" s="2"/>
      <c r="GCB121" s="2"/>
      <c r="GCC121" s="2"/>
      <c r="GCD121" s="2"/>
      <c r="GCE121" s="2"/>
      <c r="GCF121" s="2"/>
      <c r="GCG121" s="2"/>
      <c r="GCH121" s="2"/>
      <c r="GCI121" s="2"/>
      <c r="GCJ121" s="2"/>
      <c r="GCK121" s="2"/>
      <c r="GCL121" s="2"/>
      <c r="GCM121" s="2"/>
      <c r="GCN121" s="2"/>
      <c r="GCO121" s="2"/>
      <c r="GCP121" s="2"/>
      <c r="GCQ121" s="2"/>
      <c r="GCR121" s="2"/>
      <c r="GCS121" s="2"/>
      <c r="GCT121" s="2"/>
      <c r="GCU121" s="2"/>
      <c r="GCV121" s="2"/>
      <c r="GCW121" s="2"/>
      <c r="GCX121" s="2"/>
      <c r="GCY121" s="2"/>
      <c r="GCZ121" s="2"/>
      <c r="GDA121" s="2"/>
      <c r="GDB121" s="2"/>
      <c r="GDC121" s="2"/>
      <c r="GDD121" s="2"/>
      <c r="GDE121" s="2"/>
      <c r="GDF121" s="2"/>
      <c r="GDG121" s="2"/>
      <c r="GDH121" s="2"/>
      <c r="GDI121" s="2"/>
      <c r="GDJ121" s="2"/>
      <c r="GDK121" s="2"/>
      <c r="GDL121" s="2"/>
      <c r="GDM121" s="2"/>
      <c r="GDN121" s="2"/>
      <c r="GDO121" s="2"/>
      <c r="GDP121" s="2"/>
      <c r="GDQ121" s="2"/>
      <c r="GDR121" s="2"/>
      <c r="GDS121" s="2"/>
      <c r="GDT121" s="2"/>
      <c r="GDU121" s="2"/>
      <c r="GDV121" s="2"/>
      <c r="GDW121" s="2"/>
      <c r="GDX121" s="2"/>
      <c r="GDY121" s="2"/>
      <c r="GDZ121" s="2"/>
      <c r="GEA121" s="2"/>
      <c r="GEB121" s="2"/>
      <c r="GEC121" s="2"/>
      <c r="GED121" s="2"/>
      <c r="GEE121" s="2"/>
      <c r="GEF121" s="2"/>
      <c r="GEG121" s="2"/>
      <c r="GEH121" s="2"/>
      <c r="GEI121" s="2"/>
      <c r="GEJ121" s="2"/>
      <c r="GEK121" s="2"/>
      <c r="GEL121" s="2"/>
      <c r="GEM121" s="2"/>
      <c r="GEN121" s="2"/>
      <c r="GEO121" s="2"/>
      <c r="GEP121" s="2"/>
      <c r="GEQ121" s="2"/>
      <c r="GER121" s="2"/>
      <c r="GES121" s="2"/>
      <c r="GET121" s="2"/>
      <c r="GEU121" s="2"/>
      <c r="GEV121" s="2"/>
      <c r="GEW121" s="2"/>
      <c r="GEX121" s="2"/>
      <c r="GEY121" s="2"/>
      <c r="GEZ121" s="2"/>
      <c r="GFA121" s="2"/>
      <c r="GFB121" s="2"/>
      <c r="GFC121" s="2"/>
      <c r="GFD121" s="2"/>
      <c r="GFE121" s="2"/>
      <c r="GFF121" s="2"/>
      <c r="GFG121" s="2"/>
      <c r="GFH121" s="2"/>
      <c r="GFI121" s="2"/>
      <c r="GFJ121" s="2"/>
      <c r="GFK121" s="2"/>
      <c r="GFL121" s="2"/>
      <c r="GFM121" s="2"/>
      <c r="GFN121" s="2"/>
      <c r="GFO121" s="2"/>
      <c r="GFP121" s="2"/>
      <c r="GFQ121" s="2"/>
      <c r="GFR121" s="2"/>
      <c r="GFS121" s="2"/>
      <c r="GFT121" s="2"/>
      <c r="GFU121" s="2"/>
      <c r="GFV121" s="2"/>
      <c r="GFW121" s="2"/>
      <c r="GFX121" s="2"/>
      <c r="GFY121" s="2"/>
      <c r="GFZ121" s="2"/>
      <c r="GGA121" s="2"/>
      <c r="GGB121" s="2"/>
      <c r="GGC121" s="2"/>
      <c r="GGD121" s="2"/>
      <c r="GGE121" s="2"/>
      <c r="GGF121" s="2"/>
      <c r="GGG121" s="2"/>
      <c r="GGH121" s="2"/>
      <c r="GGI121" s="2"/>
      <c r="GGJ121" s="2"/>
      <c r="GGK121" s="2"/>
      <c r="GGL121" s="2"/>
      <c r="GGM121" s="2"/>
      <c r="GGN121" s="2"/>
      <c r="GGO121" s="2"/>
      <c r="GGP121" s="2"/>
      <c r="GGQ121" s="2"/>
      <c r="GGR121" s="2"/>
      <c r="GGS121" s="2"/>
      <c r="GGT121" s="2"/>
      <c r="GGU121" s="2"/>
      <c r="GGV121" s="2"/>
      <c r="GGW121" s="2"/>
      <c r="GGX121" s="2"/>
      <c r="GGY121" s="2"/>
      <c r="GGZ121" s="2"/>
      <c r="GHA121" s="2"/>
      <c r="GHB121" s="2"/>
      <c r="GHC121" s="2"/>
      <c r="GHD121" s="2"/>
      <c r="GHE121" s="2"/>
      <c r="GHF121" s="2"/>
      <c r="GHG121" s="2"/>
      <c r="GHH121" s="2"/>
      <c r="GHI121" s="2"/>
      <c r="GHJ121" s="2"/>
      <c r="GHK121" s="2"/>
      <c r="GHL121" s="2"/>
      <c r="GHM121" s="2"/>
      <c r="GHN121" s="2"/>
      <c r="GHO121" s="2"/>
      <c r="GHP121" s="2"/>
      <c r="GHQ121" s="2"/>
      <c r="GHR121" s="2"/>
      <c r="GHS121" s="2"/>
      <c r="GHT121" s="2"/>
      <c r="GHU121" s="2"/>
      <c r="GHV121" s="2"/>
      <c r="GHW121" s="2"/>
      <c r="GHX121" s="2"/>
      <c r="GHY121" s="2"/>
      <c r="GHZ121" s="2"/>
      <c r="GIA121" s="2"/>
      <c r="GIB121" s="2"/>
      <c r="GIC121" s="2"/>
      <c r="GID121" s="2"/>
      <c r="GIE121" s="2"/>
      <c r="GIF121" s="2"/>
      <c r="GIG121" s="2"/>
      <c r="GIH121" s="2"/>
      <c r="GII121" s="2"/>
      <c r="GIJ121" s="2"/>
      <c r="GIK121" s="2"/>
      <c r="GIL121" s="2"/>
      <c r="GIM121" s="2"/>
      <c r="GIN121" s="2"/>
      <c r="GIO121" s="2"/>
      <c r="GIP121" s="2"/>
      <c r="GIQ121" s="2"/>
      <c r="GIR121" s="2"/>
      <c r="GIS121" s="2"/>
      <c r="GIT121" s="2"/>
      <c r="GIU121" s="2"/>
      <c r="GIV121" s="2"/>
      <c r="GIW121" s="2"/>
      <c r="GIX121" s="2"/>
      <c r="GIY121" s="2"/>
      <c r="GIZ121" s="2"/>
      <c r="GJA121" s="2"/>
      <c r="GJB121" s="2"/>
      <c r="GJC121" s="2"/>
      <c r="GJD121" s="2"/>
      <c r="GJE121" s="2"/>
      <c r="GJF121" s="2"/>
      <c r="GJG121" s="2"/>
      <c r="GJH121" s="2"/>
      <c r="GJI121" s="2"/>
      <c r="GJJ121" s="2"/>
      <c r="GJK121" s="2"/>
      <c r="GJL121" s="2"/>
      <c r="GJM121" s="2"/>
      <c r="GJN121" s="2"/>
      <c r="GJO121" s="2"/>
      <c r="GJP121" s="2"/>
      <c r="GJQ121" s="2"/>
      <c r="GJR121" s="2"/>
      <c r="GJS121" s="2"/>
      <c r="GJT121" s="2"/>
      <c r="GJU121" s="2"/>
      <c r="GJV121" s="2"/>
      <c r="GJW121" s="2"/>
      <c r="GJX121" s="2"/>
      <c r="GJY121" s="2"/>
      <c r="GJZ121" s="2"/>
      <c r="GKA121" s="2"/>
      <c r="GKB121" s="2"/>
      <c r="GKC121" s="2"/>
      <c r="GKD121" s="2"/>
      <c r="GKE121" s="2"/>
      <c r="GKF121" s="2"/>
      <c r="GKG121" s="2"/>
      <c r="GKH121" s="2"/>
      <c r="GKI121" s="2"/>
      <c r="GKJ121" s="2"/>
      <c r="GKK121" s="2"/>
      <c r="GKL121" s="2"/>
      <c r="GKM121" s="2"/>
      <c r="GKN121" s="2"/>
      <c r="GKO121" s="2"/>
      <c r="GKP121" s="2"/>
      <c r="GKQ121" s="2"/>
      <c r="GKR121" s="2"/>
      <c r="GKS121" s="2"/>
      <c r="GKT121" s="2"/>
      <c r="GKU121" s="2"/>
      <c r="GKV121" s="2"/>
      <c r="GKW121" s="2"/>
      <c r="GKX121" s="2"/>
      <c r="GKY121" s="2"/>
      <c r="GKZ121" s="2"/>
      <c r="GLA121" s="2"/>
      <c r="GLB121" s="2"/>
      <c r="GLC121" s="2"/>
      <c r="GLD121" s="2"/>
      <c r="GLE121" s="2"/>
      <c r="GLF121" s="2"/>
      <c r="GLG121" s="2"/>
      <c r="GLH121" s="2"/>
      <c r="GLI121" s="2"/>
      <c r="GLJ121" s="2"/>
      <c r="GLK121" s="2"/>
      <c r="GLL121" s="2"/>
      <c r="GLM121" s="2"/>
      <c r="GLN121" s="2"/>
      <c r="GLO121" s="2"/>
      <c r="GLP121" s="2"/>
      <c r="GLQ121" s="2"/>
      <c r="GLR121" s="2"/>
      <c r="GLS121" s="2"/>
      <c r="GLT121" s="2"/>
      <c r="GLU121" s="2"/>
      <c r="GLV121" s="2"/>
      <c r="GLW121" s="2"/>
      <c r="GLX121" s="2"/>
      <c r="GLY121" s="2"/>
      <c r="GLZ121" s="2"/>
      <c r="GMA121" s="2"/>
      <c r="GMB121" s="2"/>
      <c r="GMC121" s="2"/>
      <c r="GMD121" s="2"/>
      <c r="GME121" s="2"/>
      <c r="GMF121" s="2"/>
      <c r="GMG121" s="2"/>
      <c r="GMH121" s="2"/>
      <c r="GMI121" s="2"/>
      <c r="GMJ121" s="2"/>
      <c r="GMK121" s="2"/>
      <c r="GML121" s="2"/>
      <c r="GMM121" s="2"/>
      <c r="GMN121" s="2"/>
      <c r="GMO121" s="2"/>
      <c r="GMP121" s="2"/>
      <c r="GMQ121" s="2"/>
      <c r="GMR121" s="2"/>
      <c r="GMS121" s="2"/>
      <c r="GMT121" s="2"/>
      <c r="GMU121" s="2"/>
      <c r="GMV121" s="2"/>
      <c r="GMW121" s="2"/>
      <c r="GMX121" s="2"/>
      <c r="GMY121" s="2"/>
      <c r="GMZ121" s="2"/>
      <c r="GNA121" s="2"/>
      <c r="GNB121" s="2"/>
      <c r="GNC121" s="2"/>
      <c r="GND121" s="2"/>
      <c r="GNE121" s="2"/>
      <c r="GNF121" s="2"/>
      <c r="GNG121" s="2"/>
      <c r="GNH121" s="2"/>
      <c r="GNI121" s="2"/>
      <c r="GNJ121" s="2"/>
      <c r="GNK121" s="2"/>
      <c r="GNL121" s="2"/>
      <c r="GNM121" s="2"/>
      <c r="GNN121" s="2"/>
      <c r="GNO121" s="2"/>
      <c r="GNP121" s="2"/>
      <c r="GNQ121" s="2"/>
      <c r="GNR121" s="2"/>
      <c r="GNS121" s="2"/>
      <c r="GNT121" s="2"/>
      <c r="GNU121" s="2"/>
      <c r="GNV121" s="2"/>
      <c r="GNW121" s="2"/>
      <c r="GNX121" s="2"/>
      <c r="GNY121" s="2"/>
      <c r="GNZ121" s="2"/>
      <c r="GOA121" s="2"/>
      <c r="GOB121" s="2"/>
      <c r="GOC121" s="2"/>
      <c r="GOD121" s="2"/>
      <c r="GOE121" s="2"/>
      <c r="GOF121" s="2"/>
      <c r="GOG121" s="2"/>
      <c r="GOH121" s="2"/>
      <c r="GOI121" s="2"/>
      <c r="GOJ121" s="2"/>
      <c r="GOK121" s="2"/>
      <c r="GOL121" s="2"/>
      <c r="GOM121" s="2"/>
      <c r="GON121" s="2"/>
      <c r="GOO121" s="2"/>
      <c r="GOP121" s="2"/>
      <c r="GOQ121" s="2"/>
      <c r="GOR121" s="2"/>
      <c r="GOS121" s="2"/>
      <c r="GOT121" s="2"/>
      <c r="GOU121" s="2"/>
      <c r="GOV121" s="2"/>
      <c r="GOW121" s="2"/>
      <c r="GOX121" s="2"/>
      <c r="GOY121" s="2"/>
      <c r="GOZ121" s="2"/>
      <c r="GPA121" s="2"/>
      <c r="GPB121" s="2"/>
      <c r="GPC121" s="2"/>
      <c r="GPD121" s="2"/>
      <c r="GPE121" s="2"/>
      <c r="GPF121" s="2"/>
      <c r="GPG121" s="2"/>
      <c r="GPH121" s="2"/>
      <c r="GPI121" s="2"/>
      <c r="GPJ121" s="2"/>
      <c r="GPK121" s="2"/>
      <c r="GPL121" s="2"/>
      <c r="GPM121" s="2"/>
      <c r="GPN121" s="2"/>
      <c r="GPO121" s="2"/>
      <c r="GPP121" s="2"/>
      <c r="GPQ121" s="2"/>
      <c r="GPR121" s="2"/>
      <c r="GPS121" s="2"/>
      <c r="GPT121" s="2"/>
      <c r="GPU121" s="2"/>
      <c r="GPV121" s="2"/>
      <c r="GPW121" s="2"/>
      <c r="GPX121" s="2"/>
      <c r="GPY121" s="2"/>
      <c r="GPZ121" s="2"/>
      <c r="GQA121" s="2"/>
      <c r="GQB121" s="2"/>
      <c r="GQC121" s="2"/>
      <c r="GQD121" s="2"/>
      <c r="GQE121" s="2"/>
      <c r="GQF121" s="2"/>
      <c r="GQG121" s="2"/>
      <c r="GQH121" s="2"/>
      <c r="GQI121" s="2"/>
      <c r="GQJ121" s="2"/>
      <c r="GQK121" s="2"/>
      <c r="GQL121" s="2"/>
      <c r="GQM121" s="2"/>
      <c r="GQN121" s="2"/>
      <c r="GQO121" s="2"/>
      <c r="GQP121" s="2"/>
      <c r="GQQ121" s="2"/>
      <c r="GQR121" s="2"/>
      <c r="GQS121" s="2"/>
      <c r="GQT121" s="2"/>
      <c r="GQU121" s="2"/>
      <c r="GQV121" s="2"/>
      <c r="GQW121" s="2"/>
      <c r="GQX121" s="2"/>
      <c r="GQY121" s="2"/>
      <c r="GQZ121" s="2"/>
      <c r="GRA121" s="2"/>
      <c r="GRB121" s="2"/>
      <c r="GRC121" s="2"/>
      <c r="GRD121" s="2"/>
      <c r="GRE121" s="2"/>
      <c r="GRF121" s="2"/>
      <c r="GRG121" s="2"/>
      <c r="GRH121" s="2"/>
      <c r="GRI121" s="2"/>
      <c r="GRJ121" s="2"/>
      <c r="GRK121" s="2"/>
      <c r="GRL121" s="2"/>
      <c r="GRM121" s="2"/>
      <c r="GRN121" s="2"/>
      <c r="GRO121" s="2"/>
      <c r="GRP121" s="2"/>
      <c r="GRQ121" s="2"/>
      <c r="GRR121" s="2"/>
      <c r="GRS121" s="2"/>
      <c r="GRT121" s="2"/>
      <c r="GRU121" s="2"/>
      <c r="GRV121" s="2"/>
      <c r="GRW121" s="2"/>
      <c r="GRX121" s="2"/>
      <c r="GRY121" s="2"/>
      <c r="GRZ121" s="2"/>
      <c r="GSA121" s="2"/>
      <c r="GSB121" s="2"/>
      <c r="GSC121" s="2"/>
      <c r="GSD121" s="2"/>
      <c r="GSE121" s="2"/>
      <c r="GSF121" s="2"/>
      <c r="GSG121" s="2"/>
      <c r="GSH121" s="2"/>
      <c r="GSI121" s="2"/>
      <c r="GSJ121" s="2"/>
      <c r="GSK121" s="2"/>
      <c r="GSL121" s="2"/>
      <c r="GSM121" s="2"/>
      <c r="GSN121" s="2"/>
      <c r="GSO121" s="2"/>
      <c r="GSP121" s="2"/>
      <c r="GSQ121" s="2"/>
      <c r="GSR121" s="2"/>
      <c r="GSS121" s="2"/>
      <c r="GST121" s="2"/>
      <c r="GSU121" s="2"/>
      <c r="GSV121" s="2"/>
      <c r="GSW121" s="2"/>
      <c r="GSX121" s="2"/>
      <c r="GSY121" s="2"/>
      <c r="GSZ121" s="2"/>
      <c r="GTA121" s="2"/>
      <c r="GTB121" s="2"/>
      <c r="GTC121" s="2"/>
      <c r="GTD121" s="2"/>
      <c r="GTE121" s="2"/>
      <c r="GTF121" s="2"/>
      <c r="GTG121" s="2"/>
      <c r="GTH121" s="2"/>
      <c r="GTI121" s="2"/>
      <c r="GTJ121" s="2"/>
      <c r="GTK121" s="2"/>
      <c r="GTL121" s="2"/>
      <c r="GTM121" s="2"/>
      <c r="GTN121" s="2"/>
      <c r="GTO121" s="2"/>
      <c r="GTP121" s="2"/>
      <c r="GTQ121" s="2"/>
      <c r="GTR121" s="2"/>
      <c r="GTS121" s="2"/>
      <c r="GTT121" s="2"/>
      <c r="GTU121" s="2"/>
      <c r="GTV121" s="2"/>
      <c r="GTW121" s="2"/>
      <c r="GTX121" s="2"/>
      <c r="GTY121" s="2"/>
      <c r="GTZ121" s="2"/>
      <c r="GUA121" s="2"/>
      <c r="GUB121" s="2"/>
      <c r="GUC121" s="2"/>
      <c r="GUD121" s="2"/>
      <c r="GUE121" s="2"/>
      <c r="GUF121" s="2"/>
      <c r="GUG121" s="2"/>
      <c r="GUH121" s="2"/>
      <c r="GUI121" s="2"/>
      <c r="GUJ121" s="2"/>
      <c r="GUK121" s="2"/>
      <c r="GUL121" s="2"/>
      <c r="GUM121" s="2"/>
      <c r="GUN121" s="2"/>
      <c r="GUO121" s="2"/>
      <c r="GUP121" s="2"/>
      <c r="GUQ121" s="2"/>
      <c r="GUR121" s="2"/>
      <c r="GUS121" s="2"/>
      <c r="GUT121" s="2"/>
      <c r="GUU121" s="2"/>
      <c r="GUV121" s="2"/>
      <c r="GUW121" s="2"/>
      <c r="GUX121" s="2"/>
      <c r="GUY121" s="2"/>
      <c r="GUZ121" s="2"/>
      <c r="GVA121" s="2"/>
      <c r="GVB121" s="2"/>
      <c r="GVC121" s="2"/>
      <c r="GVD121" s="2"/>
      <c r="GVE121" s="2"/>
      <c r="GVF121" s="2"/>
      <c r="GVG121" s="2"/>
      <c r="GVH121" s="2"/>
      <c r="GVI121" s="2"/>
      <c r="GVJ121" s="2"/>
      <c r="GVK121" s="2"/>
      <c r="GVL121" s="2"/>
      <c r="GVM121" s="2"/>
      <c r="GVN121" s="2"/>
      <c r="GVO121" s="2"/>
      <c r="GVP121" s="2"/>
      <c r="GVQ121" s="2"/>
      <c r="GVR121" s="2"/>
      <c r="GVS121" s="2"/>
      <c r="GVT121" s="2"/>
      <c r="GVU121" s="2"/>
      <c r="GVV121" s="2"/>
      <c r="GVW121" s="2"/>
      <c r="GVX121" s="2"/>
      <c r="GVY121" s="2"/>
      <c r="GVZ121" s="2"/>
      <c r="GWA121" s="2"/>
      <c r="GWB121" s="2"/>
      <c r="GWC121" s="2"/>
      <c r="GWD121" s="2"/>
      <c r="GWE121" s="2"/>
      <c r="GWF121" s="2"/>
      <c r="GWG121" s="2"/>
      <c r="GWH121" s="2"/>
      <c r="GWI121" s="2"/>
      <c r="GWJ121" s="2"/>
      <c r="GWK121" s="2"/>
      <c r="GWL121" s="2"/>
      <c r="GWM121" s="2"/>
      <c r="GWN121" s="2"/>
      <c r="GWO121" s="2"/>
      <c r="GWP121" s="2"/>
      <c r="GWQ121" s="2"/>
      <c r="GWR121" s="2"/>
      <c r="GWS121" s="2"/>
      <c r="GWT121" s="2"/>
      <c r="GWU121" s="2"/>
      <c r="GWV121" s="2"/>
      <c r="GWW121" s="2"/>
      <c r="GWX121" s="2"/>
      <c r="GWY121" s="2"/>
      <c r="GWZ121" s="2"/>
      <c r="GXA121" s="2"/>
      <c r="GXB121" s="2"/>
      <c r="GXC121" s="2"/>
      <c r="GXD121" s="2"/>
      <c r="GXE121" s="2"/>
      <c r="GXF121" s="2"/>
      <c r="GXG121" s="2"/>
      <c r="GXH121" s="2"/>
      <c r="GXI121" s="2"/>
      <c r="GXJ121" s="2"/>
      <c r="GXK121" s="2"/>
      <c r="GXL121" s="2"/>
      <c r="GXM121" s="2"/>
      <c r="GXN121" s="2"/>
      <c r="GXO121" s="2"/>
      <c r="GXP121" s="2"/>
      <c r="GXQ121" s="2"/>
      <c r="GXR121" s="2"/>
      <c r="GXS121" s="2"/>
      <c r="GXT121" s="2"/>
      <c r="GXU121" s="2"/>
      <c r="GXV121" s="2"/>
      <c r="GXW121" s="2"/>
      <c r="GXX121" s="2"/>
      <c r="GXY121" s="2"/>
      <c r="GXZ121" s="2"/>
      <c r="GYA121" s="2"/>
      <c r="GYB121" s="2"/>
      <c r="GYC121" s="2"/>
      <c r="GYD121" s="2"/>
      <c r="GYE121" s="2"/>
      <c r="GYF121" s="2"/>
      <c r="GYG121" s="2"/>
      <c r="GYH121" s="2"/>
      <c r="GYI121" s="2"/>
      <c r="GYJ121" s="2"/>
      <c r="GYK121" s="2"/>
      <c r="GYL121" s="2"/>
      <c r="GYM121" s="2"/>
      <c r="GYN121" s="2"/>
      <c r="GYO121" s="2"/>
      <c r="GYP121" s="2"/>
      <c r="GYQ121" s="2"/>
      <c r="GYR121" s="2"/>
      <c r="GYS121" s="2"/>
      <c r="GYT121" s="2"/>
      <c r="GYU121" s="2"/>
      <c r="GYV121" s="2"/>
      <c r="GYW121" s="2"/>
      <c r="GYX121" s="2"/>
      <c r="GYY121" s="2"/>
      <c r="GYZ121" s="2"/>
      <c r="GZA121" s="2"/>
      <c r="GZB121" s="2"/>
      <c r="GZC121" s="2"/>
      <c r="GZD121" s="2"/>
      <c r="GZE121" s="2"/>
      <c r="GZF121" s="2"/>
      <c r="GZG121" s="2"/>
      <c r="GZH121" s="2"/>
      <c r="GZI121" s="2"/>
      <c r="GZJ121" s="2"/>
      <c r="GZK121" s="2"/>
      <c r="GZL121" s="2"/>
      <c r="GZM121" s="2"/>
      <c r="GZN121" s="2"/>
      <c r="GZO121" s="2"/>
      <c r="GZP121" s="2"/>
      <c r="GZQ121" s="2"/>
      <c r="GZR121" s="2"/>
      <c r="GZS121" s="2"/>
      <c r="GZT121" s="2"/>
      <c r="GZU121" s="2"/>
      <c r="GZV121" s="2"/>
      <c r="GZW121" s="2"/>
      <c r="GZX121" s="2"/>
      <c r="GZY121" s="2"/>
      <c r="GZZ121" s="2"/>
      <c r="HAA121" s="2"/>
      <c r="HAB121" s="2"/>
      <c r="HAC121" s="2"/>
      <c r="HAD121" s="2"/>
      <c r="HAE121" s="2"/>
      <c r="HAF121" s="2"/>
      <c r="HAG121" s="2"/>
      <c r="HAH121" s="2"/>
      <c r="HAI121" s="2"/>
      <c r="HAJ121" s="2"/>
      <c r="HAK121" s="2"/>
      <c r="HAL121" s="2"/>
      <c r="HAM121" s="2"/>
      <c r="HAN121" s="2"/>
      <c r="HAO121" s="2"/>
      <c r="HAP121" s="2"/>
      <c r="HAQ121" s="2"/>
      <c r="HAR121" s="2"/>
      <c r="HAS121" s="2"/>
      <c r="HAT121" s="2"/>
      <c r="HAU121" s="2"/>
      <c r="HAV121" s="2"/>
      <c r="HAW121" s="2"/>
      <c r="HAX121" s="2"/>
      <c r="HAY121" s="2"/>
      <c r="HAZ121" s="2"/>
      <c r="HBA121" s="2"/>
      <c r="HBB121" s="2"/>
      <c r="HBC121" s="2"/>
      <c r="HBD121" s="2"/>
      <c r="HBE121" s="2"/>
      <c r="HBF121" s="2"/>
      <c r="HBG121" s="2"/>
      <c r="HBH121" s="2"/>
      <c r="HBI121" s="2"/>
      <c r="HBJ121" s="2"/>
      <c r="HBK121" s="2"/>
      <c r="HBL121" s="2"/>
      <c r="HBM121" s="2"/>
      <c r="HBN121" s="2"/>
      <c r="HBO121" s="2"/>
      <c r="HBP121" s="2"/>
      <c r="HBQ121" s="2"/>
      <c r="HBR121" s="2"/>
      <c r="HBS121" s="2"/>
      <c r="HBT121" s="2"/>
      <c r="HBU121" s="2"/>
      <c r="HBV121" s="2"/>
      <c r="HBW121" s="2"/>
      <c r="HBX121" s="2"/>
      <c r="HBY121" s="2"/>
      <c r="HBZ121" s="2"/>
      <c r="HCA121" s="2"/>
      <c r="HCB121" s="2"/>
      <c r="HCC121" s="2"/>
      <c r="HCD121" s="2"/>
      <c r="HCE121" s="2"/>
      <c r="HCF121" s="2"/>
      <c r="HCG121" s="2"/>
      <c r="HCH121" s="2"/>
      <c r="HCI121" s="2"/>
      <c r="HCJ121" s="2"/>
      <c r="HCK121" s="2"/>
      <c r="HCL121" s="2"/>
      <c r="HCM121" s="2"/>
      <c r="HCN121" s="2"/>
      <c r="HCO121" s="2"/>
      <c r="HCP121" s="2"/>
      <c r="HCQ121" s="2"/>
      <c r="HCR121" s="2"/>
      <c r="HCS121" s="2"/>
      <c r="HCT121" s="2"/>
      <c r="HCU121" s="2"/>
      <c r="HCV121" s="2"/>
      <c r="HCW121" s="2"/>
      <c r="HCX121" s="2"/>
      <c r="HCY121" s="2"/>
      <c r="HCZ121" s="2"/>
      <c r="HDA121" s="2"/>
      <c r="HDB121" s="2"/>
      <c r="HDC121" s="2"/>
      <c r="HDD121" s="2"/>
      <c r="HDE121" s="2"/>
      <c r="HDF121" s="2"/>
      <c r="HDG121" s="2"/>
      <c r="HDH121" s="2"/>
      <c r="HDI121" s="2"/>
      <c r="HDJ121" s="2"/>
      <c r="HDK121" s="2"/>
      <c r="HDL121" s="2"/>
      <c r="HDM121" s="2"/>
      <c r="HDN121" s="2"/>
      <c r="HDO121" s="2"/>
      <c r="HDP121" s="2"/>
      <c r="HDQ121" s="2"/>
      <c r="HDR121" s="2"/>
      <c r="HDS121" s="2"/>
      <c r="HDT121" s="2"/>
      <c r="HDU121" s="2"/>
      <c r="HDV121" s="2"/>
      <c r="HDW121" s="2"/>
      <c r="HDX121" s="2"/>
      <c r="HDY121" s="2"/>
      <c r="HDZ121" s="2"/>
      <c r="HEA121" s="2"/>
      <c r="HEB121" s="2"/>
      <c r="HEC121" s="2"/>
      <c r="HED121" s="2"/>
      <c r="HEE121" s="2"/>
      <c r="HEF121" s="2"/>
      <c r="HEG121" s="2"/>
      <c r="HEH121" s="2"/>
      <c r="HEI121" s="2"/>
      <c r="HEJ121" s="2"/>
      <c r="HEK121" s="2"/>
      <c r="HEL121" s="2"/>
      <c r="HEM121" s="2"/>
      <c r="HEN121" s="2"/>
      <c r="HEO121" s="2"/>
      <c r="HEP121" s="2"/>
      <c r="HEQ121" s="2"/>
      <c r="HER121" s="2"/>
      <c r="HES121" s="2"/>
      <c r="HET121" s="2"/>
      <c r="HEU121" s="2"/>
      <c r="HEV121" s="2"/>
      <c r="HEW121" s="2"/>
      <c r="HEX121" s="2"/>
      <c r="HEY121" s="2"/>
      <c r="HEZ121" s="2"/>
      <c r="HFA121" s="2"/>
      <c r="HFB121" s="2"/>
      <c r="HFC121" s="2"/>
      <c r="HFD121" s="2"/>
      <c r="HFE121" s="2"/>
      <c r="HFF121" s="2"/>
      <c r="HFG121" s="2"/>
      <c r="HFH121" s="2"/>
      <c r="HFI121" s="2"/>
      <c r="HFJ121" s="2"/>
      <c r="HFK121" s="2"/>
      <c r="HFL121" s="2"/>
      <c r="HFM121" s="2"/>
      <c r="HFN121" s="2"/>
      <c r="HFO121" s="2"/>
      <c r="HFP121" s="2"/>
      <c r="HFQ121" s="2"/>
      <c r="HFR121" s="2"/>
      <c r="HFS121" s="2"/>
      <c r="HFT121" s="2"/>
      <c r="HFU121" s="2"/>
      <c r="HFV121" s="2"/>
      <c r="HFW121" s="2"/>
      <c r="HFX121" s="2"/>
      <c r="HFY121" s="2"/>
      <c r="HFZ121" s="2"/>
      <c r="HGA121" s="2"/>
      <c r="HGB121" s="2"/>
      <c r="HGC121" s="2"/>
      <c r="HGD121" s="2"/>
      <c r="HGE121" s="2"/>
      <c r="HGF121" s="2"/>
      <c r="HGG121" s="2"/>
      <c r="HGH121" s="2"/>
      <c r="HGI121" s="2"/>
      <c r="HGJ121" s="2"/>
      <c r="HGK121" s="2"/>
      <c r="HGL121" s="2"/>
      <c r="HGM121" s="2"/>
      <c r="HGN121" s="2"/>
      <c r="HGO121" s="2"/>
      <c r="HGP121" s="2"/>
      <c r="HGQ121" s="2"/>
      <c r="HGR121" s="2"/>
      <c r="HGS121" s="2"/>
      <c r="HGT121" s="2"/>
      <c r="HGU121" s="2"/>
      <c r="HGV121" s="2"/>
      <c r="HGW121" s="2"/>
      <c r="HGX121" s="2"/>
      <c r="HGY121" s="2"/>
      <c r="HGZ121" s="2"/>
      <c r="HHA121" s="2"/>
      <c r="HHB121" s="2"/>
      <c r="HHC121" s="2"/>
      <c r="HHD121" s="2"/>
      <c r="HHE121" s="2"/>
      <c r="HHF121" s="2"/>
      <c r="HHG121" s="2"/>
      <c r="HHH121" s="2"/>
      <c r="HHI121" s="2"/>
      <c r="HHJ121" s="2"/>
      <c r="HHK121" s="2"/>
      <c r="HHL121" s="2"/>
      <c r="HHM121" s="2"/>
      <c r="HHN121" s="2"/>
      <c r="HHO121" s="2"/>
      <c r="HHP121" s="2"/>
      <c r="HHQ121" s="2"/>
      <c r="HHR121" s="2"/>
      <c r="HHS121" s="2"/>
      <c r="HHT121" s="2"/>
      <c r="HHU121" s="2"/>
      <c r="HHV121" s="2"/>
      <c r="HHW121" s="2"/>
      <c r="HHX121" s="2"/>
      <c r="HHY121" s="2"/>
      <c r="HHZ121" s="2"/>
      <c r="HIA121" s="2"/>
      <c r="HIB121" s="2"/>
      <c r="HIC121" s="2"/>
      <c r="HID121" s="2"/>
      <c r="HIE121" s="2"/>
      <c r="HIF121" s="2"/>
      <c r="HIG121" s="2"/>
      <c r="HIH121" s="2"/>
      <c r="HII121" s="2"/>
      <c r="HIJ121" s="2"/>
      <c r="HIK121" s="2"/>
      <c r="HIL121" s="2"/>
      <c r="HIM121" s="2"/>
      <c r="HIN121" s="2"/>
      <c r="HIO121" s="2"/>
      <c r="HIP121" s="2"/>
      <c r="HIQ121" s="2"/>
      <c r="HIR121" s="2"/>
      <c r="HIS121" s="2"/>
      <c r="HIT121" s="2"/>
      <c r="HIU121" s="2"/>
      <c r="HIV121" s="2"/>
      <c r="HIW121" s="2"/>
      <c r="HIX121" s="2"/>
      <c r="HIY121" s="2"/>
      <c r="HIZ121" s="2"/>
      <c r="HJA121" s="2"/>
      <c r="HJB121" s="2"/>
      <c r="HJC121" s="2"/>
      <c r="HJD121" s="2"/>
      <c r="HJE121" s="2"/>
      <c r="HJF121" s="2"/>
      <c r="HJG121" s="2"/>
      <c r="HJH121" s="2"/>
      <c r="HJI121" s="2"/>
      <c r="HJJ121" s="2"/>
      <c r="HJK121" s="2"/>
      <c r="HJL121" s="2"/>
      <c r="HJM121" s="2"/>
      <c r="HJN121" s="2"/>
      <c r="HJO121" s="2"/>
      <c r="HJP121" s="2"/>
      <c r="HJQ121" s="2"/>
      <c r="HJR121" s="2"/>
      <c r="HJS121" s="2"/>
      <c r="HJT121" s="2"/>
      <c r="HJU121" s="2"/>
      <c r="HJV121" s="2"/>
      <c r="HJW121" s="2"/>
      <c r="HJX121" s="2"/>
      <c r="HJY121" s="2"/>
      <c r="HJZ121" s="2"/>
      <c r="HKA121" s="2"/>
      <c r="HKB121" s="2"/>
      <c r="HKC121" s="2"/>
      <c r="HKD121" s="2"/>
      <c r="HKE121" s="2"/>
      <c r="HKF121" s="2"/>
      <c r="HKG121" s="2"/>
      <c r="HKH121" s="2"/>
      <c r="HKI121" s="2"/>
      <c r="HKJ121" s="2"/>
      <c r="HKK121" s="2"/>
      <c r="HKL121" s="2"/>
      <c r="HKM121" s="2"/>
      <c r="HKN121" s="2"/>
      <c r="HKO121" s="2"/>
      <c r="HKP121" s="2"/>
      <c r="HKQ121" s="2"/>
      <c r="HKR121" s="2"/>
      <c r="HKS121" s="2"/>
      <c r="HKT121" s="2"/>
      <c r="HKU121" s="2"/>
      <c r="HKV121" s="2"/>
      <c r="HKW121" s="2"/>
      <c r="HKX121" s="2"/>
      <c r="HKY121" s="2"/>
      <c r="HKZ121" s="2"/>
      <c r="HLA121" s="2"/>
      <c r="HLB121" s="2"/>
      <c r="HLC121" s="2"/>
      <c r="HLD121" s="2"/>
      <c r="HLE121" s="2"/>
      <c r="HLF121" s="2"/>
      <c r="HLG121" s="2"/>
      <c r="HLH121" s="2"/>
      <c r="HLI121" s="2"/>
      <c r="HLJ121" s="2"/>
      <c r="HLK121" s="2"/>
      <c r="HLL121" s="2"/>
      <c r="HLM121" s="2"/>
      <c r="HLN121" s="2"/>
      <c r="HLO121" s="2"/>
      <c r="HLP121" s="2"/>
      <c r="HLQ121" s="2"/>
      <c r="HLR121" s="2"/>
      <c r="HLS121" s="2"/>
      <c r="HLT121" s="2"/>
      <c r="HLU121" s="2"/>
      <c r="HLV121" s="2"/>
      <c r="HLW121" s="2"/>
      <c r="HLX121" s="2"/>
      <c r="HLY121" s="2"/>
      <c r="HLZ121" s="2"/>
      <c r="HMA121" s="2"/>
      <c r="HMB121" s="2"/>
      <c r="HMC121" s="2"/>
      <c r="HMD121" s="2"/>
      <c r="HME121" s="2"/>
      <c r="HMF121" s="2"/>
      <c r="HMG121" s="2"/>
      <c r="HMH121" s="2"/>
      <c r="HMI121" s="2"/>
      <c r="HMJ121" s="2"/>
      <c r="HMK121" s="2"/>
      <c r="HML121" s="2"/>
      <c r="HMM121" s="2"/>
      <c r="HMN121" s="2"/>
      <c r="HMO121" s="2"/>
      <c r="HMP121" s="2"/>
      <c r="HMQ121" s="2"/>
      <c r="HMR121" s="2"/>
      <c r="HMS121" s="2"/>
      <c r="HMT121" s="2"/>
      <c r="HMU121" s="2"/>
      <c r="HMV121" s="2"/>
      <c r="HMW121" s="2"/>
      <c r="HMX121" s="2"/>
      <c r="HMY121" s="2"/>
      <c r="HMZ121" s="2"/>
      <c r="HNA121" s="2"/>
      <c r="HNB121" s="2"/>
      <c r="HNC121" s="2"/>
      <c r="HND121" s="2"/>
      <c r="HNE121" s="2"/>
      <c r="HNF121" s="2"/>
      <c r="HNG121" s="2"/>
      <c r="HNH121" s="2"/>
      <c r="HNI121" s="2"/>
      <c r="HNJ121" s="2"/>
      <c r="HNK121" s="2"/>
      <c r="HNL121" s="2"/>
      <c r="HNM121" s="2"/>
      <c r="HNN121" s="2"/>
      <c r="HNO121" s="2"/>
      <c r="HNP121" s="2"/>
      <c r="HNQ121" s="2"/>
      <c r="HNR121" s="2"/>
      <c r="HNS121" s="2"/>
      <c r="HNT121" s="2"/>
      <c r="HNU121" s="2"/>
      <c r="HNV121" s="2"/>
      <c r="HNW121" s="2"/>
      <c r="HNX121" s="2"/>
      <c r="HNY121" s="2"/>
      <c r="HNZ121" s="2"/>
      <c r="HOA121" s="2"/>
      <c r="HOB121" s="2"/>
      <c r="HOC121" s="2"/>
      <c r="HOD121" s="2"/>
      <c r="HOE121" s="2"/>
      <c r="HOF121" s="2"/>
      <c r="HOG121" s="2"/>
      <c r="HOH121" s="2"/>
      <c r="HOI121" s="2"/>
      <c r="HOJ121" s="2"/>
      <c r="HOK121" s="2"/>
      <c r="HOL121" s="2"/>
      <c r="HOM121" s="2"/>
      <c r="HON121" s="2"/>
      <c r="HOO121" s="2"/>
      <c r="HOP121" s="2"/>
      <c r="HOQ121" s="2"/>
      <c r="HOR121" s="2"/>
      <c r="HOS121" s="2"/>
      <c r="HOT121" s="2"/>
      <c r="HOU121" s="2"/>
      <c r="HOV121" s="2"/>
      <c r="HOW121" s="2"/>
      <c r="HOX121" s="2"/>
      <c r="HOY121" s="2"/>
      <c r="HOZ121" s="2"/>
      <c r="HPA121" s="2"/>
      <c r="HPB121" s="2"/>
      <c r="HPC121" s="2"/>
      <c r="HPD121" s="2"/>
      <c r="HPE121" s="2"/>
      <c r="HPF121" s="2"/>
      <c r="HPG121" s="2"/>
      <c r="HPH121" s="2"/>
      <c r="HPI121" s="2"/>
      <c r="HPJ121" s="2"/>
      <c r="HPK121" s="2"/>
      <c r="HPL121" s="2"/>
      <c r="HPM121" s="2"/>
      <c r="HPN121" s="2"/>
      <c r="HPO121" s="2"/>
      <c r="HPP121" s="2"/>
      <c r="HPQ121" s="2"/>
      <c r="HPR121" s="2"/>
      <c r="HPS121" s="2"/>
      <c r="HPT121" s="2"/>
      <c r="HPU121" s="2"/>
      <c r="HPV121" s="2"/>
      <c r="HPW121" s="2"/>
      <c r="HPX121" s="2"/>
      <c r="HPY121" s="2"/>
      <c r="HPZ121" s="2"/>
      <c r="HQA121" s="2"/>
      <c r="HQB121" s="2"/>
      <c r="HQC121" s="2"/>
      <c r="HQD121" s="2"/>
      <c r="HQE121" s="2"/>
      <c r="HQF121" s="2"/>
      <c r="HQG121" s="2"/>
      <c r="HQH121" s="2"/>
      <c r="HQI121" s="2"/>
      <c r="HQJ121" s="2"/>
      <c r="HQK121" s="2"/>
      <c r="HQL121" s="2"/>
      <c r="HQM121" s="2"/>
      <c r="HQN121" s="2"/>
      <c r="HQO121" s="2"/>
      <c r="HQP121" s="2"/>
      <c r="HQQ121" s="2"/>
      <c r="HQR121" s="2"/>
      <c r="HQS121" s="2"/>
      <c r="HQT121" s="2"/>
      <c r="HQU121" s="2"/>
      <c r="HQV121" s="2"/>
      <c r="HQW121" s="2"/>
      <c r="HQX121" s="2"/>
      <c r="HQY121" s="2"/>
      <c r="HQZ121" s="2"/>
      <c r="HRA121" s="2"/>
      <c r="HRB121" s="2"/>
      <c r="HRC121" s="2"/>
      <c r="HRD121" s="2"/>
      <c r="HRE121" s="2"/>
      <c r="HRF121" s="2"/>
      <c r="HRG121" s="2"/>
      <c r="HRH121" s="2"/>
      <c r="HRI121" s="2"/>
      <c r="HRJ121" s="2"/>
      <c r="HRK121" s="2"/>
      <c r="HRL121" s="2"/>
      <c r="HRM121" s="2"/>
      <c r="HRN121" s="2"/>
      <c r="HRO121" s="2"/>
      <c r="HRP121" s="2"/>
      <c r="HRQ121" s="2"/>
      <c r="HRR121" s="2"/>
      <c r="HRS121" s="2"/>
      <c r="HRT121" s="2"/>
      <c r="HRU121" s="2"/>
      <c r="HRV121" s="2"/>
      <c r="HRW121" s="2"/>
      <c r="HRX121" s="2"/>
      <c r="HRY121" s="2"/>
      <c r="HRZ121" s="2"/>
      <c r="HSA121" s="2"/>
      <c r="HSB121" s="2"/>
      <c r="HSC121" s="2"/>
      <c r="HSD121" s="2"/>
      <c r="HSE121" s="2"/>
      <c r="HSF121" s="2"/>
      <c r="HSG121" s="2"/>
      <c r="HSH121" s="2"/>
      <c r="HSI121" s="2"/>
      <c r="HSJ121" s="2"/>
      <c r="HSK121" s="2"/>
      <c r="HSL121" s="2"/>
      <c r="HSM121" s="2"/>
      <c r="HSN121" s="2"/>
      <c r="HSO121" s="2"/>
      <c r="HSP121" s="2"/>
      <c r="HSQ121" s="2"/>
      <c r="HSR121" s="2"/>
      <c r="HSS121" s="2"/>
      <c r="HST121" s="2"/>
      <c r="HSU121" s="2"/>
      <c r="HSV121" s="2"/>
      <c r="HSW121" s="2"/>
      <c r="HSX121" s="2"/>
      <c r="HSY121" s="2"/>
      <c r="HSZ121" s="2"/>
      <c r="HTA121" s="2"/>
      <c r="HTB121" s="2"/>
      <c r="HTC121" s="2"/>
      <c r="HTD121" s="2"/>
      <c r="HTE121" s="2"/>
      <c r="HTF121" s="2"/>
      <c r="HTG121" s="2"/>
      <c r="HTH121" s="2"/>
      <c r="HTI121" s="2"/>
      <c r="HTJ121" s="2"/>
      <c r="HTK121" s="2"/>
      <c r="HTL121" s="2"/>
      <c r="HTM121" s="2"/>
      <c r="HTN121" s="2"/>
      <c r="HTO121" s="2"/>
      <c r="HTP121" s="2"/>
      <c r="HTQ121" s="2"/>
      <c r="HTR121" s="2"/>
      <c r="HTS121" s="2"/>
      <c r="HTT121" s="2"/>
      <c r="HTU121" s="2"/>
      <c r="HTV121" s="2"/>
      <c r="HTW121" s="2"/>
      <c r="HTX121" s="2"/>
      <c r="HTY121" s="2"/>
      <c r="HTZ121" s="2"/>
      <c r="HUA121" s="2"/>
      <c r="HUB121" s="2"/>
      <c r="HUC121" s="2"/>
      <c r="HUD121" s="2"/>
      <c r="HUE121" s="2"/>
      <c r="HUF121" s="2"/>
      <c r="HUG121" s="2"/>
      <c r="HUH121" s="2"/>
      <c r="HUI121" s="2"/>
      <c r="HUJ121" s="2"/>
      <c r="HUK121" s="2"/>
      <c r="HUL121" s="2"/>
      <c r="HUM121" s="2"/>
      <c r="HUN121" s="2"/>
      <c r="HUO121" s="2"/>
      <c r="HUP121" s="2"/>
      <c r="HUQ121" s="2"/>
      <c r="HUR121" s="2"/>
      <c r="HUS121" s="2"/>
      <c r="HUT121" s="2"/>
      <c r="HUU121" s="2"/>
      <c r="HUV121" s="2"/>
      <c r="HUW121" s="2"/>
      <c r="HUX121" s="2"/>
      <c r="HUY121" s="2"/>
      <c r="HUZ121" s="2"/>
      <c r="HVA121" s="2"/>
      <c r="HVB121" s="2"/>
      <c r="HVC121" s="2"/>
      <c r="HVD121" s="2"/>
      <c r="HVE121" s="2"/>
      <c r="HVF121" s="2"/>
      <c r="HVG121" s="2"/>
      <c r="HVH121" s="2"/>
      <c r="HVI121" s="2"/>
      <c r="HVJ121" s="2"/>
      <c r="HVK121" s="2"/>
      <c r="HVL121" s="2"/>
      <c r="HVM121" s="2"/>
      <c r="HVN121" s="2"/>
      <c r="HVO121" s="2"/>
      <c r="HVP121" s="2"/>
      <c r="HVQ121" s="2"/>
      <c r="HVR121" s="2"/>
      <c r="HVS121" s="2"/>
      <c r="HVT121" s="2"/>
      <c r="HVU121" s="2"/>
      <c r="HVV121" s="2"/>
      <c r="HVW121" s="2"/>
      <c r="HVX121" s="2"/>
      <c r="HVY121" s="2"/>
      <c r="HVZ121" s="2"/>
      <c r="HWA121" s="2"/>
      <c r="HWB121" s="2"/>
      <c r="HWC121" s="2"/>
      <c r="HWD121" s="2"/>
      <c r="HWE121" s="2"/>
      <c r="HWF121" s="2"/>
      <c r="HWG121" s="2"/>
      <c r="HWH121" s="2"/>
      <c r="HWI121" s="2"/>
      <c r="HWJ121" s="2"/>
      <c r="HWK121" s="2"/>
      <c r="HWL121" s="2"/>
      <c r="HWM121" s="2"/>
      <c r="HWN121" s="2"/>
      <c r="HWO121" s="2"/>
      <c r="HWP121" s="2"/>
      <c r="HWQ121" s="2"/>
      <c r="HWR121" s="2"/>
      <c r="HWS121" s="2"/>
      <c r="HWT121" s="2"/>
      <c r="HWU121" s="2"/>
      <c r="HWV121" s="2"/>
      <c r="HWW121" s="2"/>
      <c r="HWX121" s="2"/>
      <c r="HWY121" s="2"/>
      <c r="HWZ121" s="2"/>
      <c r="HXA121" s="2"/>
      <c r="HXB121" s="2"/>
      <c r="HXC121" s="2"/>
      <c r="HXD121" s="2"/>
      <c r="HXE121" s="2"/>
      <c r="HXF121" s="2"/>
      <c r="HXG121" s="2"/>
      <c r="HXH121" s="2"/>
      <c r="HXI121" s="2"/>
      <c r="HXJ121" s="2"/>
      <c r="HXK121" s="2"/>
      <c r="HXL121" s="2"/>
      <c r="HXM121" s="2"/>
      <c r="HXN121" s="2"/>
      <c r="HXO121" s="2"/>
      <c r="HXP121" s="2"/>
      <c r="HXQ121" s="2"/>
      <c r="HXR121" s="2"/>
      <c r="HXS121" s="2"/>
      <c r="HXT121" s="2"/>
      <c r="HXU121" s="2"/>
      <c r="HXV121" s="2"/>
      <c r="HXW121" s="2"/>
      <c r="HXX121" s="2"/>
      <c r="HXY121" s="2"/>
      <c r="HXZ121" s="2"/>
      <c r="HYA121" s="2"/>
      <c r="HYB121" s="2"/>
      <c r="HYC121" s="2"/>
      <c r="HYD121" s="2"/>
      <c r="HYE121" s="2"/>
      <c r="HYF121" s="2"/>
      <c r="HYG121" s="2"/>
      <c r="HYH121" s="2"/>
      <c r="HYI121" s="2"/>
      <c r="HYJ121" s="2"/>
      <c r="HYK121" s="2"/>
      <c r="HYL121" s="2"/>
      <c r="HYM121" s="2"/>
      <c r="HYN121" s="2"/>
      <c r="HYO121" s="2"/>
      <c r="HYP121" s="2"/>
      <c r="HYQ121" s="2"/>
      <c r="HYR121" s="2"/>
      <c r="HYS121" s="2"/>
      <c r="HYT121" s="2"/>
      <c r="HYU121" s="2"/>
      <c r="HYV121" s="2"/>
      <c r="HYW121" s="2"/>
      <c r="HYX121" s="2"/>
      <c r="HYY121" s="2"/>
      <c r="HYZ121" s="2"/>
      <c r="HZA121" s="2"/>
      <c r="HZB121" s="2"/>
      <c r="HZC121" s="2"/>
      <c r="HZD121" s="2"/>
      <c r="HZE121" s="2"/>
      <c r="HZF121" s="2"/>
      <c r="HZG121" s="2"/>
      <c r="HZH121" s="2"/>
      <c r="HZI121" s="2"/>
      <c r="HZJ121" s="2"/>
      <c r="HZK121" s="2"/>
      <c r="HZL121" s="2"/>
      <c r="HZM121" s="2"/>
      <c r="HZN121" s="2"/>
      <c r="HZO121" s="2"/>
      <c r="HZP121" s="2"/>
      <c r="HZQ121" s="2"/>
      <c r="HZR121" s="2"/>
      <c r="HZS121" s="2"/>
      <c r="HZT121" s="2"/>
      <c r="HZU121" s="2"/>
      <c r="HZV121" s="2"/>
      <c r="HZW121" s="2"/>
      <c r="HZX121" s="2"/>
      <c r="HZY121" s="2"/>
      <c r="HZZ121" s="2"/>
      <c r="IAA121" s="2"/>
      <c r="IAB121" s="2"/>
      <c r="IAC121" s="2"/>
      <c r="IAD121" s="2"/>
      <c r="IAE121" s="2"/>
      <c r="IAF121" s="2"/>
      <c r="IAG121" s="2"/>
      <c r="IAH121" s="2"/>
      <c r="IAI121" s="2"/>
      <c r="IAJ121" s="2"/>
      <c r="IAK121" s="2"/>
      <c r="IAL121" s="2"/>
      <c r="IAM121" s="2"/>
      <c r="IAN121" s="2"/>
      <c r="IAO121" s="2"/>
      <c r="IAP121" s="2"/>
      <c r="IAQ121" s="2"/>
      <c r="IAR121" s="2"/>
      <c r="IAS121" s="2"/>
      <c r="IAT121" s="2"/>
      <c r="IAU121" s="2"/>
      <c r="IAV121" s="2"/>
      <c r="IAW121" s="2"/>
      <c r="IAX121" s="2"/>
      <c r="IAY121" s="2"/>
      <c r="IAZ121" s="2"/>
      <c r="IBA121" s="2"/>
      <c r="IBB121" s="2"/>
      <c r="IBC121" s="2"/>
      <c r="IBD121" s="2"/>
      <c r="IBE121" s="2"/>
      <c r="IBF121" s="2"/>
      <c r="IBG121" s="2"/>
      <c r="IBH121" s="2"/>
      <c r="IBI121" s="2"/>
      <c r="IBJ121" s="2"/>
      <c r="IBK121" s="2"/>
      <c r="IBL121" s="2"/>
      <c r="IBM121" s="2"/>
      <c r="IBN121" s="2"/>
      <c r="IBO121" s="2"/>
      <c r="IBP121" s="2"/>
      <c r="IBQ121" s="2"/>
      <c r="IBR121" s="2"/>
      <c r="IBS121" s="2"/>
      <c r="IBT121" s="2"/>
      <c r="IBU121" s="2"/>
      <c r="IBV121" s="2"/>
      <c r="IBW121" s="2"/>
      <c r="IBX121" s="2"/>
      <c r="IBY121" s="2"/>
      <c r="IBZ121" s="2"/>
      <c r="ICA121" s="2"/>
      <c r="ICB121" s="2"/>
      <c r="ICC121" s="2"/>
      <c r="ICD121" s="2"/>
      <c r="ICE121" s="2"/>
      <c r="ICF121" s="2"/>
      <c r="ICG121" s="2"/>
      <c r="ICH121" s="2"/>
      <c r="ICI121" s="2"/>
      <c r="ICJ121" s="2"/>
      <c r="ICK121" s="2"/>
      <c r="ICL121" s="2"/>
      <c r="ICM121" s="2"/>
      <c r="ICN121" s="2"/>
      <c r="ICO121" s="2"/>
      <c r="ICP121" s="2"/>
      <c r="ICQ121" s="2"/>
      <c r="ICR121" s="2"/>
      <c r="ICS121" s="2"/>
      <c r="ICT121" s="2"/>
      <c r="ICU121" s="2"/>
      <c r="ICV121" s="2"/>
      <c r="ICW121" s="2"/>
      <c r="ICX121" s="2"/>
      <c r="ICY121" s="2"/>
      <c r="ICZ121" s="2"/>
      <c r="IDA121" s="2"/>
      <c r="IDB121" s="2"/>
      <c r="IDC121" s="2"/>
      <c r="IDD121" s="2"/>
      <c r="IDE121" s="2"/>
      <c r="IDF121" s="2"/>
      <c r="IDG121" s="2"/>
      <c r="IDH121" s="2"/>
      <c r="IDI121" s="2"/>
      <c r="IDJ121" s="2"/>
      <c r="IDK121" s="2"/>
      <c r="IDL121" s="2"/>
      <c r="IDM121" s="2"/>
      <c r="IDN121" s="2"/>
      <c r="IDO121" s="2"/>
      <c r="IDP121" s="2"/>
      <c r="IDQ121" s="2"/>
      <c r="IDR121" s="2"/>
      <c r="IDS121" s="2"/>
      <c r="IDT121" s="2"/>
      <c r="IDU121" s="2"/>
      <c r="IDV121" s="2"/>
      <c r="IDW121" s="2"/>
      <c r="IDX121" s="2"/>
      <c r="IDY121" s="2"/>
      <c r="IDZ121" s="2"/>
      <c r="IEA121" s="2"/>
      <c r="IEB121" s="2"/>
      <c r="IEC121" s="2"/>
      <c r="IED121" s="2"/>
      <c r="IEE121" s="2"/>
      <c r="IEF121" s="2"/>
      <c r="IEG121" s="2"/>
      <c r="IEH121" s="2"/>
      <c r="IEI121" s="2"/>
      <c r="IEJ121" s="2"/>
      <c r="IEK121" s="2"/>
      <c r="IEL121" s="2"/>
      <c r="IEM121" s="2"/>
      <c r="IEN121" s="2"/>
      <c r="IEO121" s="2"/>
      <c r="IEP121" s="2"/>
      <c r="IEQ121" s="2"/>
      <c r="IER121" s="2"/>
      <c r="IES121" s="2"/>
      <c r="IET121" s="2"/>
      <c r="IEU121" s="2"/>
      <c r="IEV121" s="2"/>
      <c r="IEW121" s="2"/>
      <c r="IEX121" s="2"/>
      <c r="IEY121" s="2"/>
      <c r="IEZ121" s="2"/>
      <c r="IFA121" s="2"/>
      <c r="IFB121" s="2"/>
      <c r="IFC121" s="2"/>
      <c r="IFD121" s="2"/>
      <c r="IFE121" s="2"/>
      <c r="IFF121" s="2"/>
      <c r="IFG121" s="2"/>
      <c r="IFH121" s="2"/>
      <c r="IFI121" s="2"/>
      <c r="IFJ121" s="2"/>
      <c r="IFK121" s="2"/>
      <c r="IFL121" s="2"/>
      <c r="IFM121" s="2"/>
      <c r="IFN121" s="2"/>
      <c r="IFO121" s="2"/>
      <c r="IFP121" s="2"/>
      <c r="IFQ121" s="2"/>
      <c r="IFR121" s="2"/>
      <c r="IFS121" s="2"/>
      <c r="IFT121" s="2"/>
      <c r="IFU121" s="2"/>
      <c r="IFV121" s="2"/>
      <c r="IFW121" s="2"/>
      <c r="IFX121" s="2"/>
      <c r="IFY121" s="2"/>
      <c r="IFZ121" s="2"/>
      <c r="IGA121" s="2"/>
      <c r="IGB121" s="2"/>
      <c r="IGC121" s="2"/>
      <c r="IGD121" s="2"/>
      <c r="IGE121" s="2"/>
      <c r="IGF121" s="2"/>
      <c r="IGG121" s="2"/>
      <c r="IGH121" s="2"/>
      <c r="IGI121" s="2"/>
      <c r="IGJ121" s="2"/>
      <c r="IGK121" s="2"/>
      <c r="IGL121" s="2"/>
      <c r="IGM121" s="2"/>
      <c r="IGN121" s="2"/>
      <c r="IGO121" s="2"/>
      <c r="IGP121" s="2"/>
      <c r="IGQ121" s="2"/>
      <c r="IGR121" s="2"/>
      <c r="IGS121" s="2"/>
      <c r="IGT121" s="2"/>
      <c r="IGU121" s="2"/>
      <c r="IGV121" s="2"/>
      <c r="IGW121" s="2"/>
      <c r="IGX121" s="2"/>
      <c r="IGY121" s="2"/>
      <c r="IGZ121" s="2"/>
      <c r="IHA121" s="2"/>
      <c r="IHB121" s="2"/>
      <c r="IHC121" s="2"/>
      <c r="IHD121" s="2"/>
      <c r="IHE121" s="2"/>
      <c r="IHF121" s="2"/>
      <c r="IHG121" s="2"/>
      <c r="IHH121" s="2"/>
      <c r="IHI121" s="2"/>
      <c r="IHJ121" s="2"/>
      <c r="IHK121" s="2"/>
      <c r="IHL121" s="2"/>
      <c r="IHM121" s="2"/>
      <c r="IHN121" s="2"/>
      <c r="IHO121" s="2"/>
      <c r="IHP121" s="2"/>
      <c r="IHQ121" s="2"/>
      <c r="IHR121" s="2"/>
      <c r="IHS121" s="2"/>
      <c r="IHT121" s="2"/>
      <c r="IHU121" s="2"/>
      <c r="IHV121" s="2"/>
      <c r="IHW121" s="2"/>
      <c r="IHX121" s="2"/>
      <c r="IHY121" s="2"/>
      <c r="IHZ121" s="2"/>
      <c r="IIA121" s="2"/>
      <c r="IIB121" s="2"/>
      <c r="IIC121" s="2"/>
      <c r="IID121" s="2"/>
      <c r="IIE121" s="2"/>
      <c r="IIF121" s="2"/>
      <c r="IIG121" s="2"/>
      <c r="IIH121" s="2"/>
      <c r="III121" s="2"/>
      <c r="IIJ121" s="2"/>
      <c r="IIK121" s="2"/>
      <c r="IIL121" s="2"/>
      <c r="IIM121" s="2"/>
      <c r="IIN121" s="2"/>
      <c r="IIO121" s="2"/>
      <c r="IIP121" s="2"/>
      <c r="IIQ121" s="2"/>
      <c r="IIR121" s="2"/>
      <c r="IIS121" s="2"/>
      <c r="IIT121" s="2"/>
      <c r="IIU121" s="2"/>
      <c r="IIV121" s="2"/>
      <c r="IIW121" s="2"/>
      <c r="IIX121" s="2"/>
      <c r="IIY121" s="2"/>
      <c r="IIZ121" s="2"/>
      <c r="IJA121" s="2"/>
      <c r="IJB121" s="2"/>
      <c r="IJC121" s="2"/>
      <c r="IJD121" s="2"/>
      <c r="IJE121" s="2"/>
      <c r="IJF121" s="2"/>
      <c r="IJG121" s="2"/>
      <c r="IJH121" s="2"/>
      <c r="IJI121" s="2"/>
      <c r="IJJ121" s="2"/>
      <c r="IJK121" s="2"/>
      <c r="IJL121" s="2"/>
      <c r="IJM121" s="2"/>
      <c r="IJN121" s="2"/>
      <c r="IJO121" s="2"/>
      <c r="IJP121" s="2"/>
      <c r="IJQ121" s="2"/>
      <c r="IJR121" s="2"/>
      <c r="IJS121" s="2"/>
      <c r="IJT121" s="2"/>
      <c r="IJU121" s="2"/>
      <c r="IJV121" s="2"/>
      <c r="IJW121" s="2"/>
      <c r="IJX121" s="2"/>
      <c r="IJY121" s="2"/>
      <c r="IJZ121" s="2"/>
      <c r="IKA121" s="2"/>
      <c r="IKB121" s="2"/>
      <c r="IKC121" s="2"/>
      <c r="IKD121" s="2"/>
      <c r="IKE121" s="2"/>
      <c r="IKF121" s="2"/>
      <c r="IKG121" s="2"/>
      <c r="IKH121" s="2"/>
      <c r="IKI121" s="2"/>
      <c r="IKJ121" s="2"/>
      <c r="IKK121" s="2"/>
      <c r="IKL121" s="2"/>
      <c r="IKM121" s="2"/>
      <c r="IKN121" s="2"/>
      <c r="IKO121" s="2"/>
      <c r="IKP121" s="2"/>
      <c r="IKQ121" s="2"/>
      <c r="IKR121" s="2"/>
      <c r="IKS121" s="2"/>
      <c r="IKT121" s="2"/>
      <c r="IKU121" s="2"/>
      <c r="IKV121" s="2"/>
      <c r="IKW121" s="2"/>
      <c r="IKX121" s="2"/>
      <c r="IKY121" s="2"/>
      <c r="IKZ121" s="2"/>
      <c r="ILA121" s="2"/>
      <c r="ILB121" s="2"/>
      <c r="ILC121" s="2"/>
      <c r="ILD121" s="2"/>
      <c r="ILE121" s="2"/>
      <c r="ILF121" s="2"/>
      <c r="ILG121" s="2"/>
      <c r="ILH121" s="2"/>
      <c r="ILI121" s="2"/>
      <c r="ILJ121" s="2"/>
      <c r="ILK121" s="2"/>
      <c r="ILL121" s="2"/>
      <c r="ILM121" s="2"/>
      <c r="ILN121" s="2"/>
      <c r="ILO121" s="2"/>
      <c r="ILP121" s="2"/>
      <c r="ILQ121" s="2"/>
      <c r="ILR121" s="2"/>
      <c r="ILS121" s="2"/>
      <c r="ILT121" s="2"/>
      <c r="ILU121" s="2"/>
      <c r="ILV121" s="2"/>
      <c r="ILW121" s="2"/>
      <c r="ILX121" s="2"/>
      <c r="ILY121" s="2"/>
      <c r="ILZ121" s="2"/>
      <c r="IMA121" s="2"/>
      <c r="IMB121" s="2"/>
      <c r="IMC121" s="2"/>
      <c r="IMD121" s="2"/>
      <c r="IME121" s="2"/>
      <c r="IMF121" s="2"/>
      <c r="IMG121" s="2"/>
      <c r="IMH121" s="2"/>
      <c r="IMI121" s="2"/>
      <c r="IMJ121" s="2"/>
      <c r="IMK121" s="2"/>
      <c r="IML121" s="2"/>
      <c r="IMM121" s="2"/>
      <c r="IMN121" s="2"/>
      <c r="IMO121" s="2"/>
      <c r="IMP121" s="2"/>
      <c r="IMQ121" s="2"/>
      <c r="IMR121" s="2"/>
      <c r="IMS121" s="2"/>
      <c r="IMT121" s="2"/>
      <c r="IMU121" s="2"/>
      <c r="IMV121" s="2"/>
      <c r="IMW121" s="2"/>
      <c r="IMX121" s="2"/>
      <c r="IMY121" s="2"/>
      <c r="IMZ121" s="2"/>
      <c r="INA121" s="2"/>
      <c r="INB121" s="2"/>
      <c r="INC121" s="2"/>
      <c r="IND121" s="2"/>
      <c r="INE121" s="2"/>
      <c r="INF121" s="2"/>
      <c r="ING121" s="2"/>
      <c r="INH121" s="2"/>
      <c r="INI121" s="2"/>
      <c r="INJ121" s="2"/>
      <c r="INK121" s="2"/>
      <c r="INL121" s="2"/>
      <c r="INM121" s="2"/>
      <c r="INN121" s="2"/>
      <c r="INO121" s="2"/>
      <c r="INP121" s="2"/>
      <c r="INQ121" s="2"/>
      <c r="INR121" s="2"/>
      <c r="INS121" s="2"/>
      <c r="INT121" s="2"/>
      <c r="INU121" s="2"/>
      <c r="INV121" s="2"/>
      <c r="INW121" s="2"/>
      <c r="INX121" s="2"/>
      <c r="INY121" s="2"/>
      <c r="INZ121" s="2"/>
      <c r="IOA121" s="2"/>
      <c r="IOB121" s="2"/>
      <c r="IOC121" s="2"/>
      <c r="IOD121" s="2"/>
      <c r="IOE121" s="2"/>
      <c r="IOF121" s="2"/>
      <c r="IOG121" s="2"/>
      <c r="IOH121" s="2"/>
      <c r="IOI121" s="2"/>
      <c r="IOJ121" s="2"/>
      <c r="IOK121" s="2"/>
      <c r="IOL121" s="2"/>
      <c r="IOM121" s="2"/>
      <c r="ION121" s="2"/>
      <c r="IOO121" s="2"/>
      <c r="IOP121" s="2"/>
      <c r="IOQ121" s="2"/>
      <c r="IOR121" s="2"/>
      <c r="IOS121" s="2"/>
      <c r="IOT121" s="2"/>
      <c r="IOU121" s="2"/>
      <c r="IOV121" s="2"/>
      <c r="IOW121" s="2"/>
      <c r="IOX121" s="2"/>
      <c r="IOY121" s="2"/>
      <c r="IOZ121" s="2"/>
      <c r="IPA121" s="2"/>
      <c r="IPB121" s="2"/>
      <c r="IPC121" s="2"/>
      <c r="IPD121" s="2"/>
      <c r="IPE121" s="2"/>
      <c r="IPF121" s="2"/>
      <c r="IPG121" s="2"/>
      <c r="IPH121" s="2"/>
      <c r="IPI121" s="2"/>
      <c r="IPJ121" s="2"/>
      <c r="IPK121" s="2"/>
      <c r="IPL121" s="2"/>
      <c r="IPM121" s="2"/>
      <c r="IPN121" s="2"/>
      <c r="IPO121" s="2"/>
      <c r="IPP121" s="2"/>
      <c r="IPQ121" s="2"/>
      <c r="IPR121" s="2"/>
      <c r="IPS121" s="2"/>
      <c r="IPT121" s="2"/>
      <c r="IPU121" s="2"/>
      <c r="IPV121" s="2"/>
      <c r="IPW121" s="2"/>
      <c r="IPX121" s="2"/>
      <c r="IPY121" s="2"/>
      <c r="IPZ121" s="2"/>
      <c r="IQA121" s="2"/>
      <c r="IQB121" s="2"/>
      <c r="IQC121" s="2"/>
      <c r="IQD121" s="2"/>
      <c r="IQE121" s="2"/>
      <c r="IQF121" s="2"/>
      <c r="IQG121" s="2"/>
      <c r="IQH121" s="2"/>
      <c r="IQI121" s="2"/>
      <c r="IQJ121" s="2"/>
      <c r="IQK121" s="2"/>
      <c r="IQL121" s="2"/>
      <c r="IQM121" s="2"/>
      <c r="IQN121" s="2"/>
      <c r="IQO121" s="2"/>
      <c r="IQP121" s="2"/>
      <c r="IQQ121" s="2"/>
      <c r="IQR121" s="2"/>
      <c r="IQS121" s="2"/>
      <c r="IQT121" s="2"/>
      <c r="IQU121" s="2"/>
      <c r="IQV121" s="2"/>
      <c r="IQW121" s="2"/>
      <c r="IQX121" s="2"/>
      <c r="IQY121" s="2"/>
      <c r="IQZ121" s="2"/>
      <c r="IRA121" s="2"/>
      <c r="IRB121" s="2"/>
      <c r="IRC121" s="2"/>
      <c r="IRD121" s="2"/>
      <c r="IRE121" s="2"/>
      <c r="IRF121" s="2"/>
      <c r="IRG121" s="2"/>
      <c r="IRH121" s="2"/>
      <c r="IRI121" s="2"/>
      <c r="IRJ121" s="2"/>
      <c r="IRK121" s="2"/>
      <c r="IRL121" s="2"/>
      <c r="IRM121" s="2"/>
      <c r="IRN121" s="2"/>
      <c r="IRO121" s="2"/>
      <c r="IRP121" s="2"/>
      <c r="IRQ121" s="2"/>
      <c r="IRR121" s="2"/>
      <c r="IRS121" s="2"/>
      <c r="IRT121" s="2"/>
      <c r="IRU121" s="2"/>
      <c r="IRV121" s="2"/>
      <c r="IRW121" s="2"/>
      <c r="IRX121" s="2"/>
      <c r="IRY121" s="2"/>
      <c r="IRZ121" s="2"/>
      <c r="ISA121" s="2"/>
      <c r="ISB121" s="2"/>
      <c r="ISC121" s="2"/>
      <c r="ISD121" s="2"/>
      <c r="ISE121" s="2"/>
      <c r="ISF121" s="2"/>
      <c r="ISG121" s="2"/>
      <c r="ISH121" s="2"/>
      <c r="ISI121" s="2"/>
      <c r="ISJ121" s="2"/>
      <c r="ISK121" s="2"/>
      <c r="ISL121" s="2"/>
      <c r="ISM121" s="2"/>
      <c r="ISN121" s="2"/>
      <c r="ISO121" s="2"/>
      <c r="ISP121" s="2"/>
      <c r="ISQ121" s="2"/>
      <c r="ISR121" s="2"/>
      <c r="ISS121" s="2"/>
      <c r="IST121" s="2"/>
      <c r="ISU121" s="2"/>
      <c r="ISV121" s="2"/>
      <c r="ISW121" s="2"/>
      <c r="ISX121" s="2"/>
      <c r="ISY121" s="2"/>
      <c r="ISZ121" s="2"/>
      <c r="ITA121" s="2"/>
      <c r="ITB121" s="2"/>
      <c r="ITC121" s="2"/>
      <c r="ITD121" s="2"/>
      <c r="ITE121" s="2"/>
      <c r="ITF121" s="2"/>
      <c r="ITG121" s="2"/>
      <c r="ITH121" s="2"/>
      <c r="ITI121" s="2"/>
      <c r="ITJ121" s="2"/>
      <c r="ITK121" s="2"/>
      <c r="ITL121" s="2"/>
      <c r="ITM121" s="2"/>
      <c r="ITN121" s="2"/>
      <c r="ITO121" s="2"/>
      <c r="ITP121" s="2"/>
      <c r="ITQ121" s="2"/>
      <c r="ITR121" s="2"/>
      <c r="ITS121" s="2"/>
      <c r="ITT121" s="2"/>
      <c r="ITU121" s="2"/>
      <c r="ITV121" s="2"/>
      <c r="ITW121" s="2"/>
      <c r="ITX121" s="2"/>
      <c r="ITY121" s="2"/>
      <c r="ITZ121" s="2"/>
      <c r="IUA121" s="2"/>
      <c r="IUB121" s="2"/>
      <c r="IUC121" s="2"/>
      <c r="IUD121" s="2"/>
      <c r="IUE121" s="2"/>
      <c r="IUF121" s="2"/>
      <c r="IUG121" s="2"/>
      <c r="IUH121" s="2"/>
      <c r="IUI121" s="2"/>
      <c r="IUJ121" s="2"/>
      <c r="IUK121" s="2"/>
      <c r="IUL121" s="2"/>
      <c r="IUM121" s="2"/>
      <c r="IUN121" s="2"/>
      <c r="IUO121" s="2"/>
      <c r="IUP121" s="2"/>
      <c r="IUQ121" s="2"/>
      <c r="IUR121" s="2"/>
      <c r="IUS121" s="2"/>
      <c r="IUT121" s="2"/>
      <c r="IUU121" s="2"/>
      <c r="IUV121" s="2"/>
      <c r="IUW121" s="2"/>
      <c r="IUX121" s="2"/>
      <c r="IUY121" s="2"/>
      <c r="IUZ121" s="2"/>
      <c r="IVA121" s="2"/>
      <c r="IVB121" s="2"/>
      <c r="IVC121" s="2"/>
      <c r="IVD121" s="2"/>
      <c r="IVE121" s="2"/>
      <c r="IVF121" s="2"/>
      <c r="IVG121" s="2"/>
      <c r="IVH121" s="2"/>
      <c r="IVI121" s="2"/>
      <c r="IVJ121" s="2"/>
      <c r="IVK121" s="2"/>
      <c r="IVL121" s="2"/>
      <c r="IVM121" s="2"/>
      <c r="IVN121" s="2"/>
      <c r="IVO121" s="2"/>
      <c r="IVP121" s="2"/>
      <c r="IVQ121" s="2"/>
      <c r="IVR121" s="2"/>
      <c r="IVS121" s="2"/>
      <c r="IVT121" s="2"/>
      <c r="IVU121" s="2"/>
      <c r="IVV121" s="2"/>
      <c r="IVW121" s="2"/>
      <c r="IVX121" s="2"/>
      <c r="IVY121" s="2"/>
      <c r="IVZ121" s="2"/>
      <c r="IWA121" s="2"/>
      <c r="IWB121" s="2"/>
      <c r="IWC121" s="2"/>
      <c r="IWD121" s="2"/>
      <c r="IWE121" s="2"/>
      <c r="IWF121" s="2"/>
      <c r="IWG121" s="2"/>
      <c r="IWH121" s="2"/>
      <c r="IWI121" s="2"/>
      <c r="IWJ121" s="2"/>
      <c r="IWK121" s="2"/>
      <c r="IWL121" s="2"/>
      <c r="IWM121" s="2"/>
      <c r="IWN121" s="2"/>
      <c r="IWO121" s="2"/>
      <c r="IWP121" s="2"/>
      <c r="IWQ121" s="2"/>
      <c r="IWR121" s="2"/>
      <c r="IWS121" s="2"/>
      <c r="IWT121" s="2"/>
      <c r="IWU121" s="2"/>
      <c r="IWV121" s="2"/>
      <c r="IWW121" s="2"/>
      <c r="IWX121" s="2"/>
      <c r="IWY121" s="2"/>
      <c r="IWZ121" s="2"/>
      <c r="IXA121" s="2"/>
      <c r="IXB121" s="2"/>
      <c r="IXC121" s="2"/>
      <c r="IXD121" s="2"/>
      <c r="IXE121" s="2"/>
      <c r="IXF121" s="2"/>
      <c r="IXG121" s="2"/>
      <c r="IXH121" s="2"/>
      <c r="IXI121" s="2"/>
      <c r="IXJ121" s="2"/>
      <c r="IXK121" s="2"/>
      <c r="IXL121" s="2"/>
      <c r="IXM121" s="2"/>
      <c r="IXN121" s="2"/>
      <c r="IXO121" s="2"/>
      <c r="IXP121" s="2"/>
      <c r="IXQ121" s="2"/>
      <c r="IXR121" s="2"/>
      <c r="IXS121" s="2"/>
      <c r="IXT121" s="2"/>
      <c r="IXU121" s="2"/>
      <c r="IXV121" s="2"/>
      <c r="IXW121" s="2"/>
      <c r="IXX121" s="2"/>
      <c r="IXY121" s="2"/>
      <c r="IXZ121" s="2"/>
      <c r="IYA121" s="2"/>
      <c r="IYB121" s="2"/>
      <c r="IYC121" s="2"/>
      <c r="IYD121" s="2"/>
      <c r="IYE121" s="2"/>
      <c r="IYF121" s="2"/>
      <c r="IYG121" s="2"/>
      <c r="IYH121" s="2"/>
      <c r="IYI121" s="2"/>
      <c r="IYJ121" s="2"/>
      <c r="IYK121" s="2"/>
      <c r="IYL121" s="2"/>
      <c r="IYM121" s="2"/>
      <c r="IYN121" s="2"/>
      <c r="IYO121" s="2"/>
      <c r="IYP121" s="2"/>
      <c r="IYQ121" s="2"/>
      <c r="IYR121" s="2"/>
      <c r="IYS121" s="2"/>
      <c r="IYT121" s="2"/>
      <c r="IYU121" s="2"/>
      <c r="IYV121" s="2"/>
      <c r="IYW121" s="2"/>
      <c r="IYX121" s="2"/>
      <c r="IYY121" s="2"/>
      <c r="IYZ121" s="2"/>
      <c r="IZA121" s="2"/>
      <c r="IZB121" s="2"/>
      <c r="IZC121" s="2"/>
      <c r="IZD121" s="2"/>
      <c r="IZE121" s="2"/>
      <c r="IZF121" s="2"/>
      <c r="IZG121" s="2"/>
      <c r="IZH121" s="2"/>
      <c r="IZI121" s="2"/>
      <c r="IZJ121" s="2"/>
      <c r="IZK121" s="2"/>
      <c r="IZL121" s="2"/>
      <c r="IZM121" s="2"/>
      <c r="IZN121" s="2"/>
      <c r="IZO121" s="2"/>
      <c r="IZP121" s="2"/>
      <c r="IZQ121" s="2"/>
      <c r="IZR121" s="2"/>
      <c r="IZS121" s="2"/>
      <c r="IZT121" s="2"/>
      <c r="IZU121" s="2"/>
      <c r="IZV121" s="2"/>
      <c r="IZW121" s="2"/>
      <c r="IZX121" s="2"/>
      <c r="IZY121" s="2"/>
      <c r="IZZ121" s="2"/>
      <c r="JAA121" s="2"/>
      <c r="JAB121" s="2"/>
      <c r="JAC121" s="2"/>
      <c r="JAD121" s="2"/>
      <c r="JAE121" s="2"/>
      <c r="JAF121" s="2"/>
      <c r="JAG121" s="2"/>
      <c r="JAH121" s="2"/>
      <c r="JAI121" s="2"/>
      <c r="JAJ121" s="2"/>
      <c r="JAK121" s="2"/>
      <c r="JAL121" s="2"/>
      <c r="JAM121" s="2"/>
      <c r="JAN121" s="2"/>
      <c r="JAO121" s="2"/>
      <c r="JAP121" s="2"/>
      <c r="JAQ121" s="2"/>
      <c r="JAR121" s="2"/>
      <c r="JAS121" s="2"/>
      <c r="JAT121" s="2"/>
      <c r="JAU121" s="2"/>
      <c r="JAV121" s="2"/>
      <c r="JAW121" s="2"/>
      <c r="JAX121" s="2"/>
      <c r="JAY121" s="2"/>
      <c r="JAZ121" s="2"/>
      <c r="JBA121" s="2"/>
      <c r="JBB121" s="2"/>
      <c r="JBC121" s="2"/>
      <c r="JBD121" s="2"/>
      <c r="JBE121" s="2"/>
      <c r="JBF121" s="2"/>
      <c r="JBG121" s="2"/>
      <c r="JBH121" s="2"/>
      <c r="JBI121" s="2"/>
      <c r="JBJ121" s="2"/>
      <c r="JBK121" s="2"/>
      <c r="JBL121" s="2"/>
      <c r="JBM121" s="2"/>
      <c r="JBN121" s="2"/>
      <c r="JBO121" s="2"/>
      <c r="JBP121" s="2"/>
      <c r="JBQ121" s="2"/>
      <c r="JBR121" s="2"/>
      <c r="JBS121" s="2"/>
      <c r="JBT121" s="2"/>
      <c r="JBU121" s="2"/>
      <c r="JBV121" s="2"/>
      <c r="JBW121" s="2"/>
      <c r="JBX121" s="2"/>
      <c r="JBY121" s="2"/>
      <c r="JBZ121" s="2"/>
      <c r="JCA121" s="2"/>
      <c r="JCB121" s="2"/>
      <c r="JCC121" s="2"/>
      <c r="JCD121" s="2"/>
      <c r="JCE121" s="2"/>
      <c r="JCF121" s="2"/>
      <c r="JCG121" s="2"/>
      <c r="JCH121" s="2"/>
      <c r="JCI121" s="2"/>
      <c r="JCJ121" s="2"/>
      <c r="JCK121" s="2"/>
      <c r="JCL121" s="2"/>
      <c r="JCM121" s="2"/>
      <c r="JCN121" s="2"/>
      <c r="JCO121" s="2"/>
      <c r="JCP121" s="2"/>
      <c r="JCQ121" s="2"/>
      <c r="JCR121" s="2"/>
      <c r="JCS121" s="2"/>
      <c r="JCT121" s="2"/>
      <c r="JCU121" s="2"/>
      <c r="JCV121" s="2"/>
      <c r="JCW121" s="2"/>
      <c r="JCX121" s="2"/>
      <c r="JCY121" s="2"/>
      <c r="JCZ121" s="2"/>
      <c r="JDA121" s="2"/>
      <c r="JDB121" s="2"/>
      <c r="JDC121" s="2"/>
      <c r="JDD121" s="2"/>
      <c r="JDE121" s="2"/>
      <c r="JDF121" s="2"/>
      <c r="JDG121" s="2"/>
      <c r="JDH121" s="2"/>
      <c r="JDI121" s="2"/>
      <c r="JDJ121" s="2"/>
      <c r="JDK121" s="2"/>
      <c r="JDL121" s="2"/>
      <c r="JDM121" s="2"/>
      <c r="JDN121" s="2"/>
      <c r="JDO121" s="2"/>
      <c r="JDP121" s="2"/>
      <c r="JDQ121" s="2"/>
      <c r="JDR121" s="2"/>
      <c r="JDS121" s="2"/>
      <c r="JDT121" s="2"/>
      <c r="JDU121" s="2"/>
      <c r="JDV121" s="2"/>
      <c r="JDW121" s="2"/>
      <c r="JDX121" s="2"/>
      <c r="JDY121" s="2"/>
      <c r="JDZ121" s="2"/>
      <c r="JEA121" s="2"/>
      <c r="JEB121" s="2"/>
      <c r="JEC121" s="2"/>
      <c r="JED121" s="2"/>
      <c r="JEE121" s="2"/>
      <c r="JEF121" s="2"/>
      <c r="JEG121" s="2"/>
      <c r="JEH121" s="2"/>
      <c r="JEI121" s="2"/>
      <c r="JEJ121" s="2"/>
      <c r="JEK121" s="2"/>
      <c r="JEL121" s="2"/>
      <c r="JEM121" s="2"/>
      <c r="JEN121" s="2"/>
      <c r="JEO121" s="2"/>
      <c r="JEP121" s="2"/>
      <c r="JEQ121" s="2"/>
      <c r="JER121" s="2"/>
      <c r="JES121" s="2"/>
      <c r="JET121" s="2"/>
      <c r="JEU121" s="2"/>
      <c r="JEV121" s="2"/>
      <c r="JEW121" s="2"/>
      <c r="JEX121" s="2"/>
      <c r="JEY121" s="2"/>
      <c r="JEZ121" s="2"/>
      <c r="JFA121" s="2"/>
      <c r="JFB121" s="2"/>
      <c r="JFC121" s="2"/>
      <c r="JFD121" s="2"/>
      <c r="JFE121" s="2"/>
      <c r="JFF121" s="2"/>
      <c r="JFG121" s="2"/>
      <c r="JFH121" s="2"/>
      <c r="JFI121" s="2"/>
      <c r="JFJ121" s="2"/>
      <c r="JFK121" s="2"/>
      <c r="JFL121" s="2"/>
      <c r="JFM121" s="2"/>
      <c r="JFN121" s="2"/>
      <c r="JFO121" s="2"/>
      <c r="JFP121" s="2"/>
      <c r="JFQ121" s="2"/>
      <c r="JFR121" s="2"/>
      <c r="JFS121" s="2"/>
      <c r="JFT121" s="2"/>
      <c r="JFU121" s="2"/>
      <c r="JFV121" s="2"/>
      <c r="JFW121" s="2"/>
      <c r="JFX121" s="2"/>
      <c r="JFY121" s="2"/>
      <c r="JFZ121" s="2"/>
      <c r="JGA121" s="2"/>
      <c r="JGB121" s="2"/>
      <c r="JGC121" s="2"/>
      <c r="JGD121" s="2"/>
      <c r="JGE121" s="2"/>
      <c r="JGF121" s="2"/>
      <c r="JGG121" s="2"/>
      <c r="JGH121" s="2"/>
      <c r="JGI121" s="2"/>
      <c r="JGJ121" s="2"/>
      <c r="JGK121" s="2"/>
      <c r="JGL121" s="2"/>
      <c r="JGM121" s="2"/>
      <c r="JGN121" s="2"/>
      <c r="JGO121" s="2"/>
      <c r="JGP121" s="2"/>
      <c r="JGQ121" s="2"/>
      <c r="JGR121" s="2"/>
      <c r="JGS121" s="2"/>
      <c r="JGT121" s="2"/>
      <c r="JGU121" s="2"/>
      <c r="JGV121" s="2"/>
      <c r="JGW121" s="2"/>
      <c r="JGX121" s="2"/>
      <c r="JGY121" s="2"/>
      <c r="JGZ121" s="2"/>
      <c r="JHA121" s="2"/>
      <c r="JHB121" s="2"/>
      <c r="JHC121" s="2"/>
      <c r="JHD121" s="2"/>
      <c r="JHE121" s="2"/>
      <c r="JHF121" s="2"/>
      <c r="JHG121" s="2"/>
      <c r="JHH121" s="2"/>
      <c r="JHI121" s="2"/>
      <c r="JHJ121" s="2"/>
      <c r="JHK121" s="2"/>
      <c r="JHL121" s="2"/>
      <c r="JHM121" s="2"/>
      <c r="JHN121" s="2"/>
      <c r="JHO121" s="2"/>
      <c r="JHP121" s="2"/>
      <c r="JHQ121" s="2"/>
      <c r="JHR121" s="2"/>
      <c r="JHS121" s="2"/>
      <c r="JHT121" s="2"/>
      <c r="JHU121" s="2"/>
      <c r="JHV121" s="2"/>
      <c r="JHW121" s="2"/>
      <c r="JHX121" s="2"/>
      <c r="JHY121" s="2"/>
      <c r="JHZ121" s="2"/>
      <c r="JIA121" s="2"/>
      <c r="JIB121" s="2"/>
      <c r="JIC121" s="2"/>
      <c r="JID121" s="2"/>
      <c r="JIE121" s="2"/>
      <c r="JIF121" s="2"/>
      <c r="JIG121" s="2"/>
      <c r="JIH121" s="2"/>
      <c r="JII121" s="2"/>
      <c r="JIJ121" s="2"/>
      <c r="JIK121" s="2"/>
      <c r="JIL121" s="2"/>
      <c r="JIM121" s="2"/>
      <c r="JIN121" s="2"/>
      <c r="JIO121" s="2"/>
      <c r="JIP121" s="2"/>
      <c r="JIQ121" s="2"/>
      <c r="JIR121" s="2"/>
      <c r="JIS121" s="2"/>
      <c r="JIT121" s="2"/>
      <c r="JIU121" s="2"/>
      <c r="JIV121" s="2"/>
      <c r="JIW121" s="2"/>
      <c r="JIX121" s="2"/>
      <c r="JIY121" s="2"/>
      <c r="JIZ121" s="2"/>
      <c r="JJA121" s="2"/>
      <c r="JJB121" s="2"/>
      <c r="JJC121" s="2"/>
      <c r="JJD121" s="2"/>
      <c r="JJE121" s="2"/>
      <c r="JJF121" s="2"/>
      <c r="JJG121" s="2"/>
      <c r="JJH121" s="2"/>
      <c r="JJI121" s="2"/>
      <c r="JJJ121" s="2"/>
      <c r="JJK121" s="2"/>
      <c r="JJL121" s="2"/>
      <c r="JJM121" s="2"/>
      <c r="JJN121" s="2"/>
      <c r="JJO121" s="2"/>
      <c r="JJP121" s="2"/>
      <c r="JJQ121" s="2"/>
      <c r="JJR121" s="2"/>
      <c r="JJS121" s="2"/>
      <c r="JJT121" s="2"/>
      <c r="JJU121" s="2"/>
      <c r="JJV121" s="2"/>
      <c r="JJW121" s="2"/>
      <c r="JJX121" s="2"/>
      <c r="JJY121" s="2"/>
      <c r="JJZ121" s="2"/>
      <c r="JKA121" s="2"/>
      <c r="JKB121" s="2"/>
      <c r="JKC121" s="2"/>
      <c r="JKD121" s="2"/>
      <c r="JKE121" s="2"/>
      <c r="JKF121" s="2"/>
      <c r="JKG121" s="2"/>
      <c r="JKH121" s="2"/>
      <c r="JKI121" s="2"/>
      <c r="JKJ121" s="2"/>
      <c r="JKK121" s="2"/>
      <c r="JKL121" s="2"/>
      <c r="JKM121" s="2"/>
      <c r="JKN121" s="2"/>
      <c r="JKO121" s="2"/>
      <c r="JKP121" s="2"/>
      <c r="JKQ121" s="2"/>
      <c r="JKR121" s="2"/>
      <c r="JKS121" s="2"/>
      <c r="JKT121" s="2"/>
      <c r="JKU121" s="2"/>
      <c r="JKV121" s="2"/>
      <c r="JKW121" s="2"/>
      <c r="JKX121" s="2"/>
      <c r="JKY121" s="2"/>
      <c r="JKZ121" s="2"/>
      <c r="JLA121" s="2"/>
      <c r="JLB121" s="2"/>
      <c r="JLC121" s="2"/>
      <c r="JLD121" s="2"/>
      <c r="JLE121" s="2"/>
      <c r="JLF121" s="2"/>
      <c r="JLG121" s="2"/>
      <c r="JLH121" s="2"/>
      <c r="JLI121" s="2"/>
      <c r="JLJ121" s="2"/>
      <c r="JLK121" s="2"/>
      <c r="JLL121" s="2"/>
      <c r="JLM121" s="2"/>
      <c r="JLN121" s="2"/>
      <c r="JLO121" s="2"/>
      <c r="JLP121" s="2"/>
      <c r="JLQ121" s="2"/>
      <c r="JLR121" s="2"/>
      <c r="JLS121" s="2"/>
      <c r="JLT121" s="2"/>
      <c r="JLU121" s="2"/>
      <c r="JLV121" s="2"/>
      <c r="JLW121" s="2"/>
      <c r="JLX121" s="2"/>
      <c r="JLY121" s="2"/>
      <c r="JLZ121" s="2"/>
      <c r="JMA121" s="2"/>
      <c r="JMB121" s="2"/>
      <c r="JMC121" s="2"/>
      <c r="JMD121" s="2"/>
      <c r="JME121" s="2"/>
      <c r="JMF121" s="2"/>
      <c r="JMG121" s="2"/>
      <c r="JMH121" s="2"/>
      <c r="JMI121" s="2"/>
      <c r="JMJ121" s="2"/>
      <c r="JMK121" s="2"/>
      <c r="JML121" s="2"/>
      <c r="JMM121" s="2"/>
      <c r="JMN121" s="2"/>
      <c r="JMO121" s="2"/>
      <c r="JMP121" s="2"/>
      <c r="JMQ121" s="2"/>
      <c r="JMR121" s="2"/>
      <c r="JMS121" s="2"/>
      <c r="JMT121" s="2"/>
      <c r="JMU121" s="2"/>
      <c r="JMV121" s="2"/>
      <c r="JMW121" s="2"/>
      <c r="JMX121" s="2"/>
      <c r="JMY121" s="2"/>
      <c r="JMZ121" s="2"/>
      <c r="JNA121" s="2"/>
      <c r="JNB121" s="2"/>
      <c r="JNC121" s="2"/>
      <c r="JND121" s="2"/>
      <c r="JNE121" s="2"/>
      <c r="JNF121" s="2"/>
      <c r="JNG121" s="2"/>
      <c r="JNH121" s="2"/>
      <c r="JNI121" s="2"/>
      <c r="JNJ121" s="2"/>
      <c r="JNK121" s="2"/>
      <c r="JNL121" s="2"/>
      <c r="JNM121" s="2"/>
      <c r="JNN121" s="2"/>
      <c r="JNO121" s="2"/>
      <c r="JNP121" s="2"/>
      <c r="JNQ121" s="2"/>
      <c r="JNR121" s="2"/>
      <c r="JNS121" s="2"/>
      <c r="JNT121" s="2"/>
      <c r="JNU121" s="2"/>
      <c r="JNV121" s="2"/>
      <c r="JNW121" s="2"/>
      <c r="JNX121" s="2"/>
      <c r="JNY121" s="2"/>
      <c r="JNZ121" s="2"/>
      <c r="JOA121" s="2"/>
      <c r="JOB121" s="2"/>
      <c r="JOC121" s="2"/>
      <c r="JOD121" s="2"/>
      <c r="JOE121" s="2"/>
      <c r="JOF121" s="2"/>
      <c r="JOG121" s="2"/>
      <c r="JOH121" s="2"/>
      <c r="JOI121" s="2"/>
      <c r="JOJ121" s="2"/>
      <c r="JOK121" s="2"/>
      <c r="JOL121" s="2"/>
      <c r="JOM121" s="2"/>
      <c r="JON121" s="2"/>
      <c r="JOO121" s="2"/>
      <c r="JOP121" s="2"/>
      <c r="JOQ121" s="2"/>
      <c r="JOR121" s="2"/>
      <c r="JOS121" s="2"/>
      <c r="JOT121" s="2"/>
      <c r="JOU121" s="2"/>
      <c r="JOV121" s="2"/>
      <c r="JOW121" s="2"/>
      <c r="JOX121" s="2"/>
      <c r="JOY121" s="2"/>
      <c r="JOZ121" s="2"/>
      <c r="JPA121" s="2"/>
      <c r="JPB121" s="2"/>
      <c r="JPC121" s="2"/>
      <c r="JPD121" s="2"/>
      <c r="JPE121" s="2"/>
      <c r="JPF121" s="2"/>
      <c r="JPG121" s="2"/>
      <c r="JPH121" s="2"/>
      <c r="JPI121" s="2"/>
      <c r="JPJ121" s="2"/>
      <c r="JPK121" s="2"/>
      <c r="JPL121" s="2"/>
      <c r="JPM121" s="2"/>
      <c r="JPN121" s="2"/>
      <c r="JPO121" s="2"/>
      <c r="JPP121" s="2"/>
      <c r="JPQ121" s="2"/>
      <c r="JPR121" s="2"/>
      <c r="JPS121" s="2"/>
      <c r="JPT121" s="2"/>
      <c r="JPU121" s="2"/>
      <c r="JPV121" s="2"/>
      <c r="JPW121" s="2"/>
      <c r="JPX121" s="2"/>
      <c r="JPY121" s="2"/>
      <c r="JPZ121" s="2"/>
      <c r="JQA121" s="2"/>
      <c r="JQB121" s="2"/>
      <c r="JQC121" s="2"/>
      <c r="JQD121" s="2"/>
      <c r="JQE121" s="2"/>
      <c r="JQF121" s="2"/>
      <c r="JQG121" s="2"/>
      <c r="JQH121" s="2"/>
      <c r="JQI121" s="2"/>
      <c r="JQJ121" s="2"/>
      <c r="JQK121" s="2"/>
      <c r="JQL121" s="2"/>
      <c r="JQM121" s="2"/>
      <c r="JQN121" s="2"/>
      <c r="JQO121" s="2"/>
      <c r="JQP121" s="2"/>
      <c r="JQQ121" s="2"/>
      <c r="JQR121" s="2"/>
      <c r="JQS121" s="2"/>
      <c r="JQT121" s="2"/>
      <c r="JQU121" s="2"/>
      <c r="JQV121" s="2"/>
      <c r="JQW121" s="2"/>
      <c r="JQX121" s="2"/>
      <c r="JQY121" s="2"/>
      <c r="JQZ121" s="2"/>
      <c r="JRA121" s="2"/>
      <c r="JRB121" s="2"/>
      <c r="JRC121" s="2"/>
      <c r="JRD121" s="2"/>
      <c r="JRE121" s="2"/>
      <c r="JRF121" s="2"/>
      <c r="JRG121" s="2"/>
      <c r="JRH121" s="2"/>
      <c r="JRI121" s="2"/>
      <c r="JRJ121" s="2"/>
      <c r="JRK121" s="2"/>
      <c r="JRL121" s="2"/>
      <c r="JRM121" s="2"/>
      <c r="JRN121" s="2"/>
      <c r="JRO121" s="2"/>
      <c r="JRP121" s="2"/>
      <c r="JRQ121" s="2"/>
      <c r="JRR121" s="2"/>
      <c r="JRS121" s="2"/>
      <c r="JRT121" s="2"/>
      <c r="JRU121" s="2"/>
      <c r="JRV121" s="2"/>
      <c r="JRW121" s="2"/>
      <c r="JRX121" s="2"/>
      <c r="JRY121" s="2"/>
      <c r="JRZ121" s="2"/>
      <c r="JSA121" s="2"/>
      <c r="JSB121" s="2"/>
      <c r="JSC121" s="2"/>
      <c r="JSD121" s="2"/>
      <c r="JSE121" s="2"/>
      <c r="JSF121" s="2"/>
      <c r="JSG121" s="2"/>
      <c r="JSH121" s="2"/>
      <c r="JSI121" s="2"/>
      <c r="JSJ121" s="2"/>
      <c r="JSK121" s="2"/>
      <c r="JSL121" s="2"/>
      <c r="JSM121" s="2"/>
      <c r="JSN121" s="2"/>
      <c r="JSO121" s="2"/>
      <c r="JSP121" s="2"/>
      <c r="JSQ121" s="2"/>
      <c r="JSR121" s="2"/>
      <c r="JSS121" s="2"/>
      <c r="JST121" s="2"/>
      <c r="JSU121" s="2"/>
      <c r="JSV121" s="2"/>
      <c r="JSW121" s="2"/>
      <c r="JSX121" s="2"/>
      <c r="JSY121" s="2"/>
      <c r="JSZ121" s="2"/>
      <c r="JTA121" s="2"/>
      <c r="JTB121" s="2"/>
      <c r="JTC121" s="2"/>
      <c r="JTD121" s="2"/>
      <c r="JTE121" s="2"/>
      <c r="JTF121" s="2"/>
      <c r="JTG121" s="2"/>
      <c r="JTH121" s="2"/>
      <c r="JTI121" s="2"/>
      <c r="JTJ121" s="2"/>
      <c r="JTK121" s="2"/>
      <c r="JTL121" s="2"/>
      <c r="JTM121" s="2"/>
      <c r="JTN121" s="2"/>
      <c r="JTO121" s="2"/>
      <c r="JTP121" s="2"/>
      <c r="JTQ121" s="2"/>
      <c r="JTR121" s="2"/>
      <c r="JTS121" s="2"/>
      <c r="JTT121" s="2"/>
      <c r="JTU121" s="2"/>
      <c r="JTV121" s="2"/>
      <c r="JTW121" s="2"/>
      <c r="JTX121" s="2"/>
      <c r="JTY121" s="2"/>
      <c r="JTZ121" s="2"/>
      <c r="JUA121" s="2"/>
      <c r="JUB121" s="2"/>
      <c r="JUC121" s="2"/>
      <c r="JUD121" s="2"/>
      <c r="JUE121" s="2"/>
      <c r="JUF121" s="2"/>
      <c r="JUG121" s="2"/>
      <c r="JUH121" s="2"/>
      <c r="JUI121" s="2"/>
      <c r="JUJ121" s="2"/>
      <c r="JUK121" s="2"/>
      <c r="JUL121" s="2"/>
      <c r="JUM121" s="2"/>
      <c r="JUN121" s="2"/>
      <c r="JUO121" s="2"/>
      <c r="JUP121" s="2"/>
      <c r="JUQ121" s="2"/>
      <c r="JUR121" s="2"/>
      <c r="JUS121" s="2"/>
      <c r="JUT121" s="2"/>
      <c r="JUU121" s="2"/>
      <c r="JUV121" s="2"/>
      <c r="JUW121" s="2"/>
      <c r="JUX121" s="2"/>
      <c r="JUY121" s="2"/>
      <c r="JUZ121" s="2"/>
      <c r="JVA121" s="2"/>
      <c r="JVB121" s="2"/>
      <c r="JVC121" s="2"/>
      <c r="JVD121" s="2"/>
      <c r="JVE121" s="2"/>
      <c r="JVF121" s="2"/>
      <c r="JVG121" s="2"/>
      <c r="JVH121" s="2"/>
      <c r="JVI121" s="2"/>
      <c r="JVJ121" s="2"/>
      <c r="JVK121" s="2"/>
      <c r="JVL121" s="2"/>
      <c r="JVM121" s="2"/>
      <c r="JVN121" s="2"/>
      <c r="JVO121" s="2"/>
      <c r="JVP121" s="2"/>
      <c r="JVQ121" s="2"/>
      <c r="JVR121" s="2"/>
      <c r="JVS121" s="2"/>
      <c r="JVT121" s="2"/>
      <c r="JVU121" s="2"/>
      <c r="JVV121" s="2"/>
      <c r="JVW121" s="2"/>
      <c r="JVX121" s="2"/>
      <c r="JVY121" s="2"/>
      <c r="JVZ121" s="2"/>
      <c r="JWA121" s="2"/>
      <c r="JWB121" s="2"/>
      <c r="JWC121" s="2"/>
      <c r="JWD121" s="2"/>
      <c r="JWE121" s="2"/>
      <c r="JWF121" s="2"/>
      <c r="JWG121" s="2"/>
      <c r="JWH121" s="2"/>
      <c r="JWI121" s="2"/>
      <c r="JWJ121" s="2"/>
      <c r="JWK121" s="2"/>
      <c r="JWL121" s="2"/>
      <c r="JWM121" s="2"/>
      <c r="JWN121" s="2"/>
      <c r="JWO121" s="2"/>
      <c r="JWP121" s="2"/>
      <c r="JWQ121" s="2"/>
      <c r="JWR121" s="2"/>
      <c r="JWS121" s="2"/>
      <c r="JWT121" s="2"/>
      <c r="JWU121" s="2"/>
      <c r="JWV121" s="2"/>
      <c r="JWW121" s="2"/>
      <c r="JWX121" s="2"/>
      <c r="JWY121" s="2"/>
      <c r="JWZ121" s="2"/>
      <c r="JXA121" s="2"/>
      <c r="JXB121" s="2"/>
      <c r="JXC121" s="2"/>
      <c r="JXD121" s="2"/>
      <c r="JXE121" s="2"/>
      <c r="JXF121" s="2"/>
      <c r="JXG121" s="2"/>
      <c r="JXH121" s="2"/>
      <c r="JXI121" s="2"/>
      <c r="JXJ121" s="2"/>
      <c r="JXK121" s="2"/>
      <c r="JXL121" s="2"/>
      <c r="JXM121" s="2"/>
      <c r="JXN121" s="2"/>
      <c r="JXO121" s="2"/>
      <c r="JXP121" s="2"/>
      <c r="JXQ121" s="2"/>
      <c r="JXR121" s="2"/>
      <c r="JXS121" s="2"/>
      <c r="JXT121" s="2"/>
      <c r="JXU121" s="2"/>
      <c r="JXV121" s="2"/>
      <c r="JXW121" s="2"/>
      <c r="JXX121" s="2"/>
      <c r="JXY121" s="2"/>
      <c r="JXZ121" s="2"/>
      <c r="JYA121" s="2"/>
      <c r="JYB121" s="2"/>
      <c r="JYC121" s="2"/>
      <c r="JYD121" s="2"/>
      <c r="JYE121" s="2"/>
      <c r="JYF121" s="2"/>
      <c r="JYG121" s="2"/>
      <c r="JYH121" s="2"/>
      <c r="JYI121" s="2"/>
      <c r="JYJ121" s="2"/>
      <c r="JYK121" s="2"/>
      <c r="JYL121" s="2"/>
      <c r="JYM121" s="2"/>
      <c r="JYN121" s="2"/>
      <c r="JYO121" s="2"/>
      <c r="JYP121" s="2"/>
      <c r="JYQ121" s="2"/>
      <c r="JYR121" s="2"/>
      <c r="JYS121" s="2"/>
      <c r="JYT121" s="2"/>
      <c r="JYU121" s="2"/>
      <c r="JYV121" s="2"/>
      <c r="JYW121" s="2"/>
      <c r="JYX121" s="2"/>
      <c r="JYY121" s="2"/>
      <c r="JYZ121" s="2"/>
      <c r="JZA121" s="2"/>
      <c r="JZB121" s="2"/>
      <c r="JZC121" s="2"/>
      <c r="JZD121" s="2"/>
      <c r="JZE121" s="2"/>
      <c r="JZF121" s="2"/>
      <c r="JZG121" s="2"/>
      <c r="JZH121" s="2"/>
      <c r="JZI121" s="2"/>
      <c r="JZJ121" s="2"/>
      <c r="JZK121" s="2"/>
      <c r="JZL121" s="2"/>
      <c r="JZM121" s="2"/>
      <c r="JZN121" s="2"/>
      <c r="JZO121" s="2"/>
      <c r="JZP121" s="2"/>
      <c r="JZQ121" s="2"/>
      <c r="JZR121" s="2"/>
      <c r="JZS121" s="2"/>
      <c r="JZT121" s="2"/>
      <c r="JZU121" s="2"/>
      <c r="JZV121" s="2"/>
      <c r="JZW121" s="2"/>
      <c r="JZX121" s="2"/>
      <c r="JZY121" s="2"/>
      <c r="JZZ121" s="2"/>
      <c r="KAA121" s="2"/>
      <c r="KAB121" s="2"/>
      <c r="KAC121" s="2"/>
      <c r="KAD121" s="2"/>
      <c r="KAE121" s="2"/>
      <c r="KAF121" s="2"/>
      <c r="KAG121" s="2"/>
      <c r="KAH121" s="2"/>
      <c r="KAI121" s="2"/>
      <c r="KAJ121" s="2"/>
      <c r="KAK121" s="2"/>
      <c r="KAL121" s="2"/>
      <c r="KAM121" s="2"/>
      <c r="KAN121" s="2"/>
      <c r="KAO121" s="2"/>
      <c r="KAP121" s="2"/>
      <c r="KAQ121" s="2"/>
      <c r="KAR121" s="2"/>
      <c r="KAS121" s="2"/>
      <c r="KAT121" s="2"/>
      <c r="KAU121" s="2"/>
      <c r="KAV121" s="2"/>
      <c r="KAW121" s="2"/>
      <c r="KAX121" s="2"/>
      <c r="KAY121" s="2"/>
      <c r="KAZ121" s="2"/>
      <c r="KBA121" s="2"/>
      <c r="KBB121" s="2"/>
      <c r="KBC121" s="2"/>
      <c r="KBD121" s="2"/>
      <c r="KBE121" s="2"/>
      <c r="KBF121" s="2"/>
      <c r="KBG121" s="2"/>
      <c r="KBH121" s="2"/>
      <c r="KBI121" s="2"/>
      <c r="KBJ121" s="2"/>
      <c r="KBK121" s="2"/>
      <c r="KBL121" s="2"/>
      <c r="KBM121" s="2"/>
      <c r="KBN121" s="2"/>
      <c r="KBO121" s="2"/>
      <c r="KBP121" s="2"/>
      <c r="KBQ121" s="2"/>
      <c r="KBR121" s="2"/>
      <c r="KBS121" s="2"/>
      <c r="KBT121" s="2"/>
      <c r="KBU121" s="2"/>
      <c r="KBV121" s="2"/>
      <c r="KBW121" s="2"/>
      <c r="KBX121" s="2"/>
      <c r="KBY121" s="2"/>
      <c r="KBZ121" s="2"/>
      <c r="KCA121" s="2"/>
      <c r="KCB121" s="2"/>
      <c r="KCC121" s="2"/>
      <c r="KCD121" s="2"/>
      <c r="KCE121" s="2"/>
      <c r="KCF121" s="2"/>
      <c r="KCG121" s="2"/>
      <c r="KCH121" s="2"/>
      <c r="KCI121" s="2"/>
      <c r="KCJ121" s="2"/>
      <c r="KCK121" s="2"/>
      <c r="KCL121" s="2"/>
      <c r="KCM121" s="2"/>
      <c r="KCN121" s="2"/>
      <c r="KCO121" s="2"/>
      <c r="KCP121" s="2"/>
      <c r="KCQ121" s="2"/>
      <c r="KCR121" s="2"/>
      <c r="KCS121" s="2"/>
      <c r="KCT121" s="2"/>
      <c r="KCU121" s="2"/>
      <c r="KCV121" s="2"/>
      <c r="KCW121" s="2"/>
      <c r="KCX121" s="2"/>
      <c r="KCY121" s="2"/>
      <c r="KCZ121" s="2"/>
      <c r="KDA121" s="2"/>
      <c r="KDB121" s="2"/>
      <c r="KDC121" s="2"/>
      <c r="KDD121" s="2"/>
      <c r="KDE121" s="2"/>
      <c r="KDF121" s="2"/>
      <c r="KDG121" s="2"/>
      <c r="KDH121" s="2"/>
      <c r="KDI121" s="2"/>
      <c r="KDJ121" s="2"/>
      <c r="KDK121" s="2"/>
      <c r="KDL121" s="2"/>
      <c r="KDM121" s="2"/>
      <c r="KDN121" s="2"/>
      <c r="KDO121" s="2"/>
      <c r="KDP121" s="2"/>
      <c r="KDQ121" s="2"/>
      <c r="KDR121" s="2"/>
      <c r="KDS121" s="2"/>
      <c r="KDT121" s="2"/>
      <c r="KDU121" s="2"/>
      <c r="KDV121" s="2"/>
      <c r="KDW121" s="2"/>
      <c r="KDX121" s="2"/>
      <c r="KDY121" s="2"/>
      <c r="KDZ121" s="2"/>
      <c r="KEA121" s="2"/>
      <c r="KEB121" s="2"/>
      <c r="KEC121" s="2"/>
      <c r="KED121" s="2"/>
      <c r="KEE121" s="2"/>
      <c r="KEF121" s="2"/>
      <c r="KEG121" s="2"/>
      <c r="KEH121" s="2"/>
      <c r="KEI121" s="2"/>
      <c r="KEJ121" s="2"/>
      <c r="KEK121" s="2"/>
      <c r="KEL121" s="2"/>
      <c r="KEM121" s="2"/>
      <c r="KEN121" s="2"/>
      <c r="KEO121" s="2"/>
      <c r="KEP121" s="2"/>
      <c r="KEQ121" s="2"/>
      <c r="KER121" s="2"/>
      <c r="KES121" s="2"/>
      <c r="KET121" s="2"/>
      <c r="KEU121" s="2"/>
      <c r="KEV121" s="2"/>
      <c r="KEW121" s="2"/>
      <c r="KEX121" s="2"/>
      <c r="KEY121" s="2"/>
      <c r="KEZ121" s="2"/>
      <c r="KFA121" s="2"/>
      <c r="KFB121" s="2"/>
      <c r="KFC121" s="2"/>
      <c r="KFD121" s="2"/>
      <c r="KFE121" s="2"/>
      <c r="KFF121" s="2"/>
      <c r="KFG121" s="2"/>
      <c r="KFH121" s="2"/>
      <c r="KFI121" s="2"/>
      <c r="KFJ121" s="2"/>
      <c r="KFK121" s="2"/>
      <c r="KFL121" s="2"/>
      <c r="KFM121" s="2"/>
      <c r="KFN121" s="2"/>
      <c r="KFO121" s="2"/>
      <c r="KFP121" s="2"/>
      <c r="KFQ121" s="2"/>
      <c r="KFR121" s="2"/>
      <c r="KFS121" s="2"/>
      <c r="KFT121" s="2"/>
      <c r="KFU121" s="2"/>
      <c r="KFV121" s="2"/>
      <c r="KFW121" s="2"/>
      <c r="KFX121" s="2"/>
      <c r="KFY121" s="2"/>
      <c r="KFZ121" s="2"/>
      <c r="KGA121" s="2"/>
      <c r="KGB121" s="2"/>
      <c r="KGC121" s="2"/>
      <c r="KGD121" s="2"/>
      <c r="KGE121" s="2"/>
      <c r="KGF121" s="2"/>
      <c r="KGG121" s="2"/>
      <c r="KGH121" s="2"/>
      <c r="KGI121" s="2"/>
      <c r="KGJ121" s="2"/>
      <c r="KGK121" s="2"/>
      <c r="KGL121" s="2"/>
      <c r="KGM121" s="2"/>
      <c r="KGN121" s="2"/>
      <c r="KGO121" s="2"/>
      <c r="KGP121" s="2"/>
      <c r="KGQ121" s="2"/>
      <c r="KGR121" s="2"/>
      <c r="KGS121" s="2"/>
      <c r="KGT121" s="2"/>
      <c r="KGU121" s="2"/>
      <c r="KGV121" s="2"/>
      <c r="KGW121" s="2"/>
      <c r="KGX121" s="2"/>
      <c r="KGY121" s="2"/>
      <c r="KGZ121" s="2"/>
      <c r="KHA121" s="2"/>
      <c r="KHB121" s="2"/>
      <c r="KHC121" s="2"/>
      <c r="KHD121" s="2"/>
      <c r="KHE121" s="2"/>
      <c r="KHF121" s="2"/>
      <c r="KHG121" s="2"/>
      <c r="KHH121" s="2"/>
      <c r="KHI121" s="2"/>
      <c r="KHJ121" s="2"/>
      <c r="KHK121" s="2"/>
      <c r="KHL121" s="2"/>
      <c r="KHM121" s="2"/>
      <c r="KHN121" s="2"/>
      <c r="KHO121" s="2"/>
      <c r="KHP121" s="2"/>
      <c r="KHQ121" s="2"/>
      <c r="KHR121" s="2"/>
      <c r="KHS121" s="2"/>
      <c r="KHT121" s="2"/>
      <c r="KHU121" s="2"/>
      <c r="KHV121" s="2"/>
      <c r="KHW121" s="2"/>
      <c r="KHX121" s="2"/>
      <c r="KHY121" s="2"/>
      <c r="KHZ121" s="2"/>
      <c r="KIA121" s="2"/>
      <c r="KIB121" s="2"/>
      <c r="KIC121" s="2"/>
      <c r="KID121" s="2"/>
      <c r="KIE121" s="2"/>
      <c r="KIF121" s="2"/>
      <c r="KIG121" s="2"/>
      <c r="KIH121" s="2"/>
      <c r="KII121" s="2"/>
      <c r="KIJ121" s="2"/>
      <c r="KIK121" s="2"/>
      <c r="KIL121" s="2"/>
      <c r="KIM121" s="2"/>
      <c r="KIN121" s="2"/>
      <c r="KIO121" s="2"/>
      <c r="KIP121" s="2"/>
      <c r="KIQ121" s="2"/>
      <c r="KIR121" s="2"/>
      <c r="KIS121" s="2"/>
      <c r="KIT121" s="2"/>
      <c r="KIU121" s="2"/>
      <c r="KIV121" s="2"/>
      <c r="KIW121" s="2"/>
      <c r="KIX121" s="2"/>
      <c r="KIY121" s="2"/>
      <c r="KIZ121" s="2"/>
      <c r="KJA121" s="2"/>
      <c r="KJB121" s="2"/>
      <c r="KJC121" s="2"/>
      <c r="KJD121" s="2"/>
      <c r="KJE121" s="2"/>
      <c r="KJF121" s="2"/>
      <c r="KJG121" s="2"/>
      <c r="KJH121" s="2"/>
      <c r="KJI121" s="2"/>
      <c r="KJJ121" s="2"/>
      <c r="KJK121" s="2"/>
      <c r="KJL121" s="2"/>
      <c r="KJM121" s="2"/>
      <c r="KJN121" s="2"/>
      <c r="KJO121" s="2"/>
      <c r="KJP121" s="2"/>
      <c r="KJQ121" s="2"/>
      <c r="KJR121" s="2"/>
      <c r="KJS121" s="2"/>
      <c r="KJT121" s="2"/>
      <c r="KJU121" s="2"/>
      <c r="KJV121" s="2"/>
      <c r="KJW121" s="2"/>
      <c r="KJX121" s="2"/>
      <c r="KJY121" s="2"/>
      <c r="KJZ121" s="2"/>
      <c r="KKA121" s="2"/>
      <c r="KKB121" s="2"/>
      <c r="KKC121" s="2"/>
      <c r="KKD121" s="2"/>
      <c r="KKE121" s="2"/>
      <c r="KKF121" s="2"/>
      <c r="KKG121" s="2"/>
      <c r="KKH121" s="2"/>
      <c r="KKI121" s="2"/>
      <c r="KKJ121" s="2"/>
      <c r="KKK121" s="2"/>
      <c r="KKL121" s="2"/>
      <c r="KKM121" s="2"/>
      <c r="KKN121" s="2"/>
      <c r="KKO121" s="2"/>
      <c r="KKP121" s="2"/>
      <c r="KKQ121" s="2"/>
      <c r="KKR121" s="2"/>
      <c r="KKS121" s="2"/>
      <c r="KKT121" s="2"/>
      <c r="KKU121" s="2"/>
      <c r="KKV121" s="2"/>
      <c r="KKW121" s="2"/>
      <c r="KKX121" s="2"/>
      <c r="KKY121" s="2"/>
      <c r="KKZ121" s="2"/>
      <c r="KLA121" s="2"/>
      <c r="KLB121" s="2"/>
      <c r="KLC121" s="2"/>
      <c r="KLD121" s="2"/>
      <c r="KLE121" s="2"/>
      <c r="KLF121" s="2"/>
      <c r="KLG121" s="2"/>
      <c r="KLH121" s="2"/>
      <c r="KLI121" s="2"/>
      <c r="KLJ121" s="2"/>
      <c r="KLK121" s="2"/>
      <c r="KLL121" s="2"/>
      <c r="KLM121" s="2"/>
      <c r="KLN121" s="2"/>
      <c r="KLO121" s="2"/>
      <c r="KLP121" s="2"/>
      <c r="KLQ121" s="2"/>
      <c r="KLR121" s="2"/>
      <c r="KLS121" s="2"/>
      <c r="KLT121" s="2"/>
      <c r="KLU121" s="2"/>
      <c r="KLV121" s="2"/>
      <c r="KLW121" s="2"/>
      <c r="KLX121" s="2"/>
      <c r="KLY121" s="2"/>
      <c r="KLZ121" s="2"/>
      <c r="KMA121" s="2"/>
      <c r="KMB121" s="2"/>
      <c r="KMC121" s="2"/>
      <c r="KMD121" s="2"/>
      <c r="KME121" s="2"/>
      <c r="KMF121" s="2"/>
      <c r="KMG121" s="2"/>
      <c r="KMH121" s="2"/>
      <c r="KMI121" s="2"/>
      <c r="KMJ121" s="2"/>
      <c r="KMK121" s="2"/>
      <c r="KML121" s="2"/>
      <c r="KMM121" s="2"/>
      <c r="KMN121" s="2"/>
      <c r="KMO121" s="2"/>
      <c r="KMP121" s="2"/>
      <c r="KMQ121" s="2"/>
      <c r="KMR121" s="2"/>
      <c r="KMS121" s="2"/>
      <c r="KMT121" s="2"/>
      <c r="KMU121" s="2"/>
      <c r="KMV121" s="2"/>
      <c r="KMW121" s="2"/>
      <c r="KMX121" s="2"/>
      <c r="KMY121" s="2"/>
      <c r="KMZ121" s="2"/>
      <c r="KNA121" s="2"/>
      <c r="KNB121" s="2"/>
      <c r="KNC121" s="2"/>
      <c r="KND121" s="2"/>
      <c r="KNE121" s="2"/>
      <c r="KNF121" s="2"/>
      <c r="KNG121" s="2"/>
      <c r="KNH121" s="2"/>
      <c r="KNI121" s="2"/>
      <c r="KNJ121" s="2"/>
      <c r="KNK121" s="2"/>
      <c r="KNL121" s="2"/>
      <c r="KNM121" s="2"/>
      <c r="KNN121" s="2"/>
      <c r="KNO121" s="2"/>
      <c r="KNP121" s="2"/>
      <c r="KNQ121" s="2"/>
      <c r="KNR121" s="2"/>
      <c r="KNS121" s="2"/>
      <c r="KNT121" s="2"/>
      <c r="KNU121" s="2"/>
      <c r="KNV121" s="2"/>
      <c r="KNW121" s="2"/>
      <c r="KNX121" s="2"/>
      <c r="KNY121" s="2"/>
      <c r="KNZ121" s="2"/>
      <c r="KOA121" s="2"/>
      <c r="KOB121" s="2"/>
      <c r="KOC121" s="2"/>
      <c r="KOD121" s="2"/>
      <c r="KOE121" s="2"/>
      <c r="KOF121" s="2"/>
      <c r="KOG121" s="2"/>
      <c r="KOH121" s="2"/>
      <c r="KOI121" s="2"/>
      <c r="KOJ121" s="2"/>
      <c r="KOK121" s="2"/>
      <c r="KOL121" s="2"/>
      <c r="KOM121" s="2"/>
      <c r="KON121" s="2"/>
      <c r="KOO121" s="2"/>
      <c r="KOP121" s="2"/>
      <c r="KOQ121" s="2"/>
      <c r="KOR121" s="2"/>
      <c r="KOS121" s="2"/>
      <c r="KOT121" s="2"/>
      <c r="KOU121" s="2"/>
      <c r="KOV121" s="2"/>
      <c r="KOW121" s="2"/>
      <c r="KOX121" s="2"/>
      <c r="KOY121" s="2"/>
      <c r="KOZ121" s="2"/>
      <c r="KPA121" s="2"/>
      <c r="KPB121" s="2"/>
      <c r="KPC121" s="2"/>
      <c r="KPD121" s="2"/>
      <c r="KPE121" s="2"/>
      <c r="KPF121" s="2"/>
      <c r="KPG121" s="2"/>
      <c r="KPH121" s="2"/>
      <c r="KPI121" s="2"/>
      <c r="KPJ121" s="2"/>
      <c r="KPK121" s="2"/>
      <c r="KPL121" s="2"/>
      <c r="KPM121" s="2"/>
      <c r="KPN121" s="2"/>
      <c r="KPO121" s="2"/>
      <c r="KPP121" s="2"/>
      <c r="KPQ121" s="2"/>
      <c r="KPR121" s="2"/>
      <c r="KPS121" s="2"/>
      <c r="KPT121" s="2"/>
      <c r="KPU121" s="2"/>
      <c r="KPV121" s="2"/>
      <c r="KPW121" s="2"/>
      <c r="KPX121" s="2"/>
      <c r="KPY121" s="2"/>
      <c r="KPZ121" s="2"/>
      <c r="KQA121" s="2"/>
      <c r="KQB121" s="2"/>
      <c r="KQC121" s="2"/>
      <c r="KQD121" s="2"/>
      <c r="KQE121" s="2"/>
      <c r="KQF121" s="2"/>
      <c r="KQG121" s="2"/>
      <c r="KQH121" s="2"/>
      <c r="KQI121" s="2"/>
      <c r="KQJ121" s="2"/>
      <c r="KQK121" s="2"/>
      <c r="KQL121" s="2"/>
      <c r="KQM121" s="2"/>
      <c r="KQN121" s="2"/>
      <c r="KQO121" s="2"/>
      <c r="KQP121" s="2"/>
      <c r="KQQ121" s="2"/>
      <c r="KQR121" s="2"/>
      <c r="KQS121" s="2"/>
      <c r="KQT121" s="2"/>
      <c r="KQU121" s="2"/>
      <c r="KQV121" s="2"/>
      <c r="KQW121" s="2"/>
      <c r="KQX121" s="2"/>
      <c r="KQY121" s="2"/>
      <c r="KQZ121" s="2"/>
      <c r="KRA121" s="2"/>
      <c r="KRB121" s="2"/>
      <c r="KRC121" s="2"/>
      <c r="KRD121" s="2"/>
      <c r="KRE121" s="2"/>
      <c r="KRF121" s="2"/>
      <c r="KRG121" s="2"/>
      <c r="KRH121" s="2"/>
      <c r="KRI121" s="2"/>
      <c r="KRJ121" s="2"/>
      <c r="KRK121" s="2"/>
      <c r="KRL121" s="2"/>
      <c r="KRM121" s="2"/>
      <c r="KRN121" s="2"/>
      <c r="KRO121" s="2"/>
      <c r="KRP121" s="2"/>
      <c r="KRQ121" s="2"/>
      <c r="KRR121" s="2"/>
      <c r="KRS121" s="2"/>
      <c r="KRT121" s="2"/>
      <c r="KRU121" s="2"/>
      <c r="KRV121" s="2"/>
      <c r="KRW121" s="2"/>
      <c r="KRX121" s="2"/>
      <c r="KRY121" s="2"/>
      <c r="KRZ121" s="2"/>
      <c r="KSA121" s="2"/>
      <c r="KSB121" s="2"/>
      <c r="KSC121" s="2"/>
      <c r="KSD121" s="2"/>
      <c r="KSE121" s="2"/>
      <c r="KSF121" s="2"/>
      <c r="KSG121" s="2"/>
      <c r="KSH121" s="2"/>
      <c r="KSI121" s="2"/>
      <c r="KSJ121" s="2"/>
      <c r="KSK121" s="2"/>
      <c r="KSL121" s="2"/>
      <c r="KSM121" s="2"/>
      <c r="KSN121" s="2"/>
      <c r="KSO121" s="2"/>
      <c r="KSP121" s="2"/>
      <c r="KSQ121" s="2"/>
      <c r="KSR121" s="2"/>
      <c r="KSS121" s="2"/>
      <c r="KST121" s="2"/>
      <c r="KSU121" s="2"/>
      <c r="KSV121" s="2"/>
      <c r="KSW121" s="2"/>
      <c r="KSX121" s="2"/>
      <c r="KSY121" s="2"/>
      <c r="KSZ121" s="2"/>
      <c r="KTA121" s="2"/>
      <c r="KTB121" s="2"/>
      <c r="KTC121" s="2"/>
      <c r="KTD121" s="2"/>
      <c r="KTE121" s="2"/>
      <c r="KTF121" s="2"/>
      <c r="KTG121" s="2"/>
      <c r="KTH121" s="2"/>
      <c r="KTI121" s="2"/>
      <c r="KTJ121" s="2"/>
      <c r="KTK121" s="2"/>
      <c r="KTL121" s="2"/>
      <c r="KTM121" s="2"/>
      <c r="KTN121" s="2"/>
      <c r="KTO121" s="2"/>
      <c r="KTP121" s="2"/>
      <c r="KTQ121" s="2"/>
      <c r="KTR121" s="2"/>
      <c r="KTS121" s="2"/>
      <c r="KTT121" s="2"/>
      <c r="KTU121" s="2"/>
      <c r="KTV121" s="2"/>
      <c r="KTW121" s="2"/>
      <c r="KTX121" s="2"/>
      <c r="KTY121" s="2"/>
      <c r="KTZ121" s="2"/>
      <c r="KUA121" s="2"/>
      <c r="KUB121" s="2"/>
      <c r="KUC121" s="2"/>
      <c r="KUD121" s="2"/>
      <c r="KUE121" s="2"/>
      <c r="KUF121" s="2"/>
      <c r="KUG121" s="2"/>
      <c r="KUH121" s="2"/>
      <c r="KUI121" s="2"/>
      <c r="KUJ121" s="2"/>
      <c r="KUK121" s="2"/>
      <c r="KUL121" s="2"/>
      <c r="KUM121" s="2"/>
      <c r="KUN121" s="2"/>
      <c r="KUO121" s="2"/>
      <c r="KUP121" s="2"/>
      <c r="KUQ121" s="2"/>
      <c r="KUR121" s="2"/>
      <c r="KUS121" s="2"/>
      <c r="KUT121" s="2"/>
      <c r="KUU121" s="2"/>
      <c r="KUV121" s="2"/>
      <c r="KUW121" s="2"/>
      <c r="KUX121" s="2"/>
      <c r="KUY121" s="2"/>
      <c r="KUZ121" s="2"/>
      <c r="KVA121" s="2"/>
      <c r="KVB121" s="2"/>
      <c r="KVC121" s="2"/>
      <c r="KVD121" s="2"/>
      <c r="KVE121" s="2"/>
      <c r="KVF121" s="2"/>
      <c r="KVG121" s="2"/>
      <c r="KVH121" s="2"/>
      <c r="KVI121" s="2"/>
      <c r="KVJ121" s="2"/>
      <c r="KVK121" s="2"/>
      <c r="KVL121" s="2"/>
      <c r="KVM121" s="2"/>
      <c r="KVN121" s="2"/>
      <c r="KVO121" s="2"/>
      <c r="KVP121" s="2"/>
      <c r="KVQ121" s="2"/>
      <c r="KVR121" s="2"/>
      <c r="KVS121" s="2"/>
      <c r="KVT121" s="2"/>
      <c r="KVU121" s="2"/>
      <c r="KVV121" s="2"/>
      <c r="KVW121" s="2"/>
      <c r="KVX121" s="2"/>
      <c r="KVY121" s="2"/>
      <c r="KVZ121" s="2"/>
      <c r="KWA121" s="2"/>
      <c r="KWB121" s="2"/>
      <c r="KWC121" s="2"/>
      <c r="KWD121" s="2"/>
      <c r="KWE121" s="2"/>
      <c r="KWF121" s="2"/>
      <c r="KWG121" s="2"/>
      <c r="KWH121" s="2"/>
      <c r="KWI121" s="2"/>
      <c r="KWJ121" s="2"/>
      <c r="KWK121" s="2"/>
      <c r="KWL121" s="2"/>
      <c r="KWM121" s="2"/>
      <c r="KWN121" s="2"/>
      <c r="KWO121" s="2"/>
      <c r="KWP121" s="2"/>
      <c r="KWQ121" s="2"/>
      <c r="KWR121" s="2"/>
      <c r="KWS121" s="2"/>
      <c r="KWT121" s="2"/>
      <c r="KWU121" s="2"/>
      <c r="KWV121" s="2"/>
      <c r="KWW121" s="2"/>
      <c r="KWX121" s="2"/>
      <c r="KWY121" s="2"/>
      <c r="KWZ121" s="2"/>
      <c r="KXA121" s="2"/>
      <c r="KXB121" s="2"/>
      <c r="KXC121" s="2"/>
      <c r="KXD121" s="2"/>
      <c r="KXE121" s="2"/>
      <c r="KXF121" s="2"/>
      <c r="KXG121" s="2"/>
      <c r="KXH121" s="2"/>
      <c r="KXI121" s="2"/>
      <c r="KXJ121" s="2"/>
      <c r="KXK121" s="2"/>
      <c r="KXL121" s="2"/>
      <c r="KXM121" s="2"/>
      <c r="KXN121" s="2"/>
      <c r="KXO121" s="2"/>
      <c r="KXP121" s="2"/>
      <c r="KXQ121" s="2"/>
      <c r="KXR121" s="2"/>
      <c r="KXS121" s="2"/>
      <c r="KXT121" s="2"/>
      <c r="KXU121" s="2"/>
      <c r="KXV121" s="2"/>
      <c r="KXW121" s="2"/>
      <c r="KXX121" s="2"/>
      <c r="KXY121" s="2"/>
      <c r="KXZ121" s="2"/>
      <c r="KYA121" s="2"/>
      <c r="KYB121" s="2"/>
      <c r="KYC121" s="2"/>
      <c r="KYD121" s="2"/>
      <c r="KYE121" s="2"/>
      <c r="KYF121" s="2"/>
      <c r="KYG121" s="2"/>
      <c r="KYH121" s="2"/>
      <c r="KYI121" s="2"/>
      <c r="KYJ121" s="2"/>
      <c r="KYK121" s="2"/>
      <c r="KYL121" s="2"/>
      <c r="KYM121" s="2"/>
      <c r="KYN121" s="2"/>
      <c r="KYO121" s="2"/>
      <c r="KYP121" s="2"/>
      <c r="KYQ121" s="2"/>
      <c r="KYR121" s="2"/>
      <c r="KYS121" s="2"/>
      <c r="KYT121" s="2"/>
      <c r="KYU121" s="2"/>
      <c r="KYV121" s="2"/>
      <c r="KYW121" s="2"/>
      <c r="KYX121" s="2"/>
      <c r="KYY121" s="2"/>
      <c r="KYZ121" s="2"/>
      <c r="KZA121" s="2"/>
      <c r="KZB121" s="2"/>
      <c r="KZC121" s="2"/>
      <c r="KZD121" s="2"/>
      <c r="KZE121" s="2"/>
      <c r="KZF121" s="2"/>
      <c r="KZG121" s="2"/>
      <c r="KZH121" s="2"/>
      <c r="KZI121" s="2"/>
      <c r="KZJ121" s="2"/>
      <c r="KZK121" s="2"/>
      <c r="KZL121" s="2"/>
      <c r="KZM121" s="2"/>
      <c r="KZN121" s="2"/>
      <c r="KZO121" s="2"/>
      <c r="KZP121" s="2"/>
      <c r="KZQ121" s="2"/>
      <c r="KZR121" s="2"/>
      <c r="KZS121" s="2"/>
      <c r="KZT121" s="2"/>
      <c r="KZU121" s="2"/>
      <c r="KZV121" s="2"/>
      <c r="KZW121" s="2"/>
      <c r="KZX121" s="2"/>
      <c r="KZY121" s="2"/>
      <c r="KZZ121" s="2"/>
      <c r="LAA121" s="2"/>
      <c r="LAB121" s="2"/>
      <c r="LAC121" s="2"/>
      <c r="LAD121" s="2"/>
      <c r="LAE121" s="2"/>
      <c r="LAF121" s="2"/>
      <c r="LAG121" s="2"/>
      <c r="LAH121" s="2"/>
      <c r="LAI121" s="2"/>
      <c r="LAJ121" s="2"/>
      <c r="LAK121" s="2"/>
      <c r="LAL121" s="2"/>
      <c r="LAM121" s="2"/>
      <c r="LAN121" s="2"/>
      <c r="LAO121" s="2"/>
      <c r="LAP121" s="2"/>
      <c r="LAQ121" s="2"/>
      <c r="LAR121" s="2"/>
      <c r="LAS121" s="2"/>
      <c r="LAT121" s="2"/>
      <c r="LAU121" s="2"/>
      <c r="LAV121" s="2"/>
      <c r="LAW121" s="2"/>
      <c r="LAX121" s="2"/>
      <c r="LAY121" s="2"/>
      <c r="LAZ121" s="2"/>
      <c r="LBA121" s="2"/>
      <c r="LBB121" s="2"/>
      <c r="LBC121" s="2"/>
      <c r="LBD121" s="2"/>
      <c r="LBE121" s="2"/>
      <c r="LBF121" s="2"/>
      <c r="LBG121" s="2"/>
      <c r="LBH121" s="2"/>
      <c r="LBI121" s="2"/>
      <c r="LBJ121" s="2"/>
      <c r="LBK121" s="2"/>
      <c r="LBL121" s="2"/>
      <c r="LBM121" s="2"/>
      <c r="LBN121" s="2"/>
      <c r="LBO121" s="2"/>
      <c r="LBP121" s="2"/>
      <c r="LBQ121" s="2"/>
      <c r="LBR121" s="2"/>
      <c r="LBS121" s="2"/>
      <c r="LBT121" s="2"/>
      <c r="LBU121" s="2"/>
      <c r="LBV121" s="2"/>
      <c r="LBW121" s="2"/>
      <c r="LBX121" s="2"/>
      <c r="LBY121" s="2"/>
      <c r="LBZ121" s="2"/>
      <c r="LCA121" s="2"/>
      <c r="LCB121" s="2"/>
      <c r="LCC121" s="2"/>
      <c r="LCD121" s="2"/>
      <c r="LCE121" s="2"/>
      <c r="LCF121" s="2"/>
      <c r="LCG121" s="2"/>
      <c r="LCH121" s="2"/>
      <c r="LCI121" s="2"/>
      <c r="LCJ121" s="2"/>
      <c r="LCK121" s="2"/>
      <c r="LCL121" s="2"/>
      <c r="LCM121" s="2"/>
      <c r="LCN121" s="2"/>
      <c r="LCO121" s="2"/>
      <c r="LCP121" s="2"/>
      <c r="LCQ121" s="2"/>
      <c r="LCR121" s="2"/>
      <c r="LCS121" s="2"/>
      <c r="LCT121" s="2"/>
      <c r="LCU121" s="2"/>
      <c r="LCV121" s="2"/>
      <c r="LCW121" s="2"/>
      <c r="LCX121" s="2"/>
      <c r="LCY121" s="2"/>
      <c r="LCZ121" s="2"/>
      <c r="LDA121" s="2"/>
      <c r="LDB121" s="2"/>
      <c r="LDC121" s="2"/>
      <c r="LDD121" s="2"/>
      <c r="LDE121" s="2"/>
      <c r="LDF121" s="2"/>
      <c r="LDG121" s="2"/>
      <c r="LDH121" s="2"/>
      <c r="LDI121" s="2"/>
      <c r="LDJ121" s="2"/>
      <c r="LDK121" s="2"/>
      <c r="LDL121" s="2"/>
      <c r="LDM121" s="2"/>
      <c r="LDN121" s="2"/>
      <c r="LDO121" s="2"/>
      <c r="LDP121" s="2"/>
      <c r="LDQ121" s="2"/>
      <c r="LDR121" s="2"/>
      <c r="LDS121" s="2"/>
      <c r="LDT121" s="2"/>
      <c r="LDU121" s="2"/>
      <c r="LDV121" s="2"/>
      <c r="LDW121" s="2"/>
      <c r="LDX121" s="2"/>
      <c r="LDY121" s="2"/>
      <c r="LDZ121" s="2"/>
      <c r="LEA121" s="2"/>
      <c r="LEB121" s="2"/>
      <c r="LEC121" s="2"/>
      <c r="LED121" s="2"/>
      <c r="LEE121" s="2"/>
      <c r="LEF121" s="2"/>
      <c r="LEG121" s="2"/>
      <c r="LEH121" s="2"/>
      <c r="LEI121" s="2"/>
      <c r="LEJ121" s="2"/>
      <c r="LEK121" s="2"/>
      <c r="LEL121" s="2"/>
      <c r="LEM121" s="2"/>
      <c r="LEN121" s="2"/>
      <c r="LEO121" s="2"/>
      <c r="LEP121" s="2"/>
      <c r="LEQ121" s="2"/>
      <c r="LER121" s="2"/>
      <c r="LES121" s="2"/>
      <c r="LET121" s="2"/>
      <c r="LEU121" s="2"/>
      <c r="LEV121" s="2"/>
      <c r="LEW121" s="2"/>
      <c r="LEX121" s="2"/>
      <c r="LEY121" s="2"/>
      <c r="LEZ121" s="2"/>
      <c r="LFA121" s="2"/>
      <c r="LFB121" s="2"/>
      <c r="LFC121" s="2"/>
      <c r="LFD121" s="2"/>
      <c r="LFE121" s="2"/>
      <c r="LFF121" s="2"/>
      <c r="LFG121" s="2"/>
      <c r="LFH121" s="2"/>
      <c r="LFI121" s="2"/>
      <c r="LFJ121" s="2"/>
      <c r="LFK121" s="2"/>
      <c r="LFL121" s="2"/>
      <c r="LFM121" s="2"/>
      <c r="LFN121" s="2"/>
      <c r="LFO121" s="2"/>
      <c r="LFP121" s="2"/>
      <c r="LFQ121" s="2"/>
      <c r="LFR121" s="2"/>
      <c r="LFS121" s="2"/>
      <c r="LFT121" s="2"/>
      <c r="LFU121" s="2"/>
      <c r="LFV121" s="2"/>
      <c r="LFW121" s="2"/>
      <c r="LFX121" s="2"/>
      <c r="LFY121" s="2"/>
      <c r="LFZ121" s="2"/>
      <c r="LGA121" s="2"/>
      <c r="LGB121" s="2"/>
      <c r="LGC121" s="2"/>
      <c r="LGD121" s="2"/>
      <c r="LGE121" s="2"/>
      <c r="LGF121" s="2"/>
      <c r="LGG121" s="2"/>
      <c r="LGH121" s="2"/>
      <c r="LGI121" s="2"/>
      <c r="LGJ121" s="2"/>
      <c r="LGK121" s="2"/>
      <c r="LGL121" s="2"/>
      <c r="LGM121" s="2"/>
      <c r="LGN121" s="2"/>
      <c r="LGO121" s="2"/>
      <c r="LGP121" s="2"/>
      <c r="LGQ121" s="2"/>
      <c r="LGR121" s="2"/>
      <c r="LGS121" s="2"/>
      <c r="LGT121" s="2"/>
      <c r="LGU121" s="2"/>
      <c r="LGV121" s="2"/>
      <c r="LGW121" s="2"/>
      <c r="LGX121" s="2"/>
      <c r="LGY121" s="2"/>
      <c r="LGZ121" s="2"/>
      <c r="LHA121" s="2"/>
      <c r="LHB121" s="2"/>
      <c r="LHC121" s="2"/>
      <c r="LHD121" s="2"/>
      <c r="LHE121" s="2"/>
      <c r="LHF121" s="2"/>
      <c r="LHG121" s="2"/>
      <c r="LHH121" s="2"/>
      <c r="LHI121" s="2"/>
      <c r="LHJ121" s="2"/>
      <c r="LHK121" s="2"/>
      <c r="LHL121" s="2"/>
      <c r="LHM121" s="2"/>
      <c r="LHN121" s="2"/>
      <c r="LHO121" s="2"/>
      <c r="LHP121" s="2"/>
      <c r="LHQ121" s="2"/>
      <c r="LHR121" s="2"/>
      <c r="LHS121" s="2"/>
      <c r="LHT121" s="2"/>
      <c r="LHU121" s="2"/>
      <c r="LHV121" s="2"/>
      <c r="LHW121" s="2"/>
      <c r="LHX121" s="2"/>
      <c r="LHY121" s="2"/>
      <c r="LHZ121" s="2"/>
      <c r="LIA121" s="2"/>
      <c r="LIB121" s="2"/>
      <c r="LIC121" s="2"/>
      <c r="LID121" s="2"/>
      <c r="LIE121" s="2"/>
      <c r="LIF121" s="2"/>
      <c r="LIG121" s="2"/>
      <c r="LIH121" s="2"/>
      <c r="LII121" s="2"/>
      <c r="LIJ121" s="2"/>
      <c r="LIK121" s="2"/>
      <c r="LIL121" s="2"/>
      <c r="LIM121" s="2"/>
      <c r="LIN121" s="2"/>
      <c r="LIO121" s="2"/>
      <c r="LIP121" s="2"/>
      <c r="LIQ121" s="2"/>
      <c r="LIR121" s="2"/>
      <c r="LIS121" s="2"/>
      <c r="LIT121" s="2"/>
      <c r="LIU121" s="2"/>
      <c r="LIV121" s="2"/>
      <c r="LIW121" s="2"/>
      <c r="LIX121" s="2"/>
      <c r="LIY121" s="2"/>
      <c r="LIZ121" s="2"/>
      <c r="LJA121" s="2"/>
      <c r="LJB121" s="2"/>
      <c r="LJC121" s="2"/>
      <c r="LJD121" s="2"/>
      <c r="LJE121" s="2"/>
      <c r="LJF121" s="2"/>
      <c r="LJG121" s="2"/>
      <c r="LJH121" s="2"/>
      <c r="LJI121" s="2"/>
      <c r="LJJ121" s="2"/>
      <c r="LJK121" s="2"/>
      <c r="LJL121" s="2"/>
      <c r="LJM121" s="2"/>
      <c r="LJN121" s="2"/>
      <c r="LJO121" s="2"/>
      <c r="LJP121" s="2"/>
      <c r="LJQ121" s="2"/>
      <c r="LJR121" s="2"/>
      <c r="LJS121" s="2"/>
      <c r="LJT121" s="2"/>
      <c r="LJU121" s="2"/>
      <c r="LJV121" s="2"/>
      <c r="LJW121" s="2"/>
      <c r="LJX121" s="2"/>
      <c r="LJY121" s="2"/>
      <c r="LJZ121" s="2"/>
      <c r="LKA121" s="2"/>
      <c r="LKB121" s="2"/>
      <c r="LKC121" s="2"/>
      <c r="LKD121" s="2"/>
      <c r="LKE121" s="2"/>
      <c r="LKF121" s="2"/>
      <c r="LKG121" s="2"/>
      <c r="LKH121" s="2"/>
      <c r="LKI121" s="2"/>
      <c r="LKJ121" s="2"/>
      <c r="LKK121" s="2"/>
      <c r="LKL121" s="2"/>
      <c r="LKM121" s="2"/>
      <c r="LKN121" s="2"/>
      <c r="LKO121" s="2"/>
      <c r="LKP121" s="2"/>
      <c r="LKQ121" s="2"/>
      <c r="LKR121" s="2"/>
      <c r="LKS121" s="2"/>
      <c r="LKT121" s="2"/>
      <c r="LKU121" s="2"/>
      <c r="LKV121" s="2"/>
      <c r="LKW121" s="2"/>
      <c r="LKX121" s="2"/>
      <c r="LKY121" s="2"/>
      <c r="LKZ121" s="2"/>
      <c r="LLA121" s="2"/>
      <c r="LLB121" s="2"/>
      <c r="LLC121" s="2"/>
      <c r="LLD121" s="2"/>
      <c r="LLE121" s="2"/>
      <c r="LLF121" s="2"/>
      <c r="LLG121" s="2"/>
      <c r="LLH121" s="2"/>
      <c r="LLI121" s="2"/>
      <c r="LLJ121" s="2"/>
      <c r="LLK121" s="2"/>
      <c r="LLL121" s="2"/>
      <c r="LLM121" s="2"/>
      <c r="LLN121" s="2"/>
      <c r="LLO121" s="2"/>
      <c r="LLP121" s="2"/>
      <c r="LLQ121" s="2"/>
      <c r="LLR121" s="2"/>
      <c r="LLS121" s="2"/>
      <c r="LLT121" s="2"/>
      <c r="LLU121" s="2"/>
      <c r="LLV121" s="2"/>
      <c r="LLW121" s="2"/>
      <c r="LLX121" s="2"/>
      <c r="LLY121" s="2"/>
      <c r="LLZ121" s="2"/>
      <c r="LMA121" s="2"/>
      <c r="LMB121" s="2"/>
      <c r="LMC121" s="2"/>
      <c r="LMD121" s="2"/>
      <c r="LME121" s="2"/>
      <c r="LMF121" s="2"/>
      <c r="LMG121" s="2"/>
      <c r="LMH121" s="2"/>
      <c r="LMI121" s="2"/>
      <c r="LMJ121" s="2"/>
      <c r="LMK121" s="2"/>
      <c r="LML121" s="2"/>
      <c r="LMM121" s="2"/>
      <c r="LMN121" s="2"/>
      <c r="LMO121" s="2"/>
      <c r="LMP121" s="2"/>
      <c r="LMQ121" s="2"/>
      <c r="LMR121" s="2"/>
      <c r="LMS121" s="2"/>
      <c r="LMT121" s="2"/>
      <c r="LMU121" s="2"/>
      <c r="LMV121" s="2"/>
      <c r="LMW121" s="2"/>
      <c r="LMX121" s="2"/>
      <c r="LMY121" s="2"/>
      <c r="LMZ121" s="2"/>
      <c r="LNA121" s="2"/>
      <c r="LNB121" s="2"/>
      <c r="LNC121" s="2"/>
      <c r="LND121" s="2"/>
      <c r="LNE121" s="2"/>
      <c r="LNF121" s="2"/>
      <c r="LNG121" s="2"/>
      <c r="LNH121" s="2"/>
      <c r="LNI121" s="2"/>
      <c r="LNJ121" s="2"/>
      <c r="LNK121" s="2"/>
      <c r="LNL121" s="2"/>
      <c r="LNM121" s="2"/>
      <c r="LNN121" s="2"/>
      <c r="LNO121" s="2"/>
      <c r="LNP121" s="2"/>
      <c r="LNQ121" s="2"/>
      <c r="LNR121" s="2"/>
      <c r="LNS121" s="2"/>
      <c r="LNT121" s="2"/>
      <c r="LNU121" s="2"/>
      <c r="LNV121" s="2"/>
      <c r="LNW121" s="2"/>
      <c r="LNX121" s="2"/>
      <c r="LNY121" s="2"/>
      <c r="LNZ121" s="2"/>
      <c r="LOA121" s="2"/>
      <c r="LOB121" s="2"/>
      <c r="LOC121" s="2"/>
      <c r="LOD121" s="2"/>
      <c r="LOE121" s="2"/>
      <c r="LOF121" s="2"/>
      <c r="LOG121" s="2"/>
      <c r="LOH121" s="2"/>
      <c r="LOI121" s="2"/>
      <c r="LOJ121" s="2"/>
      <c r="LOK121" s="2"/>
      <c r="LOL121" s="2"/>
      <c r="LOM121" s="2"/>
      <c r="LON121" s="2"/>
      <c r="LOO121" s="2"/>
      <c r="LOP121" s="2"/>
      <c r="LOQ121" s="2"/>
      <c r="LOR121" s="2"/>
      <c r="LOS121" s="2"/>
      <c r="LOT121" s="2"/>
      <c r="LOU121" s="2"/>
      <c r="LOV121" s="2"/>
      <c r="LOW121" s="2"/>
      <c r="LOX121" s="2"/>
      <c r="LOY121" s="2"/>
      <c r="LOZ121" s="2"/>
      <c r="LPA121" s="2"/>
      <c r="LPB121" s="2"/>
      <c r="LPC121" s="2"/>
      <c r="LPD121" s="2"/>
      <c r="LPE121" s="2"/>
      <c r="LPF121" s="2"/>
      <c r="LPG121" s="2"/>
      <c r="LPH121" s="2"/>
      <c r="LPI121" s="2"/>
      <c r="LPJ121" s="2"/>
      <c r="LPK121" s="2"/>
      <c r="LPL121" s="2"/>
      <c r="LPM121" s="2"/>
      <c r="LPN121" s="2"/>
      <c r="LPO121" s="2"/>
      <c r="LPP121" s="2"/>
      <c r="LPQ121" s="2"/>
      <c r="LPR121" s="2"/>
      <c r="LPS121" s="2"/>
      <c r="LPT121" s="2"/>
      <c r="LPU121" s="2"/>
      <c r="LPV121" s="2"/>
      <c r="LPW121" s="2"/>
      <c r="LPX121" s="2"/>
      <c r="LPY121" s="2"/>
      <c r="LPZ121" s="2"/>
      <c r="LQA121" s="2"/>
      <c r="LQB121" s="2"/>
      <c r="LQC121" s="2"/>
      <c r="LQD121" s="2"/>
      <c r="LQE121" s="2"/>
      <c r="LQF121" s="2"/>
      <c r="LQG121" s="2"/>
      <c r="LQH121" s="2"/>
      <c r="LQI121" s="2"/>
      <c r="LQJ121" s="2"/>
      <c r="LQK121" s="2"/>
      <c r="LQL121" s="2"/>
      <c r="LQM121" s="2"/>
      <c r="LQN121" s="2"/>
      <c r="LQO121" s="2"/>
      <c r="LQP121" s="2"/>
      <c r="LQQ121" s="2"/>
      <c r="LQR121" s="2"/>
      <c r="LQS121" s="2"/>
      <c r="LQT121" s="2"/>
      <c r="LQU121" s="2"/>
      <c r="LQV121" s="2"/>
      <c r="LQW121" s="2"/>
      <c r="LQX121" s="2"/>
      <c r="LQY121" s="2"/>
      <c r="LQZ121" s="2"/>
      <c r="LRA121" s="2"/>
      <c r="LRB121" s="2"/>
      <c r="LRC121" s="2"/>
      <c r="LRD121" s="2"/>
      <c r="LRE121" s="2"/>
      <c r="LRF121" s="2"/>
      <c r="LRG121" s="2"/>
      <c r="LRH121" s="2"/>
      <c r="LRI121" s="2"/>
      <c r="LRJ121" s="2"/>
      <c r="LRK121" s="2"/>
      <c r="LRL121" s="2"/>
      <c r="LRM121" s="2"/>
      <c r="LRN121" s="2"/>
      <c r="LRO121" s="2"/>
      <c r="LRP121" s="2"/>
      <c r="LRQ121" s="2"/>
      <c r="LRR121" s="2"/>
      <c r="LRS121" s="2"/>
      <c r="LRT121" s="2"/>
      <c r="LRU121" s="2"/>
      <c r="LRV121" s="2"/>
      <c r="LRW121" s="2"/>
      <c r="LRX121" s="2"/>
      <c r="LRY121" s="2"/>
      <c r="LRZ121" s="2"/>
      <c r="LSA121" s="2"/>
      <c r="LSB121" s="2"/>
      <c r="LSC121" s="2"/>
      <c r="LSD121" s="2"/>
      <c r="LSE121" s="2"/>
      <c r="LSF121" s="2"/>
      <c r="LSG121" s="2"/>
      <c r="LSH121" s="2"/>
      <c r="LSI121" s="2"/>
      <c r="LSJ121" s="2"/>
      <c r="LSK121" s="2"/>
      <c r="LSL121" s="2"/>
      <c r="LSM121" s="2"/>
      <c r="LSN121" s="2"/>
      <c r="LSO121" s="2"/>
      <c r="LSP121" s="2"/>
      <c r="LSQ121" s="2"/>
      <c r="LSR121" s="2"/>
      <c r="LSS121" s="2"/>
      <c r="LST121" s="2"/>
      <c r="LSU121" s="2"/>
      <c r="LSV121" s="2"/>
      <c r="LSW121" s="2"/>
      <c r="LSX121" s="2"/>
      <c r="LSY121" s="2"/>
      <c r="LSZ121" s="2"/>
      <c r="LTA121" s="2"/>
      <c r="LTB121" s="2"/>
      <c r="LTC121" s="2"/>
      <c r="LTD121" s="2"/>
      <c r="LTE121" s="2"/>
      <c r="LTF121" s="2"/>
      <c r="LTG121" s="2"/>
      <c r="LTH121" s="2"/>
      <c r="LTI121" s="2"/>
      <c r="LTJ121" s="2"/>
      <c r="LTK121" s="2"/>
      <c r="LTL121" s="2"/>
      <c r="LTM121" s="2"/>
      <c r="LTN121" s="2"/>
      <c r="LTO121" s="2"/>
      <c r="LTP121" s="2"/>
      <c r="LTQ121" s="2"/>
      <c r="LTR121" s="2"/>
      <c r="LTS121" s="2"/>
      <c r="LTT121" s="2"/>
      <c r="LTU121" s="2"/>
      <c r="LTV121" s="2"/>
      <c r="LTW121" s="2"/>
      <c r="LTX121" s="2"/>
      <c r="LTY121" s="2"/>
      <c r="LTZ121" s="2"/>
      <c r="LUA121" s="2"/>
      <c r="LUB121" s="2"/>
      <c r="LUC121" s="2"/>
      <c r="LUD121" s="2"/>
      <c r="LUE121" s="2"/>
      <c r="LUF121" s="2"/>
      <c r="LUG121" s="2"/>
      <c r="LUH121" s="2"/>
      <c r="LUI121" s="2"/>
      <c r="LUJ121" s="2"/>
      <c r="LUK121" s="2"/>
      <c r="LUL121" s="2"/>
      <c r="LUM121" s="2"/>
      <c r="LUN121" s="2"/>
      <c r="LUO121" s="2"/>
      <c r="LUP121" s="2"/>
      <c r="LUQ121" s="2"/>
      <c r="LUR121" s="2"/>
      <c r="LUS121" s="2"/>
      <c r="LUT121" s="2"/>
      <c r="LUU121" s="2"/>
      <c r="LUV121" s="2"/>
      <c r="LUW121" s="2"/>
      <c r="LUX121" s="2"/>
      <c r="LUY121" s="2"/>
      <c r="LUZ121" s="2"/>
      <c r="LVA121" s="2"/>
      <c r="LVB121" s="2"/>
      <c r="LVC121" s="2"/>
      <c r="LVD121" s="2"/>
      <c r="LVE121" s="2"/>
      <c r="LVF121" s="2"/>
      <c r="LVG121" s="2"/>
      <c r="LVH121" s="2"/>
      <c r="LVI121" s="2"/>
      <c r="LVJ121" s="2"/>
      <c r="LVK121" s="2"/>
      <c r="LVL121" s="2"/>
      <c r="LVM121" s="2"/>
      <c r="LVN121" s="2"/>
      <c r="LVO121" s="2"/>
      <c r="LVP121" s="2"/>
      <c r="LVQ121" s="2"/>
      <c r="LVR121" s="2"/>
      <c r="LVS121" s="2"/>
      <c r="LVT121" s="2"/>
      <c r="LVU121" s="2"/>
      <c r="LVV121" s="2"/>
      <c r="LVW121" s="2"/>
      <c r="LVX121" s="2"/>
      <c r="LVY121" s="2"/>
      <c r="LVZ121" s="2"/>
      <c r="LWA121" s="2"/>
      <c r="LWB121" s="2"/>
      <c r="LWC121" s="2"/>
      <c r="LWD121" s="2"/>
      <c r="LWE121" s="2"/>
      <c r="LWF121" s="2"/>
      <c r="LWG121" s="2"/>
      <c r="LWH121" s="2"/>
      <c r="LWI121" s="2"/>
      <c r="LWJ121" s="2"/>
      <c r="LWK121" s="2"/>
      <c r="LWL121" s="2"/>
      <c r="LWM121" s="2"/>
      <c r="LWN121" s="2"/>
      <c r="LWO121" s="2"/>
      <c r="LWP121" s="2"/>
      <c r="LWQ121" s="2"/>
      <c r="LWR121" s="2"/>
      <c r="LWS121" s="2"/>
      <c r="LWT121" s="2"/>
      <c r="LWU121" s="2"/>
      <c r="LWV121" s="2"/>
      <c r="LWW121" s="2"/>
      <c r="LWX121" s="2"/>
      <c r="LWY121" s="2"/>
      <c r="LWZ121" s="2"/>
      <c r="LXA121" s="2"/>
      <c r="LXB121" s="2"/>
      <c r="LXC121" s="2"/>
      <c r="LXD121" s="2"/>
      <c r="LXE121" s="2"/>
      <c r="LXF121" s="2"/>
      <c r="LXG121" s="2"/>
      <c r="LXH121" s="2"/>
      <c r="LXI121" s="2"/>
      <c r="LXJ121" s="2"/>
      <c r="LXK121" s="2"/>
      <c r="LXL121" s="2"/>
      <c r="LXM121" s="2"/>
      <c r="LXN121" s="2"/>
      <c r="LXO121" s="2"/>
      <c r="LXP121" s="2"/>
      <c r="LXQ121" s="2"/>
      <c r="LXR121" s="2"/>
      <c r="LXS121" s="2"/>
      <c r="LXT121" s="2"/>
      <c r="LXU121" s="2"/>
      <c r="LXV121" s="2"/>
      <c r="LXW121" s="2"/>
      <c r="LXX121" s="2"/>
      <c r="LXY121" s="2"/>
      <c r="LXZ121" s="2"/>
      <c r="LYA121" s="2"/>
      <c r="LYB121" s="2"/>
      <c r="LYC121" s="2"/>
      <c r="LYD121" s="2"/>
      <c r="LYE121" s="2"/>
      <c r="LYF121" s="2"/>
      <c r="LYG121" s="2"/>
      <c r="LYH121" s="2"/>
      <c r="LYI121" s="2"/>
      <c r="LYJ121" s="2"/>
      <c r="LYK121" s="2"/>
      <c r="LYL121" s="2"/>
      <c r="LYM121" s="2"/>
      <c r="LYN121" s="2"/>
      <c r="LYO121" s="2"/>
      <c r="LYP121" s="2"/>
      <c r="LYQ121" s="2"/>
      <c r="LYR121" s="2"/>
      <c r="LYS121" s="2"/>
      <c r="LYT121" s="2"/>
      <c r="LYU121" s="2"/>
      <c r="LYV121" s="2"/>
      <c r="LYW121" s="2"/>
      <c r="LYX121" s="2"/>
      <c r="LYY121" s="2"/>
      <c r="LYZ121" s="2"/>
      <c r="LZA121" s="2"/>
      <c r="LZB121" s="2"/>
      <c r="LZC121" s="2"/>
      <c r="LZD121" s="2"/>
      <c r="LZE121" s="2"/>
      <c r="LZF121" s="2"/>
      <c r="LZG121" s="2"/>
      <c r="LZH121" s="2"/>
      <c r="LZI121" s="2"/>
      <c r="LZJ121" s="2"/>
      <c r="LZK121" s="2"/>
      <c r="LZL121" s="2"/>
      <c r="LZM121" s="2"/>
      <c r="LZN121" s="2"/>
      <c r="LZO121" s="2"/>
      <c r="LZP121" s="2"/>
      <c r="LZQ121" s="2"/>
      <c r="LZR121" s="2"/>
      <c r="LZS121" s="2"/>
      <c r="LZT121" s="2"/>
      <c r="LZU121" s="2"/>
      <c r="LZV121" s="2"/>
      <c r="LZW121" s="2"/>
      <c r="LZX121" s="2"/>
      <c r="LZY121" s="2"/>
      <c r="LZZ121" s="2"/>
      <c r="MAA121" s="2"/>
      <c r="MAB121" s="2"/>
      <c r="MAC121" s="2"/>
      <c r="MAD121" s="2"/>
      <c r="MAE121" s="2"/>
      <c r="MAF121" s="2"/>
      <c r="MAG121" s="2"/>
      <c r="MAH121" s="2"/>
      <c r="MAI121" s="2"/>
      <c r="MAJ121" s="2"/>
      <c r="MAK121" s="2"/>
      <c r="MAL121" s="2"/>
      <c r="MAM121" s="2"/>
      <c r="MAN121" s="2"/>
      <c r="MAO121" s="2"/>
      <c r="MAP121" s="2"/>
      <c r="MAQ121" s="2"/>
      <c r="MAR121" s="2"/>
      <c r="MAS121" s="2"/>
      <c r="MAT121" s="2"/>
      <c r="MAU121" s="2"/>
      <c r="MAV121" s="2"/>
      <c r="MAW121" s="2"/>
      <c r="MAX121" s="2"/>
      <c r="MAY121" s="2"/>
      <c r="MAZ121" s="2"/>
      <c r="MBA121" s="2"/>
      <c r="MBB121" s="2"/>
      <c r="MBC121" s="2"/>
      <c r="MBD121" s="2"/>
      <c r="MBE121" s="2"/>
      <c r="MBF121" s="2"/>
      <c r="MBG121" s="2"/>
      <c r="MBH121" s="2"/>
      <c r="MBI121" s="2"/>
      <c r="MBJ121" s="2"/>
      <c r="MBK121" s="2"/>
      <c r="MBL121" s="2"/>
      <c r="MBM121" s="2"/>
      <c r="MBN121" s="2"/>
      <c r="MBO121" s="2"/>
      <c r="MBP121" s="2"/>
      <c r="MBQ121" s="2"/>
      <c r="MBR121" s="2"/>
      <c r="MBS121" s="2"/>
      <c r="MBT121" s="2"/>
      <c r="MBU121" s="2"/>
      <c r="MBV121" s="2"/>
      <c r="MBW121" s="2"/>
      <c r="MBX121" s="2"/>
      <c r="MBY121" s="2"/>
      <c r="MBZ121" s="2"/>
      <c r="MCA121" s="2"/>
      <c r="MCB121" s="2"/>
      <c r="MCC121" s="2"/>
      <c r="MCD121" s="2"/>
      <c r="MCE121" s="2"/>
      <c r="MCF121" s="2"/>
      <c r="MCG121" s="2"/>
      <c r="MCH121" s="2"/>
      <c r="MCI121" s="2"/>
      <c r="MCJ121" s="2"/>
      <c r="MCK121" s="2"/>
      <c r="MCL121" s="2"/>
      <c r="MCM121" s="2"/>
      <c r="MCN121" s="2"/>
      <c r="MCO121" s="2"/>
      <c r="MCP121" s="2"/>
      <c r="MCQ121" s="2"/>
      <c r="MCR121" s="2"/>
      <c r="MCS121" s="2"/>
      <c r="MCT121" s="2"/>
      <c r="MCU121" s="2"/>
      <c r="MCV121" s="2"/>
      <c r="MCW121" s="2"/>
      <c r="MCX121" s="2"/>
      <c r="MCY121" s="2"/>
      <c r="MCZ121" s="2"/>
      <c r="MDA121" s="2"/>
      <c r="MDB121" s="2"/>
      <c r="MDC121" s="2"/>
      <c r="MDD121" s="2"/>
      <c r="MDE121" s="2"/>
      <c r="MDF121" s="2"/>
      <c r="MDG121" s="2"/>
      <c r="MDH121" s="2"/>
      <c r="MDI121" s="2"/>
      <c r="MDJ121" s="2"/>
      <c r="MDK121" s="2"/>
      <c r="MDL121" s="2"/>
      <c r="MDM121" s="2"/>
      <c r="MDN121" s="2"/>
      <c r="MDO121" s="2"/>
      <c r="MDP121" s="2"/>
      <c r="MDQ121" s="2"/>
      <c r="MDR121" s="2"/>
      <c r="MDS121" s="2"/>
      <c r="MDT121" s="2"/>
      <c r="MDU121" s="2"/>
      <c r="MDV121" s="2"/>
      <c r="MDW121" s="2"/>
      <c r="MDX121" s="2"/>
      <c r="MDY121" s="2"/>
      <c r="MDZ121" s="2"/>
      <c r="MEA121" s="2"/>
      <c r="MEB121" s="2"/>
      <c r="MEC121" s="2"/>
      <c r="MED121" s="2"/>
      <c r="MEE121" s="2"/>
      <c r="MEF121" s="2"/>
      <c r="MEG121" s="2"/>
      <c r="MEH121" s="2"/>
      <c r="MEI121" s="2"/>
      <c r="MEJ121" s="2"/>
      <c r="MEK121" s="2"/>
      <c r="MEL121" s="2"/>
      <c r="MEM121" s="2"/>
      <c r="MEN121" s="2"/>
      <c r="MEO121" s="2"/>
      <c r="MEP121" s="2"/>
      <c r="MEQ121" s="2"/>
      <c r="MER121" s="2"/>
      <c r="MES121" s="2"/>
      <c r="MET121" s="2"/>
      <c r="MEU121" s="2"/>
      <c r="MEV121" s="2"/>
      <c r="MEW121" s="2"/>
      <c r="MEX121" s="2"/>
      <c r="MEY121" s="2"/>
      <c r="MEZ121" s="2"/>
      <c r="MFA121" s="2"/>
      <c r="MFB121" s="2"/>
      <c r="MFC121" s="2"/>
      <c r="MFD121" s="2"/>
      <c r="MFE121" s="2"/>
      <c r="MFF121" s="2"/>
      <c r="MFG121" s="2"/>
      <c r="MFH121" s="2"/>
      <c r="MFI121" s="2"/>
      <c r="MFJ121" s="2"/>
      <c r="MFK121" s="2"/>
      <c r="MFL121" s="2"/>
      <c r="MFM121" s="2"/>
      <c r="MFN121" s="2"/>
      <c r="MFO121" s="2"/>
      <c r="MFP121" s="2"/>
      <c r="MFQ121" s="2"/>
      <c r="MFR121" s="2"/>
      <c r="MFS121" s="2"/>
      <c r="MFT121" s="2"/>
      <c r="MFU121" s="2"/>
      <c r="MFV121" s="2"/>
      <c r="MFW121" s="2"/>
      <c r="MFX121" s="2"/>
      <c r="MFY121" s="2"/>
      <c r="MFZ121" s="2"/>
      <c r="MGA121" s="2"/>
      <c r="MGB121" s="2"/>
      <c r="MGC121" s="2"/>
      <c r="MGD121" s="2"/>
      <c r="MGE121" s="2"/>
      <c r="MGF121" s="2"/>
      <c r="MGG121" s="2"/>
      <c r="MGH121" s="2"/>
      <c r="MGI121" s="2"/>
      <c r="MGJ121" s="2"/>
      <c r="MGK121" s="2"/>
      <c r="MGL121" s="2"/>
      <c r="MGM121" s="2"/>
      <c r="MGN121" s="2"/>
      <c r="MGO121" s="2"/>
      <c r="MGP121" s="2"/>
      <c r="MGQ121" s="2"/>
      <c r="MGR121" s="2"/>
      <c r="MGS121" s="2"/>
      <c r="MGT121" s="2"/>
      <c r="MGU121" s="2"/>
      <c r="MGV121" s="2"/>
      <c r="MGW121" s="2"/>
      <c r="MGX121" s="2"/>
      <c r="MGY121" s="2"/>
      <c r="MGZ121" s="2"/>
      <c r="MHA121" s="2"/>
      <c r="MHB121" s="2"/>
      <c r="MHC121" s="2"/>
      <c r="MHD121" s="2"/>
      <c r="MHE121" s="2"/>
      <c r="MHF121" s="2"/>
      <c r="MHG121" s="2"/>
      <c r="MHH121" s="2"/>
      <c r="MHI121" s="2"/>
      <c r="MHJ121" s="2"/>
      <c r="MHK121" s="2"/>
      <c r="MHL121" s="2"/>
      <c r="MHM121" s="2"/>
      <c r="MHN121" s="2"/>
      <c r="MHO121" s="2"/>
      <c r="MHP121" s="2"/>
      <c r="MHQ121" s="2"/>
      <c r="MHR121" s="2"/>
      <c r="MHS121" s="2"/>
      <c r="MHT121" s="2"/>
      <c r="MHU121" s="2"/>
      <c r="MHV121" s="2"/>
      <c r="MHW121" s="2"/>
      <c r="MHX121" s="2"/>
      <c r="MHY121" s="2"/>
      <c r="MHZ121" s="2"/>
      <c r="MIA121" s="2"/>
      <c r="MIB121" s="2"/>
      <c r="MIC121" s="2"/>
      <c r="MID121" s="2"/>
      <c r="MIE121" s="2"/>
      <c r="MIF121" s="2"/>
      <c r="MIG121" s="2"/>
      <c r="MIH121" s="2"/>
      <c r="MII121" s="2"/>
      <c r="MIJ121" s="2"/>
      <c r="MIK121" s="2"/>
      <c r="MIL121" s="2"/>
      <c r="MIM121" s="2"/>
      <c r="MIN121" s="2"/>
      <c r="MIO121" s="2"/>
      <c r="MIP121" s="2"/>
      <c r="MIQ121" s="2"/>
      <c r="MIR121" s="2"/>
      <c r="MIS121" s="2"/>
      <c r="MIT121" s="2"/>
      <c r="MIU121" s="2"/>
      <c r="MIV121" s="2"/>
      <c r="MIW121" s="2"/>
      <c r="MIX121" s="2"/>
      <c r="MIY121" s="2"/>
      <c r="MIZ121" s="2"/>
      <c r="MJA121" s="2"/>
      <c r="MJB121" s="2"/>
      <c r="MJC121" s="2"/>
      <c r="MJD121" s="2"/>
      <c r="MJE121" s="2"/>
      <c r="MJF121" s="2"/>
      <c r="MJG121" s="2"/>
      <c r="MJH121" s="2"/>
      <c r="MJI121" s="2"/>
      <c r="MJJ121" s="2"/>
      <c r="MJK121" s="2"/>
      <c r="MJL121" s="2"/>
      <c r="MJM121" s="2"/>
      <c r="MJN121" s="2"/>
      <c r="MJO121" s="2"/>
      <c r="MJP121" s="2"/>
      <c r="MJQ121" s="2"/>
      <c r="MJR121" s="2"/>
      <c r="MJS121" s="2"/>
      <c r="MJT121" s="2"/>
      <c r="MJU121" s="2"/>
      <c r="MJV121" s="2"/>
      <c r="MJW121" s="2"/>
      <c r="MJX121" s="2"/>
      <c r="MJY121" s="2"/>
      <c r="MJZ121" s="2"/>
      <c r="MKA121" s="2"/>
      <c r="MKB121" s="2"/>
      <c r="MKC121" s="2"/>
      <c r="MKD121" s="2"/>
      <c r="MKE121" s="2"/>
      <c r="MKF121" s="2"/>
      <c r="MKG121" s="2"/>
      <c r="MKH121" s="2"/>
      <c r="MKI121" s="2"/>
      <c r="MKJ121" s="2"/>
      <c r="MKK121" s="2"/>
      <c r="MKL121" s="2"/>
      <c r="MKM121" s="2"/>
      <c r="MKN121" s="2"/>
      <c r="MKO121" s="2"/>
      <c r="MKP121" s="2"/>
      <c r="MKQ121" s="2"/>
      <c r="MKR121" s="2"/>
      <c r="MKS121" s="2"/>
      <c r="MKT121" s="2"/>
      <c r="MKU121" s="2"/>
      <c r="MKV121" s="2"/>
      <c r="MKW121" s="2"/>
      <c r="MKX121" s="2"/>
      <c r="MKY121" s="2"/>
      <c r="MKZ121" s="2"/>
      <c r="MLA121" s="2"/>
      <c r="MLB121" s="2"/>
      <c r="MLC121" s="2"/>
      <c r="MLD121" s="2"/>
      <c r="MLE121" s="2"/>
      <c r="MLF121" s="2"/>
      <c r="MLG121" s="2"/>
      <c r="MLH121" s="2"/>
      <c r="MLI121" s="2"/>
      <c r="MLJ121" s="2"/>
      <c r="MLK121" s="2"/>
      <c r="MLL121" s="2"/>
      <c r="MLM121" s="2"/>
      <c r="MLN121" s="2"/>
      <c r="MLO121" s="2"/>
      <c r="MLP121" s="2"/>
      <c r="MLQ121" s="2"/>
      <c r="MLR121" s="2"/>
      <c r="MLS121" s="2"/>
      <c r="MLT121" s="2"/>
      <c r="MLU121" s="2"/>
      <c r="MLV121" s="2"/>
      <c r="MLW121" s="2"/>
      <c r="MLX121" s="2"/>
      <c r="MLY121" s="2"/>
      <c r="MLZ121" s="2"/>
      <c r="MMA121" s="2"/>
      <c r="MMB121" s="2"/>
      <c r="MMC121" s="2"/>
      <c r="MMD121" s="2"/>
      <c r="MME121" s="2"/>
      <c r="MMF121" s="2"/>
      <c r="MMG121" s="2"/>
      <c r="MMH121" s="2"/>
      <c r="MMI121" s="2"/>
      <c r="MMJ121" s="2"/>
      <c r="MMK121" s="2"/>
      <c r="MML121" s="2"/>
      <c r="MMM121" s="2"/>
      <c r="MMN121" s="2"/>
      <c r="MMO121" s="2"/>
      <c r="MMP121" s="2"/>
      <c r="MMQ121" s="2"/>
      <c r="MMR121" s="2"/>
      <c r="MMS121" s="2"/>
      <c r="MMT121" s="2"/>
      <c r="MMU121" s="2"/>
      <c r="MMV121" s="2"/>
      <c r="MMW121" s="2"/>
      <c r="MMX121" s="2"/>
      <c r="MMY121" s="2"/>
      <c r="MMZ121" s="2"/>
      <c r="MNA121" s="2"/>
      <c r="MNB121" s="2"/>
      <c r="MNC121" s="2"/>
      <c r="MND121" s="2"/>
      <c r="MNE121" s="2"/>
      <c r="MNF121" s="2"/>
      <c r="MNG121" s="2"/>
      <c r="MNH121" s="2"/>
      <c r="MNI121" s="2"/>
      <c r="MNJ121" s="2"/>
      <c r="MNK121" s="2"/>
      <c r="MNL121" s="2"/>
      <c r="MNM121" s="2"/>
      <c r="MNN121" s="2"/>
      <c r="MNO121" s="2"/>
      <c r="MNP121" s="2"/>
      <c r="MNQ121" s="2"/>
      <c r="MNR121" s="2"/>
      <c r="MNS121" s="2"/>
      <c r="MNT121" s="2"/>
      <c r="MNU121" s="2"/>
      <c r="MNV121" s="2"/>
      <c r="MNW121" s="2"/>
      <c r="MNX121" s="2"/>
      <c r="MNY121" s="2"/>
      <c r="MNZ121" s="2"/>
      <c r="MOA121" s="2"/>
      <c r="MOB121" s="2"/>
      <c r="MOC121" s="2"/>
      <c r="MOD121" s="2"/>
      <c r="MOE121" s="2"/>
      <c r="MOF121" s="2"/>
      <c r="MOG121" s="2"/>
      <c r="MOH121" s="2"/>
      <c r="MOI121" s="2"/>
      <c r="MOJ121" s="2"/>
      <c r="MOK121" s="2"/>
      <c r="MOL121" s="2"/>
      <c r="MOM121" s="2"/>
      <c r="MON121" s="2"/>
      <c r="MOO121" s="2"/>
      <c r="MOP121" s="2"/>
      <c r="MOQ121" s="2"/>
      <c r="MOR121" s="2"/>
      <c r="MOS121" s="2"/>
      <c r="MOT121" s="2"/>
      <c r="MOU121" s="2"/>
      <c r="MOV121" s="2"/>
      <c r="MOW121" s="2"/>
      <c r="MOX121" s="2"/>
      <c r="MOY121" s="2"/>
      <c r="MOZ121" s="2"/>
      <c r="MPA121" s="2"/>
      <c r="MPB121" s="2"/>
      <c r="MPC121" s="2"/>
      <c r="MPD121" s="2"/>
      <c r="MPE121" s="2"/>
      <c r="MPF121" s="2"/>
      <c r="MPG121" s="2"/>
      <c r="MPH121" s="2"/>
      <c r="MPI121" s="2"/>
      <c r="MPJ121" s="2"/>
      <c r="MPK121" s="2"/>
      <c r="MPL121" s="2"/>
      <c r="MPM121" s="2"/>
      <c r="MPN121" s="2"/>
      <c r="MPO121" s="2"/>
      <c r="MPP121" s="2"/>
      <c r="MPQ121" s="2"/>
      <c r="MPR121" s="2"/>
      <c r="MPS121" s="2"/>
      <c r="MPT121" s="2"/>
      <c r="MPU121" s="2"/>
      <c r="MPV121" s="2"/>
      <c r="MPW121" s="2"/>
      <c r="MPX121" s="2"/>
      <c r="MPY121" s="2"/>
      <c r="MPZ121" s="2"/>
      <c r="MQA121" s="2"/>
      <c r="MQB121" s="2"/>
      <c r="MQC121" s="2"/>
      <c r="MQD121" s="2"/>
      <c r="MQE121" s="2"/>
      <c r="MQF121" s="2"/>
      <c r="MQG121" s="2"/>
      <c r="MQH121" s="2"/>
      <c r="MQI121" s="2"/>
      <c r="MQJ121" s="2"/>
      <c r="MQK121" s="2"/>
      <c r="MQL121" s="2"/>
      <c r="MQM121" s="2"/>
      <c r="MQN121" s="2"/>
      <c r="MQO121" s="2"/>
      <c r="MQP121" s="2"/>
      <c r="MQQ121" s="2"/>
      <c r="MQR121" s="2"/>
      <c r="MQS121" s="2"/>
      <c r="MQT121" s="2"/>
      <c r="MQU121" s="2"/>
      <c r="MQV121" s="2"/>
      <c r="MQW121" s="2"/>
      <c r="MQX121" s="2"/>
      <c r="MQY121" s="2"/>
      <c r="MQZ121" s="2"/>
      <c r="MRA121" s="2"/>
      <c r="MRB121" s="2"/>
      <c r="MRC121" s="2"/>
      <c r="MRD121" s="2"/>
      <c r="MRE121" s="2"/>
      <c r="MRF121" s="2"/>
      <c r="MRG121" s="2"/>
      <c r="MRH121" s="2"/>
      <c r="MRI121" s="2"/>
      <c r="MRJ121" s="2"/>
      <c r="MRK121" s="2"/>
      <c r="MRL121" s="2"/>
      <c r="MRM121" s="2"/>
      <c r="MRN121" s="2"/>
      <c r="MRO121" s="2"/>
      <c r="MRP121" s="2"/>
      <c r="MRQ121" s="2"/>
      <c r="MRR121" s="2"/>
      <c r="MRS121" s="2"/>
      <c r="MRT121" s="2"/>
      <c r="MRU121" s="2"/>
      <c r="MRV121" s="2"/>
      <c r="MRW121" s="2"/>
      <c r="MRX121" s="2"/>
      <c r="MRY121" s="2"/>
      <c r="MRZ121" s="2"/>
      <c r="MSA121" s="2"/>
      <c r="MSB121" s="2"/>
      <c r="MSC121" s="2"/>
      <c r="MSD121" s="2"/>
      <c r="MSE121" s="2"/>
      <c r="MSF121" s="2"/>
      <c r="MSG121" s="2"/>
      <c r="MSH121" s="2"/>
      <c r="MSI121" s="2"/>
      <c r="MSJ121" s="2"/>
      <c r="MSK121" s="2"/>
      <c r="MSL121" s="2"/>
      <c r="MSM121" s="2"/>
      <c r="MSN121" s="2"/>
      <c r="MSO121" s="2"/>
      <c r="MSP121" s="2"/>
      <c r="MSQ121" s="2"/>
      <c r="MSR121" s="2"/>
      <c r="MSS121" s="2"/>
      <c r="MST121" s="2"/>
      <c r="MSU121" s="2"/>
      <c r="MSV121" s="2"/>
      <c r="MSW121" s="2"/>
      <c r="MSX121" s="2"/>
      <c r="MSY121" s="2"/>
      <c r="MSZ121" s="2"/>
      <c r="MTA121" s="2"/>
      <c r="MTB121" s="2"/>
      <c r="MTC121" s="2"/>
      <c r="MTD121" s="2"/>
      <c r="MTE121" s="2"/>
      <c r="MTF121" s="2"/>
      <c r="MTG121" s="2"/>
      <c r="MTH121" s="2"/>
      <c r="MTI121" s="2"/>
      <c r="MTJ121" s="2"/>
      <c r="MTK121" s="2"/>
      <c r="MTL121" s="2"/>
      <c r="MTM121" s="2"/>
      <c r="MTN121" s="2"/>
      <c r="MTO121" s="2"/>
      <c r="MTP121" s="2"/>
      <c r="MTQ121" s="2"/>
      <c r="MTR121" s="2"/>
      <c r="MTS121" s="2"/>
      <c r="MTT121" s="2"/>
      <c r="MTU121" s="2"/>
      <c r="MTV121" s="2"/>
      <c r="MTW121" s="2"/>
      <c r="MTX121" s="2"/>
      <c r="MTY121" s="2"/>
      <c r="MTZ121" s="2"/>
      <c r="MUA121" s="2"/>
      <c r="MUB121" s="2"/>
      <c r="MUC121" s="2"/>
      <c r="MUD121" s="2"/>
      <c r="MUE121" s="2"/>
      <c r="MUF121" s="2"/>
      <c r="MUG121" s="2"/>
      <c r="MUH121" s="2"/>
      <c r="MUI121" s="2"/>
      <c r="MUJ121" s="2"/>
      <c r="MUK121" s="2"/>
      <c r="MUL121" s="2"/>
      <c r="MUM121" s="2"/>
      <c r="MUN121" s="2"/>
      <c r="MUO121" s="2"/>
      <c r="MUP121" s="2"/>
      <c r="MUQ121" s="2"/>
      <c r="MUR121" s="2"/>
      <c r="MUS121" s="2"/>
      <c r="MUT121" s="2"/>
      <c r="MUU121" s="2"/>
      <c r="MUV121" s="2"/>
      <c r="MUW121" s="2"/>
      <c r="MUX121" s="2"/>
      <c r="MUY121" s="2"/>
      <c r="MUZ121" s="2"/>
      <c r="MVA121" s="2"/>
      <c r="MVB121" s="2"/>
      <c r="MVC121" s="2"/>
      <c r="MVD121" s="2"/>
      <c r="MVE121" s="2"/>
      <c r="MVF121" s="2"/>
      <c r="MVG121" s="2"/>
      <c r="MVH121" s="2"/>
      <c r="MVI121" s="2"/>
      <c r="MVJ121" s="2"/>
      <c r="MVK121" s="2"/>
      <c r="MVL121" s="2"/>
      <c r="MVM121" s="2"/>
      <c r="MVN121" s="2"/>
      <c r="MVO121" s="2"/>
      <c r="MVP121" s="2"/>
      <c r="MVQ121" s="2"/>
      <c r="MVR121" s="2"/>
      <c r="MVS121" s="2"/>
      <c r="MVT121" s="2"/>
      <c r="MVU121" s="2"/>
      <c r="MVV121" s="2"/>
      <c r="MVW121" s="2"/>
      <c r="MVX121" s="2"/>
      <c r="MVY121" s="2"/>
      <c r="MVZ121" s="2"/>
      <c r="MWA121" s="2"/>
      <c r="MWB121" s="2"/>
      <c r="MWC121" s="2"/>
      <c r="MWD121" s="2"/>
      <c r="MWE121" s="2"/>
      <c r="MWF121" s="2"/>
      <c r="MWG121" s="2"/>
      <c r="MWH121" s="2"/>
      <c r="MWI121" s="2"/>
      <c r="MWJ121" s="2"/>
      <c r="MWK121" s="2"/>
      <c r="MWL121" s="2"/>
      <c r="MWM121" s="2"/>
      <c r="MWN121" s="2"/>
      <c r="MWO121" s="2"/>
      <c r="MWP121" s="2"/>
      <c r="MWQ121" s="2"/>
      <c r="MWR121" s="2"/>
      <c r="MWS121" s="2"/>
      <c r="MWT121" s="2"/>
      <c r="MWU121" s="2"/>
      <c r="MWV121" s="2"/>
      <c r="MWW121" s="2"/>
      <c r="MWX121" s="2"/>
      <c r="MWY121" s="2"/>
      <c r="MWZ121" s="2"/>
      <c r="MXA121" s="2"/>
      <c r="MXB121" s="2"/>
      <c r="MXC121" s="2"/>
      <c r="MXD121" s="2"/>
      <c r="MXE121" s="2"/>
      <c r="MXF121" s="2"/>
      <c r="MXG121" s="2"/>
      <c r="MXH121" s="2"/>
      <c r="MXI121" s="2"/>
      <c r="MXJ121" s="2"/>
      <c r="MXK121" s="2"/>
      <c r="MXL121" s="2"/>
      <c r="MXM121" s="2"/>
      <c r="MXN121" s="2"/>
      <c r="MXO121" s="2"/>
      <c r="MXP121" s="2"/>
      <c r="MXQ121" s="2"/>
      <c r="MXR121" s="2"/>
      <c r="MXS121" s="2"/>
      <c r="MXT121" s="2"/>
      <c r="MXU121" s="2"/>
      <c r="MXV121" s="2"/>
      <c r="MXW121" s="2"/>
      <c r="MXX121" s="2"/>
      <c r="MXY121" s="2"/>
      <c r="MXZ121" s="2"/>
      <c r="MYA121" s="2"/>
      <c r="MYB121" s="2"/>
      <c r="MYC121" s="2"/>
      <c r="MYD121" s="2"/>
      <c r="MYE121" s="2"/>
      <c r="MYF121" s="2"/>
      <c r="MYG121" s="2"/>
      <c r="MYH121" s="2"/>
      <c r="MYI121" s="2"/>
      <c r="MYJ121" s="2"/>
      <c r="MYK121" s="2"/>
      <c r="MYL121" s="2"/>
      <c r="MYM121" s="2"/>
      <c r="MYN121" s="2"/>
      <c r="MYO121" s="2"/>
      <c r="MYP121" s="2"/>
      <c r="MYQ121" s="2"/>
      <c r="MYR121" s="2"/>
      <c r="MYS121" s="2"/>
      <c r="MYT121" s="2"/>
      <c r="MYU121" s="2"/>
      <c r="MYV121" s="2"/>
      <c r="MYW121" s="2"/>
      <c r="MYX121" s="2"/>
      <c r="MYY121" s="2"/>
      <c r="MYZ121" s="2"/>
      <c r="MZA121" s="2"/>
      <c r="MZB121" s="2"/>
      <c r="MZC121" s="2"/>
      <c r="MZD121" s="2"/>
      <c r="MZE121" s="2"/>
      <c r="MZF121" s="2"/>
      <c r="MZG121" s="2"/>
      <c r="MZH121" s="2"/>
      <c r="MZI121" s="2"/>
      <c r="MZJ121" s="2"/>
      <c r="MZK121" s="2"/>
      <c r="MZL121" s="2"/>
      <c r="MZM121" s="2"/>
      <c r="MZN121" s="2"/>
      <c r="MZO121" s="2"/>
      <c r="MZP121" s="2"/>
      <c r="MZQ121" s="2"/>
      <c r="MZR121" s="2"/>
      <c r="MZS121" s="2"/>
      <c r="MZT121" s="2"/>
      <c r="MZU121" s="2"/>
      <c r="MZV121" s="2"/>
      <c r="MZW121" s="2"/>
      <c r="MZX121" s="2"/>
      <c r="MZY121" s="2"/>
      <c r="MZZ121" s="2"/>
      <c r="NAA121" s="2"/>
      <c r="NAB121" s="2"/>
      <c r="NAC121" s="2"/>
      <c r="NAD121" s="2"/>
      <c r="NAE121" s="2"/>
      <c r="NAF121" s="2"/>
      <c r="NAG121" s="2"/>
      <c r="NAH121" s="2"/>
      <c r="NAI121" s="2"/>
      <c r="NAJ121" s="2"/>
      <c r="NAK121" s="2"/>
      <c r="NAL121" s="2"/>
      <c r="NAM121" s="2"/>
      <c r="NAN121" s="2"/>
      <c r="NAO121" s="2"/>
      <c r="NAP121" s="2"/>
      <c r="NAQ121" s="2"/>
      <c r="NAR121" s="2"/>
      <c r="NAS121" s="2"/>
      <c r="NAT121" s="2"/>
      <c r="NAU121" s="2"/>
      <c r="NAV121" s="2"/>
      <c r="NAW121" s="2"/>
      <c r="NAX121" s="2"/>
      <c r="NAY121" s="2"/>
      <c r="NAZ121" s="2"/>
      <c r="NBA121" s="2"/>
      <c r="NBB121" s="2"/>
      <c r="NBC121" s="2"/>
      <c r="NBD121" s="2"/>
      <c r="NBE121" s="2"/>
      <c r="NBF121" s="2"/>
      <c r="NBG121" s="2"/>
      <c r="NBH121" s="2"/>
      <c r="NBI121" s="2"/>
      <c r="NBJ121" s="2"/>
      <c r="NBK121" s="2"/>
      <c r="NBL121" s="2"/>
      <c r="NBM121" s="2"/>
      <c r="NBN121" s="2"/>
      <c r="NBO121" s="2"/>
      <c r="NBP121" s="2"/>
      <c r="NBQ121" s="2"/>
      <c r="NBR121" s="2"/>
      <c r="NBS121" s="2"/>
      <c r="NBT121" s="2"/>
      <c r="NBU121" s="2"/>
      <c r="NBV121" s="2"/>
      <c r="NBW121" s="2"/>
      <c r="NBX121" s="2"/>
      <c r="NBY121" s="2"/>
      <c r="NBZ121" s="2"/>
      <c r="NCA121" s="2"/>
      <c r="NCB121" s="2"/>
      <c r="NCC121" s="2"/>
      <c r="NCD121" s="2"/>
      <c r="NCE121" s="2"/>
      <c r="NCF121" s="2"/>
      <c r="NCG121" s="2"/>
      <c r="NCH121" s="2"/>
      <c r="NCI121" s="2"/>
      <c r="NCJ121" s="2"/>
      <c r="NCK121" s="2"/>
      <c r="NCL121" s="2"/>
      <c r="NCM121" s="2"/>
      <c r="NCN121" s="2"/>
      <c r="NCO121" s="2"/>
      <c r="NCP121" s="2"/>
      <c r="NCQ121" s="2"/>
      <c r="NCR121" s="2"/>
      <c r="NCS121" s="2"/>
      <c r="NCT121" s="2"/>
      <c r="NCU121" s="2"/>
      <c r="NCV121" s="2"/>
      <c r="NCW121" s="2"/>
      <c r="NCX121" s="2"/>
      <c r="NCY121" s="2"/>
      <c r="NCZ121" s="2"/>
      <c r="NDA121" s="2"/>
      <c r="NDB121" s="2"/>
      <c r="NDC121" s="2"/>
      <c r="NDD121" s="2"/>
      <c r="NDE121" s="2"/>
      <c r="NDF121" s="2"/>
      <c r="NDG121" s="2"/>
      <c r="NDH121" s="2"/>
      <c r="NDI121" s="2"/>
      <c r="NDJ121" s="2"/>
      <c r="NDK121" s="2"/>
      <c r="NDL121" s="2"/>
      <c r="NDM121" s="2"/>
      <c r="NDN121" s="2"/>
      <c r="NDO121" s="2"/>
      <c r="NDP121" s="2"/>
      <c r="NDQ121" s="2"/>
      <c r="NDR121" s="2"/>
      <c r="NDS121" s="2"/>
      <c r="NDT121" s="2"/>
      <c r="NDU121" s="2"/>
      <c r="NDV121" s="2"/>
      <c r="NDW121" s="2"/>
      <c r="NDX121" s="2"/>
      <c r="NDY121" s="2"/>
      <c r="NDZ121" s="2"/>
      <c r="NEA121" s="2"/>
      <c r="NEB121" s="2"/>
      <c r="NEC121" s="2"/>
      <c r="NED121" s="2"/>
      <c r="NEE121" s="2"/>
      <c r="NEF121" s="2"/>
      <c r="NEG121" s="2"/>
      <c r="NEH121" s="2"/>
      <c r="NEI121" s="2"/>
      <c r="NEJ121" s="2"/>
      <c r="NEK121" s="2"/>
      <c r="NEL121" s="2"/>
      <c r="NEM121" s="2"/>
      <c r="NEN121" s="2"/>
      <c r="NEO121" s="2"/>
      <c r="NEP121" s="2"/>
      <c r="NEQ121" s="2"/>
      <c r="NER121" s="2"/>
      <c r="NES121" s="2"/>
      <c r="NET121" s="2"/>
      <c r="NEU121" s="2"/>
      <c r="NEV121" s="2"/>
      <c r="NEW121" s="2"/>
      <c r="NEX121" s="2"/>
      <c r="NEY121" s="2"/>
      <c r="NEZ121" s="2"/>
      <c r="NFA121" s="2"/>
      <c r="NFB121" s="2"/>
      <c r="NFC121" s="2"/>
      <c r="NFD121" s="2"/>
      <c r="NFE121" s="2"/>
      <c r="NFF121" s="2"/>
      <c r="NFG121" s="2"/>
      <c r="NFH121" s="2"/>
      <c r="NFI121" s="2"/>
      <c r="NFJ121" s="2"/>
      <c r="NFK121" s="2"/>
      <c r="NFL121" s="2"/>
      <c r="NFM121" s="2"/>
      <c r="NFN121" s="2"/>
      <c r="NFO121" s="2"/>
      <c r="NFP121" s="2"/>
      <c r="NFQ121" s="2"/>
      <c r="NFR121" s="2"/>
      <c r="NFS121" s="2"/>
      <c r="NFT121" s="2"/>
      <c r="NFU121" s="2"/>
      <c r="NFV121" s="2"/>
      <c r="NFW121" s="2"/>
      <c r="NFX121" s="2"/>
      <c r="NFY121" s="2"/>
      <c r="NFZ121" s="2"/>
      <c r="NGA121" s="2"/>
      <c r="NGB121" s="2"/>
      <c r="NGC121" s="2"/>
      <c r="NGD121" s="2"/>
      <c r="NGE121" s="2"/>
      <c r="NGF121" s="2"/>
      <c r="NGG121" s="2"/>
      <c r="NGH121" s="2"/>
      <c r="NGI121" s="2"/>
      <c r="NGJ121" s="2"/>
      <c r="NGK121" s="2"/>
      <c r="NGL121" s="2"/>
      <c r="NGM121" s="2"/>
      <c r="NGN121" s="2"/>
      <c r="NGO121" s="2"/>
      <c r="NGP121" s="2"/>
      <c r="NGQ121" s="2"/>
      <c r="NGR121" s="2"/>
      <c r="NGS121" s="2"/>
      <c r="NGT121" s="2"/>
      <c r="NGU121" s="2"/>
      <c r="NGV121" s="2"/>
      <c r="NGW121" s="2"/>
      <c r="NGX121" s="2"/>
      <c r="NGY121" s="2"/>
      <c r="NGZ121" s="2"/>
      <c r="NHA121" s="2"/>
      <c r="NHB121" s="2"/>
      <c r="NHC121" s="2"/>
      <c r="NHD121" s="2"/>
      <c r="NHE121" s="2"/>
      <c r="NHF121" s="2"/>
      <c r="NHG121" s="2"/>
      <c r="NHH121" s="2"/>
      <c r="NHI121" s="2"/>
      <c r="NHJ121" s="2"/>
      <c r="NHK121" s="2"/>
      <c r="NHL121" s="2"/>
      <c r="NHM121" s="2"/>
      <c r="NHN121" s="2"/>
      <c r="NHO121" s="2"/>
      <c r="NHP121" s="2"/>
      <c r="NHQ121" s="2"/>
      <c r="NHR121" s="2"/>
      <c r="NHS121" s="2"/>
      <c r="NHT121" s="2"/>
      <c r="NHU121" s="2"/>
      <c r="NHV121" s="2"/>
      <c r="NHW121" s="2"/>
      <c r="NHX121" s="2"/>
      <c r="NHY121" s="2"/>
      <c r="NHZ121" s="2"/>
      <c r="NIA121" s="2"/>
      <c r="NIB121" s="2"/>
      <c r="NIC121" s="2"/>
      <c r="NID121" s="2"/>
      <c r="NIE121" s="2"/>
      <c r="NIF121" s="2"/>
      <c r="NIG121" s="2"/>
      <c r="NIH121" s="2"/>
      <c r="NII121" s="2"/>
      <c r="NIJ121" s="2"/>
      <c r="NIK121" s="2"/>
      <c r="NIL121" s="2"/>
      <c r="NIM121" s="2"/>
      <c r="NIN121" s="2"/>
      <c r="NIO121" s="2"/>
      <c r="NIP121" s="2"/>
      <c r="NIQ121" s="2"/>
      <c r="NIR121" s="2"/>
      <c r="NIS121" s="2"/>
      <c r="NIT121" s="2"/>
      <c r="NIU121" s="2"/>
      <c r="NIV121" s="2"/>
      <c r="NIW121" s="2"/>
      <c r="NIX121" s="2"/>
      <c r="NIY121" s="2"/>
      <c r="NIZ121" s="2"/>
      <c r="NJA121" s="2"/>
      <c r="NJB121" s="2"/>
      <c r="NJC121" s="2"/>
      <c r="NJD121" s="2"/>
      <c r="NJE121" s="2"/>
      <c r="NJF121" s="2"/>
      <c r="NJG121" s="2"/>
      <c r="NJH121" s="2"/>
      <c r="NJI121" s="2"/>
      <c r="NJJ121" s="2"/>
      <c r="NJK121" s="2"/>
      <c r="NJL121" s="2"/>
      <c r="NJM121" s="2"/>
      <c r="NJN121" s="2"/>
      <c r="NJO121" s="2"/>
      <c r="NJP121" s="2"/>
      <c r="NJQ121" s="2"/>
      <c r="NJR121" s="2"/>
      <c r="NJS121" s="2"/>
      <c r="NJT121" s="2"/>
      <c r="NJU121" s="2"/>
      <c r="NJV121" s="2"/>
      <c r="NJW121" s="2"/>
      <c r="NJX121" s="2"/>
      <c r="NJY121" s="2"/>
      <c r="NJZ121" s="2"/>
      <c r="NKA121" s="2"/>
      <c r="NKB121" s="2"/>
      <c r="NKC121" s="2"/>
      <c r="NKD121" s="2"/>
      <c r="NKE121" s="2"/>
      <c r="NKF121" s="2"/>
      <c r="NKG121" s="2"/>
      <c r="NKH121" s="2"/>
      <c r="NKI121" s="2"/>
      <c r="NKJ121" s="2"/>
      <c r="NKK121" s="2"/>
      <c r="NKL121" s="2"/>
      <c r="NKM121" s="2"/>
      <c r="NKN121" s="2"/>
      <c r="NKO121" s="2"/>
      <c r="NKP121" s="2"/>
      <c r="NKQ121" s="2"/>
      <c r="NKR121" s="2"/>
      <c r="NKS121" s="2"/>
      <c r="NKT121" s="2"/>
      <c r="NKU121" s="2"/>
      <c r="NKV121" s="2"/>
      <c r="NKW121" s="2"/>
      <c r="NKX121" s="2"/>
      <c r="NKY121" s="2"/>
      <c r="NKZ121" s="2"/>
      <c r="NLA121" s="2"/>
      <c r="NLB121" s="2"/>
      <c r="NLC121" s="2"/>
      <c r="NLD121" s="2"/>
      <c r="NLE121" s="2"/>
      <c r="NLF121" s="2"/>
      <c r="NLG121" s="2"/>
      <c r="NLH121" s="2"/>
      <c r="NLI121" s="2"/>
      <c r="NLJ121" s="2"/>
      <c r="NLK121" s="2"/>
      <c r="NLL121" s="2"/>
      <c r="NLM121" s="2"/>
      <c r="NLN121" s="2"/>
      <c r="NLO121" s="2"/>
      <c r="NLP121" s="2"/>
      <c r="NLQ121" s="2"/>
      <c r="NLR121" s="2"/>
      <c r="NLS121" s="2"/>
      <c r="NLT121" s="2"/>
      <c r="NLU121" s="2"/>
      <c r="NLV121" s="2"/>
      <c r="NLW121" s="2"/>
      <c r="NLX121" s="2"/>
      <c r="NLY121" s="2"/>
      <c r="NLZ121" s="2"/>
      <c r="NMA121" s="2"/>
      <c r="NMB121" s="2"/>
      <c r="NMC121" s="2"/>
      <c r="NMD121" s="2"/>
      <c r="NME121" s="2"/>
      <c r="NMF121" s="2"/>
      <c r="NMG121" s="2"/>
      <c r="NMH121" s="2"/>
      <c r="NMI121" s="2"/>
      <c r="NMJ121" s="2"/>
      <c r="NMK121" s="2"/>
      <c r="NML121" s="2"/>
      <c r="NMM121" s="2"/>
      <c r="NMN121" s="2"/>
      <c r="NMO121" s="2"/>
      <c r="NMP121" s="2"/>
      <c r="NMQ121" s="2"/>
      <c r="NMR121" s="2"/>
      <c r="NMS121" s="2"/>
      <c r="NMT121" s="2"/>
      <c r="NMU121" s="2"/>
      <c r="NMV121" s="2"/>
      <c r="NMW121" s="2"/>
      <c r="NMX121" s="2"/>
      <c r="NMY121" s="2"/>
      <c r="NMZ121" s="2"/>
      <c r="NNA121" s="2"/>
      <c r="NNB121" s="2"/>
      <c r="NNC121" s="2"/>
      <c r="NND121" s="2"/>
      <c r="NNE121" s="2"/>
      <c r="NNF121" s="2"/>
      <c r="NNG121" s="2"/>
      <c r="NNH121" s="2"/>
      <c r="NNI121" s="2"/>
      <c r="NNJ121" s="2"/>
      <c r="NNK121" s="2"/>
      <c r="NNL121" s="2"/>
      <c r="NNM121" s="2"/>
      <c r="NNN121" s="2"/>
      <c r="NNO121" s="2"/>
      <c r="NNP121" s="2"/>
      <c r="NNQ121" s="2"/>
      <c r="NNR121" s="2"/>
      <c r="NNS121" s="2"/>
      <c r="NNT121" s="2"/>
      <c r="NNU121" s="2"/>
      <c r="NNV121" s="2"/>
      <c r="NNW121" s="2"/>
      <c r="NNX121" s="2"/>
      <c r="NNY121" s="2"/>
      <c r="NNZ121" s="2"/>
      <c r="NOA121" s="2"/>
      <c r="NOB121" s="2"/>
      <c r="NOC121" s="2"/>
      <c r="NOD121" s="2"/>
      <c r="NOE121" s="2"/>
      <c r="NOF121" s="2"/>
      <c r="NOG121" s="2"/>
      <c r="NOH121" s="2"/>
      <c r="NOI121" s="2"/>
      <c r="NOJ121" s="2"/>
      <c r="NOK121" s="2"/>
      <c r="NOL121" s="2"/>
      <c r="NOM121" s="2"/>
      <c r="NON121" s="2"/>
      <c r="NOO121" s="2"/>
      <c r="NOP121" s="2"/>
      <c r="NOQ121" s="2"/>
      <c r="NOR121" s="2"/>
      <c r="NOS121" s="2"/>
      <c r="NOT121" s="2"/>
      <c r="NOU121" s="2"/>
      <c r="NOV121" s="2"/>
      <c r="NOW121" s="2"/>
      <c r="NOX121" s="2"/>
      <c r="NOY121" s="2"/>
      <c r="NOZ121" s="2"/>
      <c r="NPA121" s="2"/>
      <c r="NPB121" s="2"/>
      <c r="NPC121" s="2"/>
      <c r="NPD121" s="2"/>
      <c r="NPE121" s="2"/>
      <c r="NPF121" s="2"/>
      <c r="NPG121" s="2"/>
      <c r="NPH121" s="2"/>
      <c r="NPI121" s="2"/>
      <c r="NPJ121" s="2"/>
      <c r="NPK121" s="2"/>
      <c r="NPL121" s="2"/>
      <c r="NPM121" s="2"/>
      <c r="NPN121" s="2"/>
      <c r="NPO121" s="2"/>
      <c r="NPP121" s="2"/>
      <c r="NPQ121" s="2"/>
      <c r="NPR121" s="2"/>
      <c r="NPS121" s="2"/>
      <c r="NPT121" s="2"/>
      <c r="NPU121" s="2"/>
      <c r="NPV121" s="2"/>
      <c r="NPW121" s="2"/>
      <c r="NPX121" s="2"/>
      <c r="NPY121" s="2"/>
      <c r="NPZ121" s="2"/>
      <c r="NQA121" s="2"/>
      <c r="NQB121" s="2"/>
      <c r="NQC121" s="2"/>
      <c r="NQD121" s="2"/>
      <c r="NQE121" s="2"/>
      <c r="NQF121" s="2"/>
      <c r="NQG121" s="2"/>
      <c r="NQH121" s="2"/>
      <c r="NQI121" s="2"/>
      <c r="NQJ121" s="2"/>
      <c r="NQK121" s="2"/>
      <c r="NQL121" s="2"/>
      <c r="NQM121" s="2"/>
      <c r="NQN121" s="2"/>
      <c r="NQO121" s="2"/>
      <c r="NQP121" s="2"/>
      <c r="NQQ121" s="2"/>
      <c r="NQR121" s="2"/>
      <c r="NQS121" s="2"/>
      <c r="NQT121" s="2"/>
      <c r="NQU121" s="2"/>
      <c r="NQV121" s="2"/>
      <c r="NQW121" s="2"/>
      <c r="NQX121" s="2"/>
      <c r="NQY121" s="2"/>
      <c r="NQZ121" s="2"/>
      <c r="NRA121" s="2"/>
      <c r="NRB121" s="2"/>
      <c r="NRC121" s="2"/>
      <c r="NRD121" s="2"/>
      <c r="NRE121" s="2"/>
      <c r="NRF121" s="2"/>
      <c r="NRG121" s="2"/>
      <c r="NRH121" s="2"/>
      <c r="NRI121" s="2"/>
      <c r="NRJ121" s="2"/>
      <c r="NRK121" s="2"/>
      <c r="NRL121" s="2"/>
      <c r="NRM121" s="2"/>
      <c r="NRN121" s="2"/>
      <c r="NRO121" s="2"/>
      <c r="NRP121" s="2"/>
      <c r="NRQ121" s="2"/>
      <c r="NRR121" s="2"/>
      <c r="NRS121" s="2"/>
      <c r="NRT121" s="2"/>
      <c r="NRU121" s="2"/>
      <c r="NRV121" s="2"/>
      <c r="NRW121" s="2"/>
      <c r="NRX121" s="2"/>
      <c r="NRY121" s="2"/>
      <c r="NRZ121" s="2"/>
      <c r="NSA121" s="2"/>
      <c r="NSB121" s="2"/>
      <c r="NSC121" s="2"/>
      <c r="NSD121" s="2"/>
      <c r="NSE121" s="2"/>
      <c r="NSF121" s="2"/>
      <c r="NSG121" s="2"/>
      <c r="NSH121" s="2"/>
      <c r="NSI121" s="2"/>
      <c r="NSJ121" s="2"/>
      <c r="NSK121" s="2"/>
      <c r="NSL121" s="2"/>
      <c r="NSM121" s="2"/>
      <c r="NSN121" s="2"/>
      <c r="NSO121" s="2"/>
      <c r="NSP121" s="2"/>
      <c r="NSQ121" s="2"/>
      <c r="NSR121" s="2"/>
      <c r="NSS121" s="2"/>
      <c r="NST121" s="2"/>
      <c r="NSU121" s="2"/>
      <c r="NSV121" s="2"/>
      <c r="NSW121" s="2"/>
      <c r="NSX121" s="2"/>
      <c r="NSY121" s="2"/>
      <c r="NSZ121" s="2"/>
      <c r="NTA121" s="2"/>
      <c r="NTB121" s="2"/>
      <c r="NTC121" s="2"/>
      <c r="NTD121" s="2"/>
      <c r="NTE121" s="2"/>
      <c r="NTF121" s="2"/>
      <c r="NTG121" s="2"/>
      <c r="NTH121" s="2"/>
      <c r="NTI121" s="2"/>
      <c r="NTJ121" s="2"/>
      <c r="NTK121" s="2"/>
      <c r="NTL121" s="2"/>
      <c r="NTM121" s="2"/>
      <c r="NTN121" s="2"/>
      <c r="NTO121" s="2"/>
      <c r="NTP121" s="2"/>
      <c r="NTQ121" s="2"/>
      <c r="NTR121" s="2"/>
      <c r="NTS121" s="2"/>
      <c r="NTT121" s="2"/>
      <c r="NTU121" s="2"/>
      <c r="NTV121" s="2"/>
      <c r="NTW121" s="2"/>
      <c r="NTX121" s="2"/>
      <c r="NTY121" s="2"/>
      <c r="NTZ121" s="2"/>
      <c r="NUA121" s="2"/>
      <c r="NUB121" s="2"/>
      <c r="NUC121" s="2"/>
      <c r="NUD121" s="2"/>
      <c r="NUE121" s="2"/>
      <c r="NUF121" s="2"/>
      <c r="NUG121" s="2"/>
      <c r="NUH121" s="2"/>
      <c r="NUI121" s="2"/>
      <c r="NUJ121" s="2"/>
      <c r="NUK121" s="2"/>
      <c r="NUL121" s="2"/>
      <c r="NUM121" s="2"/>
      <c r="NUN121" s="2"/>
      <c r="NUO121" s="2"/>
      <c r="NUP121" s="2"/>
      <c r="NUQ121" s="2"/>
      <c r="NUR121" s="2"/>
      <c r="NUS121" s="2"/>
      <c r="NUT121" s="2"/>
      <c r="NUU121" s="2"/>
      <c r="NUV121" s="2"/>
      <c r="NUW121" s="2"/>
      <c r="NUX121" s="2"/>
      <c r="NUY121" s="2"/>
      <c r="NUZ121" s="2"/>
      <c r="NVA121" s="2"/>
      <c r="NVB121" s="2"/>
      <c r="NVC121" s="2"/>
      <c r="NVD121" s="2"/>
      <c r="NVE121" s="2"/>
      <c r="NVF121" s="2"/>
      <c r="NVG121" s="2"/>
      <c r="NVH121" s="2"/>
      <c r="NVI121" s="2"/>
      <c r="NVJ121" s="2"/>
      <c r="NVK121" s="2"/>
      <c r="NVL121" s="2"/>
      <c r="NVM121" s="2"/>
      <c r="NVN121" s="2"/>
      <c r="NVO121" s="2"/>
      <c r="NVP121" s="2"/>
      <c r="NVQ121" s="2"/>
      <c r="NVR121" s="2"/>
      <c r="NVS121" s="2"/>
      <c r="NVT121" s="2"/>
      <c r="NVU121" s="2"/>
      <c r="NVV121" s="2"/>
      <c r="NVW121" s="2"/>
      <c r="NVX121" s="2"/>
      <c r="NVY121" s="2"/>
      <c r="NVZ121" s="2"/>
      <c r="NWA121" s="2"/>
      <c r="NWB121" s="2"/>
      <c r="NWC121" s="2"/>
      <c r="NWD121" s="2"/>
      <c r="NWE121" s="2"/>
      <c r="NWF121" s="2"/>
      <c r="NWG121" s="2"/>
      <c r="NWH121" s="2"/>
      <c r="NWI121" s="2"/>
      <c r="NWJ121" s="2"/>
      <c r="NWK121" s="2"/>
      <c r="NWL121" s="2"/>
      <c r="NWM121" s="2"/>
      <c r="NWN121" s="2"/>
      <c r="NWO121" s="2"/>
      <c r="NWP121" s="2"/>
      <c r="NWQ121" s="2"/>
      <c r="NWR121" s="2"/>
      <c r="NWS121" s="2"/>
      <c r="NWT121" s="2"/>
      <c r="NWU121" s="2"/>
      <c r="NWV121" s="2"/>
      <c r="NWW121" s="2"/>
      <c r="NWX121" s="2"/>
      <c r="NWY121" s="2"/>
      <c r="NWZ121" s="2"/>
      <c r="NXA121" s="2"/>
      <c r="NXB121" s="2"/>
      <c r="NXC121" s="2"/>
      <c r="NXD121" s="2"/>
      <c r="NXE121" s="2"/>
      <c r="NXF121" s="2"/>
      <c r="NXG121" s="2"/>
      <c r="NXH121" s="2"/>
      <c r="NXI121" s="2"/>
      <c r="NXJ121" s="2"/>
      <c r="NXK121" s="2"/>
      <c r="NXL121" s="2"/>
      <c r="NXM121" s="2"/>
      <c r="NXN121" s="2"/>
      <c r="NXO121" s="2"/>
      <c r="NXP121" s="2"/>
      <c r="NXQ121" s="2"/>
      <c r="NXR121" s="2"/>
      <c r="NXS121" s="2"/>
      <c r="NXT121" s="2"/>
      <c r="NXU121" s="2"/>
      <c r="NXV121" s="2"/>
      <c r="NXW121" s="2"/>
      <c r="NXX121" s="2"/>
      <c r="NXY121" s="2"/>
      <c r="NXZ121" s="2"/>
      <c r="NYA121" s="2"/>
      <c r="NYB121" s="2"/>
      <c r="NYC121" s="2"/>
      <c r="NYD121" s="2"/>
      <c r="NYE121" s="2"/>
      <c r="NYF121" s="2"/>
      <c r="NYG121" s="2"/>
      <c r="NYH121" s="2"/>
      <c r="NYI121" s="2"/>
      <c r="NYJ121" s="2"/>
      <c r="NYK121" s="2"/>
      <c r="NYL121" s="2"/>
      <c r="NYM121" s="2"/>
      <c r="NYN121" s="2"/>
      <c r="NYO121" s="2"/>
      <c r="NYP121" s="2"/>
      <c r="NYQ121" s="2"/>
      <c r="NYR121" s="2"/>
      <c r="NYS121" s="2"/>
      <c r="NYT121" s="2"/>
      <c r="NYU121" s="2"/>
      <c r="NYV121" s="2"/>
      <c r="NYW121" s="2"/>
      <c r="NYX121" s="2"/>
      <c r="NYY121" s="2"/>
      <c r="NYZ121" s="2"/>
      <c r="NZA121" s="2"/>
      <c r="NZB121" s="2"/>
      <c r="NZC121" s="2"/>
      <c r="NZD121" s="2"/>
      <c r="NZE121" s="2"/>
      <c r="NZF121" s="2"/>
      <c r="NZG121" s="2"/>
      <c r="NZH121" s="2"/>
      <c r="NZI121" s="2"/>
      <c r="NZJ121" s="2"/>
      <c r="NZK121" s="2"/>
      <c r="NZL121" s="2"/>
      <c r="NZM121" s="2"/>
      <c r="NZN121" s="2"/>
      <c r="NZO121" s="2"/>
      <c r="NZP121" s="2"/>
      <c r="NZQ121" s="2"/>
      <c r="NZR121" s="2"/>
      <c r="NZS121" s="2"/>
      <c r="NZT121" s="2"/>
      <c r="NZU121" s="2"/>
      <c r="NZV121" s="2"/>
      <c r="NZW121" s="2"/>
      <c r="NZX121" s="2"/>
      <c r="NZY121" s="2"/>
      <c r="NZZ121" s="2"/>
      <c r="OAA121" s="2"/>
      <c r="OAB121" s="2"/>
      <c r="OAC121" s="2"/>
      <c r="OAD121" s="2"/>
      <c r="OAE121" s="2"/>
      <c r="OAF121" s="2"/>
      <c r="OAG121" s="2"/>
      <c r="OAH121" s="2"/>
      <c r="OAI121" s="2"/>
      <c r="OAJ121" s="2"/>
      <c r="OAK121" s="2"/>
      <c r="OAL121" s="2"/>
      <c r="OAM121" s="2"/>
      <c r="OAN121" s="2"/>
      <c r="OAO121" s="2"/>
      <c r="OAP121" s="2"/>
      <c r="OAQ121" s="2"/>
      <c r="OAR121" s="2"/>
      <c r="OAS121" s="2"/>
      <c r="OAT121" s="2"/>
      <c r="OAU121" s="2"/>
      <c r="OAV121" s="2"/>
      <c r="OAW121" s="2"/>
      <c r="OAX121" s="2"/>
      <c r="OAY121" s="2"/>
      <c r="OAZ121" s="2"/>
      <c r="OBA121" s="2"/>
      <c r="OBB121" s="2"/>
      <c r="OBC121" s="2"/>
      <c r="OBD121" s="2"/>
      <c r="OBE121" s="2"/>
      <c r="OBF121" s="2"/>
      <c r="OBG121" s="2"/>
      <c r="OBH121" s="2"/>
      <c r="OBI121" s="2"/>
      <c r="OBJ121" s="2"/>
      <c r="OBK121" s="2"/>
      <c r="OBL121" s="2"/>
      <c r="OBM121" s="2"/>
      <c r="OBN121" s="2"/>
      <c r="OBO121" s="2"/>
      <c r="OBP121" s="2"/>
      <c r="OBQ121" s="2"/>
      <c r="OBR121" s="2"/>
      <c r="OBS121" s="2"/>
      <c r="OBT121" s="2"/>
      <c r="OBU121" s="2"/>
      <c r="OBV121" s="2"/>
      <c r="OBW121" s="2"/>
      <c r="OBX121" s="2"/>
      <c r="OBY121" s="2"/>
      <c r="OBZ121" s="2"/>
      <c r="OCA121" s="2"/>
      <c r="OCB121" s="2"/>
      <c r="OCC121" s="2"/>
      <c r="OCD121" s="2"/>
      <c r="OCE121" s="2"/>
      <c r="OCF121" s="2"/>
      <c r="OCG121" s="2"/>
      <c r="OCH121" s="2"/>
      <c r="OCI121" s="2"/>
      <c r="OCJ121" s="2"/>
      <c r="OCK121" s="2"/>
      <c r="OCL121" s="2"/>
      <c r="OCM121" s="2"/>
      <c r="OCN121" s="2"/>
      <c r="OCO121" s="2"/>
      <c r="OCP121" s="2"/>
      <c r="OCQ121" s="2"/>
      <c r="OCR121" s="2"/>
      <c r="OCS121" s="2"/>
      <c r="OCT121" s="2"/>
      <c r="OCU121" s="2"/>
      <c r="OCV121" s="2"/>
      <c r="OCW121" s="2"/>
      <c r="OCX121" s="2"/>
      <c r="OCY121" s="2"/>
      <c r="OCZ121" s="2"/>
      <c r="ODA121" s="2"/>
      <c r="ODB121" s="2"/>
      <c r="ODC121" s="2"/>
      <c r="ODD121" s="2"/>
      <c r="ODE121" s="2"/>
      <c r="ODF121" s="2"/>
      <c r="ODG121" s="2"/>
      <c r="ODH121" s="2"/>
      <c r="ODI121" s="2"/>
      <c r="ODJ121" s="2"/>
      <c r="ODK121" s="2"/>
      <c r="ODL121" s="2"/>
      <c r="ODM121" s="2"/>
      <c r="ODN121" s="2"/>
      <c r="ODO121" s="2"/>
      <c r="ODP121" s="2"/>
      <c r="ODQ121" s="2"/>
      <c r="ODR121" s="2"/>
      <c r="ODS121" s="2"/>
      <c r="ODT121" s="2"/>
      <c r="ODU121" s="2"/>
      <c r="ODV121" s="2"/>
      <c r="ODW121" s="2"/>
      <c r="ODX121" s="2"/>
      <c r="ODY121" s="2"/>
      <c r="ODZ121" s="2"/>
      <c r="OEA121" s="2"/>
      <c r="OEB121" s="2"/>
      <c r="OEC121" s="2"/>
      <c r="OED121" s="2"/>
      <c r="OEE121" s="2"/>
      <c r="OEF121" s="2"/>
      <c r="OEG121" s="2"/>
      <c r="OEH121" s="2"/>
      <c r="OEI121" s="2"/>
      <c r="OEJ121" s="2"/>
      <c r="OEK121" s="2"/>
      <c r="OEL121" s="2"/>
      <c r="OEM121" s="2"/>
      <c r="OEN121" s="2"/>
      <c r="OEO121" s="2"/>
      <c r="OEP121" s="2"/>
      <c r="OEQ121" s="2"/>
      <c r="OER121" s="2"/>
      <c r="OES121" s="2"/>
      <c r="OET121" s="2"/>
      <c r="OEU121" s="2"/>
      <c r="OEV121" s="2"/>
      <c r="OEW121" s="2"/>
      <c r="OEX121" s="2"/>
      <c r="OEY121" s="2"/>
      <c r="OEZ121" s="2"/>
      <c r="OFA121" s="2"/>
      <c r="OFB121" s="2"/>
      <c r="OFC121" s="2"/>
      <c r="OFD121" s="2"/>
      <c r="OFE121" s="2"/>
      <c r="OFF121" s="2"/>
      <c r="OFG121" s="2"/>
      <c r="OFH121" s="2"/>
      <c r="OFI121" s="2"/>
      <c r="OFJ121" s="2"/>
      <c r="OFK121" s="2"/>
      <c r="OFL121" s="2"/>
      <c r="OFM121" s="2"/>
      <c r="OFN121" s="2"/>
      <c r="OFO121" s="2"/>
      <c r="OFP121" s="2"/>
      <c r="OFQ121" s="2"/>
      <c r="OFR121" s="2"/>
      <c r="OFS121" s="2"/>
      <c r="OFT121" s="2"/>
      <c r="OFU121" s="2"/>
      <c r="OFV121" s="2"/>
      <c r="OFW121" s="2"/>
      <c r="OFX121" s="2"/>
      <c r="OFY121" s="2"/>
      <c r="OFZ121" s="2"/>
      <c r="OGA121" s="2"/>
      <c r="OGB121" s="2"/>
      <c r="OGC121" s="2"/>
      <c r="OGD121" s="2"/>
      <c r="OGE121" s="2"/>
      <c r="OGF121" s="2"/>
      <c r="OGG121" s="2"/>
      <c r="OGH121" s="2"/>
      <c r="OGI121" s="2"/>
      <c r="OGJ121" s="2"/>
      <c r="OGK121" s="2"/>
      <c r="OGL121" s="2"/>
      <c r="OGM121" s="2"/>
      <c r="OGN121" s="2"/>
      <c r="OGO121" s="2"/>
      <c r="OGP121" s="2"/>
      <c r="OGQ121" s="2"/>
      <c r="OGR121" s="2"/>
      <c r="OGS121" s="2"/>
      <c r="OGT121" s="2"/>
      <c r="OGU121" s="2"/>
      <c r="OGV121" s="2"/>
      <c r="OGW121" s="2"/>
      <c r="OGX121" s="2"/>
      <c r="OGY121" s="2"/>
      <c r="OGZ121" s="2"/>
      <c r="OHA121" s="2"/>
      <c r="OHB121" s="2"/>
      <c r="OHC121" s="2"/>
      <c r="OHD121" s="2"/>
      <c r="OHE121" s="2"/>
      <c r="OHF121" s="2"/>
      <c r="OHG121" s="2"/>
      <c r="OHH121" s="2"/>
      <c r="OHI121" s="2"/>
      <c r="OHJ121" s="2"/>
      <c r="OHK121" s="2"/>
      <c r="OHL121" s="2"/>
      <c r="OHM121" s="2"/>
      <c r="OHN121" s="2"/>
      <c r="OHO121" s="2"/>
      <c r="OHP121" s="2"/>
      <c r="OHQ121" s="2"/>
      <c r="OHR121" s="2"/>
      <c r="OHS121" s="2"/>
      <c r="OHT121" s="2"/>
      <c r="OHU121" s="2"/>
      <c r="OHV121" s="2"/>
      <c r="OHW121" s="2"/>
      <c r="OHX121" s="2"/>
      <c r="OHY121" s="2"/>
      <c r="OHZ121" s="2"/>
      <c r="OIA121" s="2"/>
      <c r="OIB121" s="2"/>
      <c r="OIC121" s="2"/>
      <c r="OID121" s="2"/>
      <c r="OIE121" s="2"/>
      <c r="OIF121" s="2"/>
      <c r="OIG121" s="2"/>
      <c r="OIH121" s="2"/>
      <c r="OII121" s="2"/>
      <c r="OIJ121" s="2"/>
      <c r="OIK121" s="2"/>
      <c r="OIL121" s="2"/>
      <c r="OIM121" s="2"/>
      <c r="OIN121" s="2"/>
      <c r="OIO121" s="2"/>
      <c r="OIP121" s="2"/>
      <c r="OIQ121" s="2"/>
      <c r="OIR121" s="2"/>
      <c r="OIS121" s="2"/>
      <c r="OIT121" s="2"/>
      <c r="OIU121" s="2"/>
      <c r="OIV121" s="2"/>
      <c r="OIW121" s="2"/>
      <c r="OIX121" s="2"/>
      <c r="OIY121" s="2"/>
      <c r="OIZ121" s="2"/>
      <c r="OJA121" s="2"/>
      <c r="OJB121" s="2"/>
      <c r="OJC121" s="2"/>
      <c r="OJD121" s="2"/>
      <c r="OJE121" s="2"/>
      <c r="OJF121" s="2"/>
      <c r="OJG121" s="2"/>
      <c r="OJH121" s="2"/>
      <c r="OJI121" s="2"/>
      <c r="OJJ121" s="2"/>
      <c r="OJK121" s="2"/>
      <c r="OJL121" s="2"/>
      <c r="OJM121" s="2"/>
      <c r="OJN121" s="2"/>
      <c r="OJO121" s="2"/>
      <c r="OJP121" s="2"/>
      <c r="OJQ121" s="2"/>
      <c r="OJR121" s="2"/>
      <c r="OJS121" s="2"/>
      <c r="OJT121" s="2"/>
      <c r="OJU121" s="2"/>
      <c r="OJV121" s="2"/>
      <c r="OJW121" s="2"/>
      <c r="OJX121" s="2"/>
      <c r="OJY121" s="2"/>
      <c r="OJZ121" s="2"/>
      <c r="OKA121" s="2"/>
      <c r="OKB121" s="2"/>
      <c r="OKC121" s="2"/>
      <c r="OKD121" s="2"/>
      <c r="OKE121" s="2"/>
      <c r="OKF121" s="2"/>
      <c r="OKG121" s="2"/>
      <c r="OKH121" s="2"/>
      <c r="OKI121" s="2"/>
      <c r="OKJ121" s="2"/>
      <c r="OKK121" s="2"/>
      <c r="OKL121" s="2"/>
      <c r="OKM121" s="2"/>
      <c r="OKN121" s="2"/>
      <c r="OKO121" s="2"/>
      <c r="OKP121" s="2"/>
      <c r="OKQ121" s="2"/>
      <c r="OKR121" s="2"/>
      <c r="OKS121" s="2"/>
      <c r="OKT121" s="2"/>
      <c r="OKU121" s="2"/>
      <c r="OKV121" s="2"/>
      <c r="OKW121" s="2"/>
      <c r="OKX121" s="2"/>
      <c r="OKY121" s="2"/>
      <c r="OKZ121" s="2"/>
      <c r="OLA121" s="2"/>
      <c r="OLB121" s="2"/>
      <c r="OLC121" s="2"/>
      <c r="OLD121" s="2"/>
      <c r="OLE121" s="2"/>
      <c r="OLF121" s="2"/>
      <c r="OLG121" s="2"/>
      <c r="OLH121" s="2"/>
      <c r="OLI121" s="2"/>
      <c r="OLJ121" s="2"/>
      <c r="OLK121" s="2"/>
      <c r="OLL121" s="2"/>
      <c r="OLM121" s="2"/>
      <c r="OLN121" s="2"/>
      <c r="OLO121" s="2"/>
      <c r="OLP121" s="2"/>
      <c r="OLQ121" s="2"/>
      <c r="OLR121" s="2"/>
      <c r="OLS121" s="2"/>
      <c r="OLT121" s="2"/>
      <c r="OLU121" s="2"/>
      <c r="OLV121" s="2"/>
      <c r="OLW121" s="2"/>
      <c r="OLX121" s="2"/>
      <c r="OLY121" s="2"/>
      <c r="OLZ121" s="2"/>
      <c r="OMA121" s="2"/>
      <c r="OMB121" s="2"/>
      <c r="OMC121" s="2"/>
      <c r="OMD121" s="2"/>
      <c r="OME121" s="2"/>
      <c r="OMF121" s="2"/>
      <c r="OMG121" s="2"/>
      <c r="OMH121" s="2"/>
      <c r="OMI121" s="2"/>
      <c r="OMJ121" s="2"/>
      <c r="OMK121" s="2"/>
      <c r="OML121" s="2"/>
      <c r="OMM121" s="2"/>
      <c r="OMN121" s="2"/>
      <c r="OMO121" s="2"/>
      <c r="OMP121" s="2"/>
      <c r="OMQ121" s="2"/>
      <c r="OMR121" s="2"/>
      <c r="OMS121" s="2"/>
      <c r="OMT121" s="2"/>
      <c r="OMU121" s="2"/>
      <c r="OMV121" s="2"/>
      <c r="OMW121" s="2"/>
      <c r="OMX121" s="2"/>
      <c r="OMY121" s="2"/>
      <c r="OMZ121" s="2"/>
      <c r="ONA121" s="2"/>
      <c r="ONB121" s="2"/>
      <c r="ONC121" s="2"/>
      <c r="OND121" s="2"/>
      <c r="ONE121" s="2"/>
      <c r="ONF121" s="2"/>
      <c r="ONG121" s="2"/>
      <c r="ONH121" s="2"/>
      <c r="ONI121" s="2"/>
      <c r="ONJ121" s="2"/>
      <c r="ONK121" s="2"/>
      <c r="ONL121" s="2"/>
      <c r="ONM121" s="2"/>
      <c r="ONN121" s="2"/>
      <c r="ONO121" s="2"/>
      <c r="ONP121" s="2"/>
      <c r="ONQ121" s="2"/>
      <c r="ONR121" s="2"/>
      <c r="ONS121" s="2"/>
      <c r="ONT121" s="2"/>
      <c r="ONU121" s="2"/>
      <c r="ONV121" s="2"/>
      <c r="ONW121" s="2"/>
      <c r="ONX121" s="2"/>
      <c r="ONY121" s="2"/>
      <c r="ONZ121" s="2"/>
      <c r="OOA121" s="2"/>
      <c r="OOB121" s="2"/>
      <c r="OOC121" s="2"/>
      <c r="OOD121" s="2"/>
      <c r="OOE121" s="2"/>
      <c r="OOF121" s="2"/>
      <c r="OOG121" s="2"/>
      <c r="OOH121" s="2"/>
      <c r="OOI121" s="2"/>
      <c r="OOJ121" s="2"/>
      <c r="OOK121" s="2"/>
      <c r="OOL121" s="2"/>
      <c r="OOM121" s="2"/>
      <c r="OON121" s="2"/>
      <c r="OOO121" s="2"/>
      <c r="OOP121" s="2"/>
      <c r="OOQ121" s="2"/>
      <c r="OOR121" s="2"/>
      <c r="OOS121" s="2"/>
      <c r="OOT121" s="2"/>
      <c r="OOU121" s="2"/>
      <c r="OOV121" s="2"/>
      <c r="OOW121" s="2"/>
      <c r="OOX121" s="2"/>
      <c r="OOY121" s="2"/>
      <c r="OOZ121" s="2"/>
      <c r="OPA121" s="2"/>
      <c r="OPB121" s="2"/>
      <c r="OPC121" s="2"/>
      <c r="OPD121" s="2"/>
      <c r="OPE121" s="2"/>
      <c r="OPF121" s="2"/>
      <c r="OPG121" s="2"/>
      <c r="OPH121" s="2"/>
      <c r="OPI121" s="2"/>
      <c r="OPJ121" s="2"/>
      <c r="OPK121" s="2"/>
      <c r="OPL121" s="2"/>
      <c r="OPM121" s="2"/>
      <c r="OPN121" s="2"/>
      <c r="OPO121" s="2"/>
      <c r="OPP121" s="2"/>
      <c r="OPQ121" s="2"/>
      <c r="OPR121" s="2"/>
      <c r="OPS121" s="2"/>
      <c r="OPT121" s="2"/>
      <c r="OPU121" s="2"/>
      <c r="OPV121" s="2"/>
      <c r="OPW121" s="2"/>
      <c r="OPX121" s="2"/>
      <c r="OPY121" s="2"/>
      <c r="OPZ121" s="2"/>
      <c r="OQA121" s="2"/>
      <c r="OQB121" s="2"/>
      <c r="OQC121" s="2"/>
      <c r="OQD121" s="2"/>
      <c r="OQE121" s="2"/>
      <c r="OQF121" s="2"/>
      <c r="OQG121" s="2"/>
      <c r="OQH121" s="2"/>
      <c r="OQI121" s="2"/>
      <c r="OQJ121" s="2"/>
      <c r="OQK121" s="2"/>
      <c r="OQL121" s="2"/>
      <c r="OQM121" s="2"/>
      <c r="OQN121" s="2"/>
      <c r="OQO121" s="2"/>
      <c r="OQP121" s="2"/>
      <c r="OQQ121" s="2"/>
      <c r="OQR121" s="2"/>
      <c r="OQS121" s="2"/>
      <c r="OQT121" s="2"/>
      <c r="OQU121" s="2"/>
      <c r="OQV121" s="2"/>
      <c r="OQW121" s="2"/>
      <c r="OQX121" s="2"/>
      <c r="OQY121" s="2"/>
      <c r="OQZ121" s="2"/>
      <c r="ORA121" s="2"/>
      <c r="ORB121" s="2"/>
      <c r="ORC121" s="2"/>
      <c r="ORD121" s="2"/>
      <c r="ORE121" s="2"/>
      <c r="ORF121" s="2"/>
      <c r="ORG121" s="2"/>
      <c r="ORH121" s="2"/>
      <c r="ORI121" s="2"/>
      <c r="ORJ121" s="2"/>
      <c r="ORK121" s="2"/>
      <c r="ORL121" s="2"/>
      <c r="ORM121" s="2"/>
      <c r="ORN121" s="2"/>
      <c r="ORO121" s="2"/>
      <c r="ORP121" s="2"/>
      <c r="ORQ121" s="2"/>
      <c r="ORR121" s="2"/>
      <c r="ORS121" s="2"/>
      <c r="ORT121" s="2"/>
      <c r="ORU121" s="2"/>
      <c r="ORV121" s="2"/>
      <c r="ORW121" s="2"/>
      <c r="ORX121" s="2"/>
      <c r="ORY121" s="2"/>
      <c r="ORZ121" s="2"/>
      <c r="OSA121" s="2"/>
      <c r="OSB121" s="2"/>
      <c r="OSC121" s="2"/>
      <c r="OSD121" s="2"/>
      <c r="OSE121" s="2"/>
      <c r="OSF121" s="2"/>
      <c r="OSG121" s="2"/>
      <c r="OSH121" s="2"/>
      <c r="OSI121" s="2"/>
      <c r="OSJ121" s="2"/>
      <c r="OSK121" s="2"/>
      <c r="OSL121" s="2"/>
      <c r="OSM121" s="2"/>
      <c r="OSN121" s="2"/>
      <c r="OSO121" s="2"/>
      <c r="OSP121" s="2"/>
      <c r="OSQ121" s="2"/>
      <c r="OSR121" s="2"/>
      <c r="OSS121" s="2"/>
      <c r="OST121" s="2"/>
      <c r="OSU121" s="2"/>
      <c r="OSV121" s="2"/>
      <c r="OSW121" s="2"/>
      <c r="OSX121" s="2"/>
      <c r="OSY121" s="2"/>
      <c r="OSZ121" s="2"/>
      <c r="OTA121" s="2"/>
      <c r="OTB121" s="2"/>
      <c r="OTC121" s="2"/>
      <c r="OTD121" s="2"/>
      <c r="OTE121" s="2"/>
      <c r="OTF121" s="2"/>
      <c r="OTG121" s="2"/>
      <c r="OTH121" s="2"/>
      <c r="OTI121" s="2"/>
      <c r="OTJ121" s="2"/>
      <c r="OTK121" s="2"/>
      <c r="OTL121" s="2"/>
      <c r="OTM121" s="2"/>
      <c r="OTN121" s="2"/>
      <c r="OTO121" s="2"/>
      <c r="OTP121" s="2"/>
      <c r="OTQ121" s="2"/>
      <c r="OTR121" s="2"/>
      <c r="OTS121" s="2"/>
      <c r="OTT121" s="2"/>
      <c r="OTU121" s="2"/>
      <c r="OTV121" s="2"/>
      <c r="OTW121" s="2"/>
      <c r="OTX121" s="2"/>
      <c r="OTY121" s="2"/>
      <c r="OTZ121" s="2"/>
      <c r="OUA121" s="2"/>
      <c r="OUB121" s="2"/>
      <c r="OUC121" s="2"/>
      <c r="OUD121" s="2"/>
      <c r="OUE121" s="2"/>
      <c r="OUF121" s="2"/>
      <c r="OUG121" s="2"/>
      <c r="OUH121" s="2"/>
      <c r="OUI121" s="2"/>
      <c r="OUJ121" s="2"/>
      <c r="OUK121" s="2"/>
      <c r="OUL121" s="2"/>
      <c r="OUM121" s="2"/>
      <c r="OUN121" s="2"/>
      <c r="OUO121" s="2"/>
      <c r="OUP121" s="2"/>
      <c r="OUQ121" s="2"/>
      <c r="OUR121" s="2"/>
      <c r="OUS121" s="2"/>
      <c r="OUT121" s="2"/>
      <c r="OUU121" s="2"/>
      <c r="OUV121" s="2"/>
      <c r="OUW121" s="2"/>
      <c r="OUX121" s="2"/>
      <c r="OUY121" s="2"/>
      <c r="OUZ121" s="2"/>
      <c r="OVA121" s="2"/>
      <c r="OVB121" s="2"/>
      <c r="OVC121" s="2"/>
      <c r="OVD121" s="2"/>
      <c r="OVE121" s="2"/>
      <c r="OVF121" s="2"/>
      <c r="OVG121" s="2"/>
      <c r="OVH121" s="2"/>
      <c r="OVI121" s="2"/>
      <c r="OVJ121" s="2"/>
      <c r="OVK121" s="2"/>
      <c r="OVL121" s="2"/>
      <c r="OVM121" s="2"/>
      <c r="OVN121" s="2"/>
      <c r="OVO121" s="2"/>
      <c r="OVP121" s="2"/>
      <c r="OVQ121" s="2"/>
      <c r="OVR121" s="2"/>
      <c r="OVS121" s="2"/>
      <c r="OVT121" s="2"/>
      <c r="OVU121" s="2"/>
      <c r="OVV121" s="2"/>
      <c r="OVW121" s="2"/>
      <c r="OVX121" s="2"/>
      <c r="OVY121" s="2"/>
      <c r="OVZ121" s="2"/>
      <c r="OWA121" s="2"/>
      <c r="OWB121" s="2"/>
      <c r="OWC121" s="2"/>
      <c r="OWD121" s="2"/>
      <c r="OWE121" s="2"/>
      <c r="OWF121" s="2"/>
      <c r="OWG121" s="2"/>
      <c r="OWH121" s="2"/>
      <c r="OWI121" s="2"/>
      <c r="OWJ121" s="2"/>
      <c r="OWK121" s="2"/>
      <c r="OWL121" s="2"/>
      <c r="OWM121" s="2"/>
      <c r="OWN121" s="2"/>
      <c r="OWO121" s="2"/>
      <c r="OWP121" s="2"/>
      <c r="OWQ121" s="2"/>
      <c r="OWR121" s="2"/>
      <c r="OWS121" s="2"/>
      <c r="OWT121" s="2"/>
      <c r="OWU121" s="2"/>
      <c r="OWV121" s="2"/>
      <c r="OWW121" s="2"/>
      <c r="OWX121" s="2"/>
      <c r="OWY121" s="2"/>
      <c r="OWZ121" s="2"/>
      <c r="OXA121" s="2"/>
      <c r="OXB121" s="2"/>
      <c r="OXC121" s="2"/>
      <c r="OXD121" s="2"/>
      <c r="OXE121" s="2"/>
      <c r="OXF121" s="2"/>
      <c r="OXG121" s="2"/>
      <c r="OXH121" s="2"/>
      <c r="OXI121" s="2"/>
      <c r="OXJ121" s="2"/>
      <c r="OXK121" s="2"/>
      <c r="OXL121" s="2"/>
      <c r="OXM121" s="2"/>
      <c r="OXN121" s="2"/>
      <c r="OXO121" s="2"/>
      <c r="OXP121" s="2"/>
      <c r="OXQ121" s="2"/>
      <c r="OXR121" s="2"/>
      <c r="OXS121" s="2"/>
      <c r="OXT121" s="2"/>
      <c r="OXU121" s="2"/>
      <c r="OXV121" s="2"/>
      <c r="OXW121" s="2"/>
      <c r="OXX121" s="2"/>
      <c r="OXY121" s="2"/>
      <c r="OXZ121" s="2"/>
      <c r="OYA121" s="2"/>
      <c r="OYB121" s="2"/>
      <c r="OYC121" s="2"/>
      <c r="OYD121" s="2"/>
      <c r="OYE121" s="2"/>
      <c r="OYF121" s="2"/>
      <c r="OYG121" s="2"/>
      <c r="OYH121" s="2"/>
      <c r="OYI121" s="2"/>
      <c r="OYJ121" s="2"/>
      <c r="OYK121" s="2"/>
      <c r="OYL121" s="2"/>
      <c r="OYM121" s="2"/>
      <c r="OYN121" s="2"/>
      <c r="OYO121" s="2"/>
      <c r="OYP121" s="2"/>
      <c r="OYQ121" s="2"/>
      <c r="OYR121" s="2"/>
      <c r="OYS121" s="2"/>
      <c r="OYT121" s="2"/>
      <c r="OYU121" s="2"/>
      <c r="OYV121" s="2"/>
      <c r="OYW121" s="2"/>
      <c r="OYX121" s="2"/>
      <c r="OYY121" s="2"/>
      <c r="OYZ121" s="2"/>
      <c r="OZA121" s="2"/>
      <c r="OZB121" s="2"/>
      <c r="OZC121" s="2"/>
      <c r="OZD121" s="2"/>
      <c r="OZE121" s="2"/>
      <c r="OZF121" s="2"/>
      <c r="OZG121" s="2"/>
      <c r="OZH121" s="2"/>
      <c r="OZI121" s="2"/>
      <c r="OZJ121" s="2"/>
      <c r="OZK121" s="2"/>
      <c r="OZL121" s="2"/>
      <c r="OZM121" s="2"/>
      <c r="OZN121" s="2"/>
      <c r="OZO121" s="2"/>
      <c r="OZP121" s="2"/>
      <c r="OZQ121" s="2"/>
      <c r="OZR121" s="2"/>
      <c r="OZS121" s="2"/>
      <c r="OZT121" s="2"/>
      <c r="OZU121" s="2"/>
      <c r="OZV121" s="2"/>
      <c r="OZW121" s="2"/>
      <c r="OZX121" s="2"/>
      <c r="OZY121" s="2"/>
      <c r="OZZ121" s="2"/>
      <c r="PAA121" s="2"/>
      <c r="PAB121" s="2"/>
      <c r="PAC121" s="2"/>
      <c r="PAD121" s="2"/>
      <c r="PAE121" s="2"/>
      <c r="PAF121" s="2"/>
      <c r="PAG121" s="2"/>
      <c r="PAH121" s="2"/>
      <c r="PAI121" s="2"/>
      <c r="PAJ121" s="2"/>
      <c r="PAK121" s="2"/>
      <c r="PAL121" s="2"/>
      <c r="PAM121" s="2"/>
      <c r="PAN121" s="2"/>
      <c r="PAO121" s="2"/>
      <c r="PAP121" s="2"/>
      <c r="PAQ121" s="2"/>
      <c r="PAR121" s="2"/>
      <c r="PAS121" s="2"/>
      <c r="PAT121" s="2"/>
      <c r="PAU121" s="2"/>
      <c r="PAV121" s="2"/>
      <c r="PAW121" s="2"/>
      <c r="PAX121" s="2"/>
      <c r="PAY121" s="2"/>
      <c r="PAZ121" s="2"/>
      <c r="PBA121" s="2"/>
      <c r="PBB121" s="2"/>
      <c r="PBC121" s="2"/>
      <c r="PBD121" s="2"/>
      <c r="PBE121" s="2"/>
      <c r="PBF121" s="2"/>
      <c r="PBG121" s="2"/>
      <c r="PBH121" s="2"/>
      <c r="PBI121" s="2"/>
      <c r="PBJ121" s="2"/>
      <c r="PBK121" s="2"/>
      <c r="PBL121" s="2"/>
      <c r="PBM121" s="2"/>
      <c r="PBN121" s="2"/>
      <c r="PBO121" s="2"/>
      <c r="PBP121" s="2"/>
      <c r="PBQ121" s="2"/>
      <c r="PBR121" s="2"/>
      <c r="PBS121" s="2"/>
      <c r="PBT121" s="2"/>
      <c r="PBU121" s="2"/>
      <c r="PBV121" s="2"/>
      <c r="PBW121" s="2"/>
      <c r="PBX121" s="2"/>
      <c r="PBY121" s="2"/>
      <c r="PBZ121" s="2"/>
      <c r="PCA121" s="2"/>
      <c r="PCB121" s="2"/>
      <c r="PCC121" s="2"/>
      <c r="PCD121" s="2"/>
      <c r="PCE121" s="2"/>
      <c r="PCF121" s="2"/>
      <c r="PCG121" s="2"/>
      <c r="PCH121" s="2"/>
      <c r="PCI121" s="2"/>
      <c r="PCJ121" s="2"/>
      <c r="PCK121" s="2"/>
      <c r="PCL121" s="2"/>
      <c r="PCM121" s="2"/>
      <c r="PCN121" s="2"/>
      <c r="PCO121" s="2"/>
      <c r="PCP121" s="2"/>
      <c r="PCQ121" s="2"/>
      <c r="PCR121" s="2"/>
      <c r="PCS121" s="2"/>
      <c r="PCT121" s="2"/>
      <c r="PCU121" s="2"/>
      <c r="PCV121" s="2"/>
      <c r="PCW121" s="2"/>
      <c r="PCX121" s="2"/>
      <c r="PCY121" s="2"/>
      <c r="PCZ121" s="2"/>
      <c r="PDA121" s="2"/>
      <c r="PDB121" s="2"/>
      <c r="PDC121" s="2"/>
      <c r="PDD121" s="2"/>
      <c r="PDE121" s="2"/>
      <c r="PDF121" s="2"/>
      <c r="PDG121" s="2"/>
      <c r="PDH121" s="2"/>
      <c r="PDI121" s="2"/>
      <c r="PDJ121" s="2"/>
      <c r="PDK121" s="2"/>
      <c r="PDL121" s="2"/>
      <c r="PDM121" s="2"/>
      <c r="PDN121" s="2"/>
      <c r="PDO121" s="2"/>
      <c r="PDP121" s="2"/>
      <c r="PDQ121" s="2"/>
      <c r="PDR121" s="2"/>
      <c r="PDS121" s="2"/>
      <c r="PDT121" s="2"/>
      <c r="PDU121" s="2"/>
      <c r="PDV121" s="2"/>
      <c r="PDW121" s="2"/>
      <c r="PDX121" s="2"/>
      <c r="PDY121" s="2"/>
      <c r="PDZ121" s="2"/>
      <c r="PEA121" s="2"/>
      <c r="PEB121" s="2"/>
      <c r="PEC121" s="2"/>
      <c r="PED121" s="2"/>
      <c r="PEE121" s="2"/>
      <c r="PEF121" s="2"/>
      <c r="PEG121" s="2"/>
      <c r="PEH121" s="2"/>
      <c r="PEI121" s="2"/>
      <c r="PEJ121" s="2"/>
      <c r="PEK121" s="2"/>
      <c r="PEL121" s="2"/>
      <c r="PEM121" s="2"/>
      <c r="PEN121" s="2"/>
      <c r="PEO121" s="2"/>
      <c r="PEP121" s="2"/>
      <c r="PEQ121" s="2"/>
      <c r="PER121" s="2"/>
      <c r="PES121" s="2"/>
      <c r="PET121" s="2"/>
      <c r="PEU121" s="2"/>
      <c r="PEV121" s="2"/>
      <c r="PEW121" s="2"/>
      <c r="PEX121" s="2"/>
      <c r="PEY121" s="2"/>
      <c r="PEZ121" s="2"/>
      <c r="PFA121" s="2"/>
      <c r="PFB121" s="2"/>
      <c r="PFC121" s="2"/>
      <c r="PFD121" s="2"/>
      <c r="PFE121" s="2"/>
      <c r="PFF121" s="2"/>
      <c r="PFG121" s="2"/>
      <c r="PFH121" s="2"/>
      <c r="PFI121" s="2"/>
      <c r="PFJ121" s="2"/>
      <c r="PFK121" s="2"/>
      <c r="PFL121" s="2"/>
      <c r="PFM121" s="2"/>
      <c r="PFN121" s="2"/>
      <c r="PFO121" s="2"/>
      <c r="PFP121" s="2"/>
      <c r="PFQ121" s="2"/>
      <c r="PFR121" s="2"/>
      <c r="PFS121" s="2"/>
      <c r="PFT121" s="2"/>
      <c r="PFU121" s="2"/>
      <c r="PFV121" s="2"/>
      <c r="PFW121" s="2"/>
      <c r="PFX121" s="2"/>
      <c r="PFY121" s="2"/>
      <c r="PFZ121" s="2"/>
      <c r="PGA121" s="2"/>
      <c r="PGB121" s="2"/>
      <c r="PGC121" s="2"/>
      <c r="PGD121" s="2"/>
      <c r="PGE121" s="2"/>
      <c r="PGF121" s="2"/>
      <c r="PGG121" s="2"/>
      <c r="PGH121" s="2"/>
      <c r="PGI121" s="2"/>
      <c r="PGJ121" s="2"/>
      <c r="PGK121" s="2"/>
      <c r="PGL121" s="2"/>
      <c r="PGM121" s="2"/>
      <c r="PGN121" s="2"/>
      <c r="PGO121" s="2"/>
      <c r="PGP121" s="2"/>
      <c r="PGQ121" s="2"/>
      <c r="PGR121" s="2"/>
      <c r="PGS121" s="2"/>
      <c r="PGT121" s="2"/>
      <c r="PGU121" s="2"/>
      <c r="PGV121" s="2"/>
      <c r="PGW121" s="2"/>
      <c r="PGX121" s="2"/>
      <c r="PGY121" s="2"/>
      <c r="PGZ121" s="2"/>
      <c r="PHA121" s="2"/>
      <c r="PHB121" s="2"/>
      <c r="PHC121" s="2"/>
      <c r="PHD121" s="2"/>
      <c r="PHE121" s="2"/>
      <c r="PHF121" s="2"/>
      <c r="PHG121" s="2"/>
      <c r="PHH121" s="2"/>
      <c r="PHI121" s="2"/>
      <c r="PHJ121" s="2"/>
      <c r="PHK121" s="2"/>
      <c r="PHL121" s="2"/>
      <c r="PHM121" s="2"/>
      <c r="PHN121" s="2"/>
      <c r="PHO121" s="2"/>
      <c r="PHP121" s="2"/>
      <c r="PHQ121" s="2"/>
      <c r="PHR121" s="2"/>
      <c r="PHS121" s="2"/>
      <c r="PHT121" s="2"/>
      <c r="PHU121" s="2"/>
      <c r="PHV121" s="2"/>
      <c r="PHW121" s="2"/>
      <c r="PHX121" s="2"/>
      <c r="PHY121" s="2"/>
      <c r="PHZ121" s="2"/>
      <c r="PIA121" s="2"/>
      <c r="PIB121" s="2"/>
      <c r="PIC121" s="2"/>
      <c r="PID121" s="2"/>
      <c r="PIE121" s="2"/>
      <c r="PIF121" s="2"/>
      <c r="PIG121" s="2"/>
      <c r="PIH121" s="2"/>
      <c r="PII121" s="2"/>
      <c r="PIJ121" s="2"/>
      <c r="PIK121" s="2"/>
      <c r="PIL121" s="2"/>
      <c r="PIM121" s="2"/>
      <c r="PIN121" s="2"/>
      <c r="PIO121" s="2"/>
      <c r="PIP121" s="2"/>
      <c r="PIQ121" s="2"/>
      <c r="PIR121" s="2"/>
      <c r="PIS121" s="2"/>
      <c r="PIT121" s="2"/>
      <c r="PIU121" s="2"/>
      <c r="PIV121" s="2"/>
      <c r="PIW121" s="2"/>
      <c r="PIX121" s="2"/>
      <c r="PIY121" s="2"/>
      <c r="PIZ121" s="2"/>
      <c r="PJA121" s="2"/>
      <c r="PJB121" s="2"/>
      <c r="PJC121" s="2"/>
      <c r="PJD121" s="2"/>
      <c r="PJE121" s="2"/>
      <c r="PJF121" s="2"/>
      <c r="PJG121" s="2"/>
      <c r="PJH121" s="2"/>
      <c r="PJI121" s="2"/>
      <c r="PJJ121" s="2"/>
      <c r="PJK121" s="2"/>
      <c r="PJL121" s="2"/>
      <c r="PJM121" s="2"/>
      <c r="PJN121" s="2"/>
      <c r="PJO121" s="2"/>
      <c r="PJP121" s="2"/>
      <c r="PJQ121" s="2"/>
      <c r="PJR121" s="2"/>
      <c r="PJS121" s="2"/>
      <c r="PJT121" s="2"/>
      <c r="PJU121" s="2"/>
      <c r="PJV121" s="2"/>
      <c r="PJW121" s="2"/>
      <c r="PJX121" s="2"/>
      <c r="PJY121" s="2"/>
      <c r="PJZ121" s="2"/>
      <c r="PKA121" s="2"/>
      <c r="PKB121" s="2"/>
      <c r="PKC121" s="2"/>
      <c r="PKD121" s="2"/>
      <c r="PKE121" s="2"/>
      <c r="PKF121" s="2"/>
      <c r="PKG121" s="2"/>
      <c r="PKH121" s="2"/>
      <c r="PKI121" s="2"/>
      <c r="PKJ121" s="2"/>
      <c r="PKK121" s="2"/>
      <c r="PKL121" s="2"/>
      <c r="PKM121" s="2"/>
      <c r="PKN121" s="2"/>
      <c r="PKO121" s="2"/>
      <c r="PKP121" s="2"/>
      <c r="PKQ121" s="2"/>
      <c r="PKR121" s="2"/>
      <c r="PKS121" s="2"/>
      <c r="PKT121" s="2"/>
      <c r="PKU121" s="2"/>
      <c r="PKV121" s="2"/>
      <c r="PKW121" s="2"/>
      <c r="PKX121" s="2"/>
      <c r="PKY121" s="2"/>
      <c r="PKZ121" s="2"/>
      <c r="PLA121" s="2"/>
      <c r="PLB121" s="2"/>
      <c r="PLC121" s="2"/>
      <c r="PLD121" s="2"/>
      <c r="PLE121" s="2"/>
      <c r="PLF121" s="2"/>
      <c r="PLG121" s="2"/>
      <c r="PLH121" s="2"/>
      <c r="PLI121" s="2"/>
      <c r="PLJ121" s="2"/>
      <c r="PLK121" s="2"/>
      <c r="PLL121" s="2"/>
      <c r="PLM121" s="2"/>
      <c r="PLN121" s="2"/>
      <c r="PLO121" s="2"/>
      <c r="PLP121" s="2"/>
      <c r="PLQ121" s="2"/>
      <c r="PLR121" s="2"/>
      <c r="PLS121" s="2"/>
      <c r="PLT121" s="2"/>
      <c r="PLU121" s="2"/>
      <c r="PLV121" s="2"/>
      <c r="PLW121" s="2"/>
      <c r="PLX121" s="2"/>
      <c r="PLY121" s="2"/>
      <c r="PLZ121" s="2"/>
      <c r="PMA121" s="2"/>
      <c r="PMB121" s="2"/>
      <c r="PMC121" s="2"/>
      <c r="PMD121" s="2"/>
      <c r="PME121" s="2"/>
      <c r="PMF121" s="2"/>
      <c r="PMG121" s="2"/>
      <c r="PMH121" s="2"/>
      <c r="PMI121" s="2"/>
      <c r="PMJ121" s="2"/>
      <c r="PMK121" s="2"/>
      <c r="PML121" s="2"/>
      <c r="PMM121" s="2"/>
      <c r="PMN121" s="2"/>
      <c r="PMO121" s="2"/>
      <c r="PMP121" s="2"/>
      <c r="PMQ121" s="2"/>
      <c r="PMR121" s="2"/>
      <c r="PMS121" s="2"/>
      <c r="PMT121" s="2"/>
      <c r="PMU121" s="2"/>
      <c r="PMV121" s="2"/>
      <c r="PMW121" s="2"/>
      <c r="PMX121" s="2"/>
      <c r="PMY121" s="2"/>
      <c r="PMZ121" s="2"/>
      <c r="PNA121" s="2"/>
      <c r="PNB121" s="2"/>
      <c r="PNC121" s="2"/>
      <c r="PND121" s="2"/>
      <c r="PNE121" s="2"/>
      <c r="PNF121" s="2"/>
      <c r="PNG121" s="2"/>
      <c r="PNH121" s="2"/>
      <c r="PNI121" s="2"/>
      <c r="PNJ121" s="2"/>
      <c r="PNK121" s="2"/>
      <c r="PNL121" s="2"/>
      <c r="PNM121" s="2"/>
      <c r="PNN121" s="2"/>
      <c r="PNO121" s="2"/>
      <c r="PNP121" s="2"/>
      <c r="PNQ121" s="2"/>
      <c r="PNR121" s="2"/>
      <c r="PNS121" s="2"/>
      <c r="PNT121" s="2"/>
      <c r="PNU121" s="2"/>
      <c r="PNV121" s="2"/>
      <c r="PNW121" s="2"/>
      <c r="PNX121" s="2"/>
      <c r="PNY121" s="2"/>
      <c r="PNZ121" s="2"/>
      <c r="POA121" s="2"/>
      <c r="POB121" s="2"/>
      <c r="POC121" s="2"/>
      <c r="POD121" s="2"/>
      <c r="POE121" s="2"/>
      <c r="POF121" s="2"/>
      <c r="POG121" s="2"/>
      <c r="POH121" s="2"/>
      <c r="POI121" s="2"/>
      <c r="POJ121" s="2"/>
      <c r="POK121" s="2"/>
      <c r="POL121" s="2"/>
      <c r="POM121" s="2"/>
      <c r="PON121" s="2"/>
      <c r="POO121" s="2"/>
      <c r="POP121" s="2"/>
      <c r="POQ121" s="2"/>
      <c r="POR121" s="2"/>
      <c r="POS121" s="2"/>
      <c r="POT121" s="2"/>
      <c r="POU121" s="2"/>
      <c r="POV121" s="2"/>
      <c r="POW121" s="2"/>
      <c r="POX121" s="2"/>
      <c r="POY121" s="2"/>
      <c r="POZ121" s="2"/>
      <c r="PPA121" s="2"/>
      <c r="PPB121" s="2"/>
      <c r="PPC121" s="2"/>
      <c r="PPD121" s="2"/>
      <c r="PPE121" s="2"/>
      <c r="PPF121" s="2"/>
      <c r="PPG121" s="2"/>
      <c r="PPH121" s="2"/>
      <c r="PPI121" s="2"/>
      <c r="PPJ121" s="2"/>
      <c r="PPK121" s="2"/>
      <c r="PPL121" s="2"/>
      <c r="PPM121" s="2"/>
      <c r="PPN121" s="2"/>
      <c r="PPO121" s="2"/>
      <c r="PPP121" s="2"/>
      <c r="PPQ121" s="2"/>
      <c r="PPR121" s="2"/>
      <c r="PPS121" s="2"/>
      <c r="PPT121" s="2"/>
      <c r="PPU121" s="2"/>
      <c r="PPV121" s="2"/>
      <c r="PPW121" s="2"/>
      <c r="PPX121" s="2"/>
      <c r="PPY121" s="2"/>
      <c r="PPZ121" s="2"/>
      <c r="PQA121" s="2"/>
      <c r="PQB121" s="2"/>
      <c r="PQC121" s="2"/>
      <c r="PQD121" s="2"/>
      <c r="PQE121" s="2"/>
      <c r="PQF121" s="2"/>
      <c r="PQG121" s="2"/>
      <c r="PQH121" s="2"/>
      <c r="PQI121" s="2"/>
      <c r="PQJ121" s="2"/>
      <c r="PQK121" s="2"/>
      <c r="PQL121" s="2"/>
      <c r="PQM121" s="2"/>
      <c r="PQN121" s="2"/>
      <c r="PQO121" s="2"/>
      <c r="PQP121" s="2"/>
      <c r="PQQ121" s="2"/>
      <c r="PQR121" s="2"/>
      <c r="PQS121" s="2"/>
      <c r="PQT121" s="2"/>
      <c r="PQU121" s="2"/>
      <c r="PQV121" s="2"/>
      <c r="PQW121" s="2"/>
      <c r="PQX121" s="2"/>
      <c r="PQY121" s="2"/>
      <c r="PQZ121" s="2"/>
      <c r="PRA121" s="2"/>
      <c r="PRB121" s="2"/>
      <c r="PRC121" s="2"/>
      <c r="PRD121" s="2"/>
      <c r="PRE121" s="2"/>
      <c r="PRF121" s="2"/>
      <c r="PRG121" s="2"/>
      <c r="PRH121" s="2"/>
      <c r="PRI121" s="2"/>
      <c r="PRJ121" s="2"/>
      <c r="PRK121" s="2"/>
      <c r="PRL121" s="2"/>
      <c r="PRM121" s="2"/>
      <c r="PRN121" s="2"/>
      <c r="PRO121" s="2"/>
      <c r="PRP121" s="2"/>
      <c r="PRQ121" s="2"/>
      <c r="PRR121" s="2"/>
      <c r="PRS121" s="2"/>
      <c r="PRT121" s="2"/>
      <c r="PRU121" s="2"/>
      <c r="PRV121" s="2"/>
      <c r="PRW121" s="2"/>
      <c r="PRX121" s="2"/>
      <c r="PRY121" s="2"/>
      <c r="PRZ121" s="2"/>
      <c r="PSA121" s="2"/>
      <c r="PSB121" s="2"/>
      <c r="PSC121" s="2"/>
      <c r="PSD121" s="2"/>
      <c r="PSE121" s="2"/>
      <c r="PSF121" s="2"/>
      <c r="PSG121" s="2"/>
      <c r="PSH121" s="2"/>
      <c r="PSI121" s="2"/>
      <c r="PSJ121" s="2"/>
      <c r="PSK121" s="2"/>
      <c r="PSL121" s="2"/>
      <c r="PSM121" s="2"/>
      <c r="PSN121" s="2"/>
      <c r="PSO121" s="2"/>
      <c r="PSP121" s="2"/>
      <c r="PSQ121" s="2"/>
      <c r="PSR121" s="2"/>
      <c r="PSS121" s="2"/>
      <c r="PST121" s="2"/>
      <c r="PSU121" s="2"/>
      <c r="PSV121" s="2"/>
      <c r="PSW121" s="2"/>
      <c r="PSX121" s="2"/>
      <c r="PSY121" s="2"/>
      <c r="PSZ121" s="2"/>
      <c r="PTA121" s="2"/>
      <c r="PTB121" s="2"/>
      <c r="PTC121" s="2"/>
      <c r="PTD121" s="2"/>
      <c r="PTE121" s="2"/>
      <c r="PTF121" s="2"/>
      <c r="PTG121" s="2"/>
      <c r="PTH121" s="2"/>
      <c r="PTI121" s="2"/>
      <c r="PTJ121" s="2"/>
      <c r="PTK121" s="2"/>
      <c r="PTL121" s="2"/>
      <c r="PTM121" s="2"/>
      <c r="PTN121" s="2"/>
      <c r="PTO121" s="2"/>
      <c r="PTP121" s="2"/>
      <c r="PTQ121" s="2"/>
      <c r="PTR121" s="2"/>
      <c r="PTS121" s="2"/>
      <c r="PTT121" s="2"/>
      <c r="PTU121" s="2"/>
      <c r="PTV121" s="2"/>
      <c r="PTW121" s="2"/>
      <c r="PTX121" s="2"/>
      <c r="PTY121" s="2"/>
      <c r="PTZ121" s="2"/>
      <c r="PUA121" s="2"/>
      <c r="PUB121" s="2"/>
      <c r="PUC121" s="2"/>
      <c r="PUD121" s="2"/>
      <c r="PUE121" s="2"/>
      <c r="PUF121" s="2"/>
      <c r="PUG121" s="2"/>
      <c r="PUH121" s="2"/>
      <c r="PUI121" s="2"/>
      <c r="PUJ121" s="2"/>
      <c r="PUK121" s="2"/>
      <c r="PUL121" s="2"/>
      <c r="PUM121" s="2"/>
      <c r="PUN121" s="2"/>
      <c r="PUO121" s="2"/>
      <c r="PUP121" s="2"/>
      <c r="PUQ121" s="2"/>
      <c r="PUR121" s="2"/>
      <c r="PUS121" s="2"/>
      <c r="PUT121" s="2"/>
      <c r="PUU121" s="2"/>
      <c r="PUV121" s="2"/>
      <c r="PUW121" s="2"/>
      <c r="PUX121" s="2"/>
      <c r="PUY121" s="2"/>
      <c r="PUZ121" s="2"/>
      <c r="PVA121" s="2"/>
      <c r="PVB121" s="2"/>
      <c r="PVC121" s="2"/>
      <c r="PVD121" s="2"/>
      <c r="PVE121" s="2"/>
      <c r="PVF121" s="2"/>
      <c r="PVG121" s="2"/>
      <c r="PVH121" s="2"/>
      <c r="PVI121" s="2"/>
      <c r="PVJ121" s="2"/>
      <c r="PVK121" s="2"/>
      <c r="PVL121" s="2"/>
      <c r="PVM121" s="2"/>
      <c r="PVN121" s="2"/>
      <c r="PVO121" s="2"/>
      <c r="PVP121" s="2"/>
      <c r="PVQ121" s="2"/>
      <c r="PVR121" s="2"/>
      <c r="PVS121" s="2"/>
      <c r="PVT121" s="2"/>
      <c r="PVU121" s="2"/>
      <c r="PVV121" s="2"/>
      <c r="PVW121" s="2"/>
      <c r="PVX121" s="2"/>
      <c r="PVY121" s="2"/>
      <c r="PVZ121" s="2"/>
      <c r="PWA121" s="2"/>
      <c r="PWB121" s="2"/>
      <c r="PWC121" s="2"/>
      <c r="PWD121" s="2"/>
      <c r="PWE121" s="2"/>
      <c r="PWF121" s="2"/>
      <c r="PWG121" s="2"/>
      <c r="PWH121" s="2"/>
      <c r="PWI121" s="2"/>
      <c r="PWJ121" s="2"/>
      <c r="PWK121" s="2"/>
      <c r="PWL121" s="2"/>
      <c r="PWM121" s="2"/>
      <c r="PWN121" s="2"/>
      <c r="PWO121" s="2"/>
      <c r="PWP121" s="2"/>
      <c r="PWQ121" s="2"/>
      <c r="PWR121" s="2"/>
      <c r="PWS121" s="2"/>
      <c r="PWT121" s="2"/>
      <c r="PWU121" s="2"/>
      <c r="PWV121" s="2"/>
      <c r="PWW121" s="2"/>
      <c r="PWX121" s="2"/>
      <c r="PWY121" s="2"/>
      <c r="PWZ121" s="2"/>
      <c r="PXA121" s="2"/>
      <c r="PXB121" s="2"/>
      <c r="PXC121" s="2"/>
      <c r="PXD121" s="2"/>
      <c r="PXE121" s="2"/>
      <c r="PXF121" s="2"/>
      <c r="PXG121" s="2"/>
      <c r="PXH121" s="2"/>
      <c r="PXI121" s="2"/>
      <c r="PXJ121" s="2"/>
      <c r="PXK121" s="2"/>
      <c r="PXL121" s="2"/>
      <c r="PXM121" s="2"/>
      <c r="PXN121" s="2"/>
      <c r="PXO121" s="2"/>
      <c r="PXP121" s="2"/>
      <c r="PXQ121" s="2"/>
      <c r="PXR121" s="2"/>
      <c r="PXS121" s="2"/>
      <c r="PXT121" s="2"/>
      <c r="PXU121" s="2"/>
      <c r="PXV121" s="2"/>
      <c r="PXW121" s="2"/>
      <c r="PXX121" s="2"/>
      <c r="PXY121" s="2"/>
      <c r="PXZ121" s="2"/>
      <c r="PYA121" s="2"/>
      <c r="PYB121" s="2"/>
      <c r="PYC121" s="2"/>
      <c r="PYD121" s="2"/>
      <c r="PYE121" s="2"/>
      <c r="PYF121" s="2"/>
      <c r="PYG121" s="2"/>
      <c r="PYH121" s="2"/>
      <c r="PYI121" s="2"/>
      <c r="PYJ121" s="2"/>
      <c r="PYK121" s="2"/>
      <c r="PYL121" s="2"/>
      <c r="PYM121" s="2"/>
      <c r="PYN121" s="2"/>
      <c r="PYO121" s="2"/>
      <c r="PYP121" s="2"/>
      <c r="PYQ121" s="2"/>
      <c r="PYR121" s="2"/>
      <c r="PYS121" s="2"/>
      <c r="PYT121" s="2"/>
      <c r="PYU121" s="2"/>
      <c r="PYV121" s="2"/>
      <c r="PYW121" s="2"/>
      <c r="PYX121" s="2"/>
      <c r="PYY121" s="2"/>
      <c r="PYZ121" s="2"/>
      <c r="PZA121" s="2"/>
      <c r="PZB121" s="2"/>
      <c r="PZC121" s="2"/>
      <c r="PZD121" s="2"/>
      <c r="PZE121" s="2"/>
      <c r="PZF121" s="2"/>
      <c r="PZG121" s="2"/>
      <c r="PZH121" s="2"/>
      <c r="PZI121" s="2"/>
      <c r="PZJ121" s="2"/>
      <c r="PZK121" s="2"/>
      <c r="PZL121" s="2"/>
      <c r="PZM121" s="2"/>
      <c r="PZN121" s="2"/>
      <c r="PZO121" s="2"/>
      <c r="PZP121" s="2"/>
      <c r="PZQ121" s="2"/>
      <c r="PZR121" s="2"/>
      <c r="PZS121" s="2"/>
      <c r="PZT121" s="2"/>
      <c r="PZU121" s="2"/>
      <c r="PZV121" s="2"/>
      <c r="PZW121" s="2"/>
      <c r="PZX121" s="2"/>
      <c r="PZY121" s="2"/>
      <c r="PZZ121" s="2"/>
      <c r="QAA121" s="2"/>
      <c r="QAB121" s="2"/>
      <c r="QAC121" s="2"/>
      <c r="QAD121" s="2"/>
      <c r="QAE121" s="2"/>
      <c r="QAF121" s="2"/>
      <c r="QAG121" s="2"/>
      <c r="QAH121" s="2"/>
      <c r="QAI121" s="2"/>
      <c r="QAJ121" s="2"/>
      <c r="QAK121" s="2"/>
      <c r="QAL121" s="2"/>
      <c r="QAM121" s="2"/>
      <c r="QAN121" s="2"/>
      <c r="QAO121" s="2"/>
      <c r="QAP121" s="2"/>
      <c r="QAQ121" s="2"/>
      <c r="QAR121" s="2"/>
      <c r="QAS121" s="2"/>
      <c r="QAT121" s="2"/>
      <c r="QAU121" s="2"/>
      <c r="QAV121" s="2"/>
      <c r="QAW121" s="2"/>
      <c r="QAX121" s="2"/>
      <c r="QAY121" s="2"/>
      <c r="QAZ121" s="2"/>
      <c r="QBA121" s="2"/>
      <c r="QBB121" s="2"/>
      <c r="QBC121" s="2"/>
      <c r="QBD121" s="2"/>
      <c r="QBE121" s="2"/>
      <c r="QBF121" s="2"/>
      <c r="QBG121" s="2"/>
      <c r="QBH121" s="2"/>
      <c r="QBI121" s="2"/>
      <c r="QBJ121" s="2"/>
      <c r="QBK121" s="2"/>
      <c r="QBL121" s="2"/>
      <c r="QBM121" s="2"/>
      <c r="QBN121" s="2"/>
      <c r="QBO121" s="2"/>
      <c r="QBP121" s="2"/>
      <c r="QBQ121" s="2"/>
      <c r="QBR121" s="2"/>
      <c r="QBS121" s="2"/>
      <c r="QBT121" s="2"/>
      <c r="QBU121" s="2"/>
      <c r="QBV121" s="2"/>
      <c r="QBW121" s="2"/>
      <c r="QBX121" s="2"/>
      <c r="QBY121" s="2"/>
      <c r="QBZ121" s="2"/>
      <c r="QCA121" s="2"/>
      <c r="QCB121" s="2"/>
      <c r="QCC121" s="2"/>
      <c r="QCD121" s="2"/>
      <c r="QCE121" s="2"/>
      <c r="QCF121" s="2"/>
      <c r="QCG121" s="2"/>
      <c r="QCH121" s="2"/>
      <c r="QCI121" s="2"/>
      <c r="QCJ121" s="2"/>
      <c r="QCK121" s="2"/>
      <c r="QCL121" s="2"/>
      <c r="QCM121" s="2"/>
      <c r="QCN121" s="2"/>
      <c r="QCO121" s="2"/>
      <c r="QCP121" s="2"/>
      <c r="QCQ121" s="2"/>
      <c r="QCR121" s="2"/>
      <c r="QCS121" s="2"/>
      <c r="QCT121" s="2"/>
      <c r="QCU121" s="2"/>
      <c r="QCV121" s="2"/>
      <c r="QCW121" s="2"/>
      <c r="QCX121" s="2"/>
      <c r="QCY121" s="2"/>
      <c r="QCZ121" s="2"/>
      <c r="QDA121" s="2"/>
      <c r="QDB121" s="2"/>
      <c r="QDC121" s="2"/>
      <c r="QDD121" s="2"/>
      <c r="QDE121" s="2"/>
      <c r="QDF121" s="2"/>
      <c r="QDG121" s="2"/>
      <c r="QDH121" s="2"/>
      <c r="QDI121" s="2"/>
      <c r="QDJ121" s="2"/>
      <c r="QDK121" s="2"/>
      <c r="QDL121" s="2"/>
      <c r="QDM121" s="2"/>
      <c r="QDN121" s="2"/>
      <c r="QDO121" s="2"/>
      <c r="QDP121" s="2"/>
      <c r="QDQ121" s="2"/>
      <c r="QDR121" s="2"/>
      <c r="QDS121" s="2"/>
      <c r="QDT121" s="2"/>
      <c r="QDU121" s="2"/>
      <c r="QDV121" s="2"/>
      <c r="QDW121" s="2"/>
      <c r="QDX121" s="2"/>
      <c r="QDY121" s="2"/>
      <c r="QDZ121" s="2"/>
      <c r="QEA121" s="2"/>
      <c r="QEB121" s="2"/>
      <c r="QEC121" s="2"/>
      <c r="QED121" s="2"/>
      <c r="QEE121" s="2"/>
      <c r="QEF121" s="2"/>
      <c r="QEG121" s="2"/>
      <c r="QEH121" s="2"/>
      <c r="QEI121" s="2"/>
      <c r="QEJ121" s="2"/>
      <c r="QEK121" s="2"/>
      <c r="QEL121" s="2"/>
      <c r="QEM121" s="2"/>
      <c r="QEN121" s="2"/>
      <c r="QEO121" s="2"/>
      <c r="QEP121" s="2"/>
      <c r="QEQ121" s="2"/>
      <c r="QER121" s="2"/>
      <c r="QES121" s="2"/>
      <c r="QET121" s="2"/>
      <c r="QEU121" s="2"/>
      <c r="QEV121" s="2"/>
      <c r="QEW121" s="2"/>
      <c r="QEX121" s="2"/>
      <c r="QEY121" s="2"/>
      <c r="QEZ121" s="2"/>
      <c r="QFA121" s="2"/>
      <c r="QFB121" s="2"/>
      <c r="QFC121" s="2"/>
      <c r="QFD121" s="2"/>
      <c r="QFE121" s="2"/>
      <c r="QFF121" s="2"/>
      <c r="QFG121" s="2"/>
      <c r="QFH121" s="2"/>
      <c r="QFI121" s="2"/>
      <c r="QFJ121" s="2"/>
      <c r="QFK121" s="2"/>
      <c r="QFL121" s="2"/>
      <c r="QFM121" s="2"/>
      <c r="QFN121" s="2"/>
      <c r="QFO121" s="2"/>
      <c r="QFP121" s="2"/>
      <c r="QFQ121" s="2"/>
      <c r="QFR121" s="2"/>
      <c r="QFS121" s="2"/>
      <c r="QFT121" s="2"/>
      <c r="QFU121" s="2"/>
      <c r="QFV121" s="2"/>
      <c r="QFW121" s="2"/>
      <c r="QFX121" s="2"/>
      <c r="QFY121" s="2"/>
      <c r="QFZ121" s="2"/>
      <c r="QGA121" s="2"/>
      <c r="QGB121" s="2"/>
      <c r="QGC121" s="2"/>
      <c r="QGD121" s="2"/>
      <c r="QGE121" s="2"/>
      <c r="QGF121" s="2"/>
      <c r="QGG121" s="2"/>
      <c r="QGH121" s="2"/>
      <c r="QGI121" s="2"/>
      <c r="QGJ121" s="2"/>
      <c r="QGK121" s="2"/>
      <c r="QGL121" s="2"/>
      <c r="QGM121" s="2"/>
      <c r="QGN121" s="2"/>
      <c r="QGO121" s="2"/>
      <c r="QGP121" s="2"/>
      <c r="QGQ121" s="2"/>
      <c r="QGR121" s="2"/>
      <c r="QGS121" s="2"/>
      <c r="QGT121" s="2"/>
      <c r="QGU121" s="2"/>
      <c r="QGV121" s="2"/>
      <c r="QGW121" s="2"/>
      <c r="QGX121" s="2"/>
      <c r="QGY121" s="2"/>
      <c r="QGZ121" s="2"/>
      <c r="QHA121" s="2"/>
      <c r="QHB121" s="2"/>
      <c r="QHC121" s="2"/>
      <c r="QHD121" s="2"/>
      <c r="QHE121" s="2"/>
      <c r="QHF121" s="2"/>
      <c r="QHG121" s="2"/>
      <c r="QHH121" s="2"/>
      <c r="QHI121" s="2"/>
      <c r="QHJ121" s="2"/>
      <c r="QHK121" s="2"/>
      <c r="QHL121" s="2"/>
      <c r="QHM121" s="2"/>
      <c r="QHN121" s="2"/>
      <c r="QHO121" s="2"/>
      <c r="QHP121" s="2"/>
      <c r="QHQ121" s="2"/>
      <c r="QHR121" s="2"/>
      <c r="QHS121" s="2"/>
      <c r="QHT121" s="2"/>
      <c r="QHU121" s="2"/>
      <c r="QHV121" s="2"/>
      <c r="QHW121" s="2"/>
      <c r="QHX121" s="2"/>
      <c r="QHY121" s="2"/>
      <c r="QHZ121" s="2"/>
      <c r="QIA121" s="2"/>
      <c r="QIB121" s="2"/>
      <c r="QIC121" s="2"/>
      <c r="QID121" s="2"/>
      <c r="QIE121" s="2"/>
      <c r="QIF121" s="2"/>
      <c r="QIG121" s="2"/>
      <c r="QIH121" s="2"/>
      <c r="QII121" s="2"/>
      <c r="QIJ121" s="2"/>
      <c r="QIK121" s="2"/>
      <c r="QIL121" s="2"/>
      <c r="QIM121" s="2"/>
      <c r="QIN121" s="2"/>
      <c r="QIO121" s="2"/>
      <c r="QIP121" s="2"/>
      <c r="QIQ121" s="2"/>
      <c r="QIR121" s="2"/>
      <c r="QIS121" s="2"/>
      <c r="QIT121" s="2"/>
      <c r="QIU121" s="2"/>
      <c r="QIV121" s="2"/>
      <c r="QIW121" s="2"/>
      <c r="QIX121" s="2"/>
      <c r="QIY121" s="2"/>
      <c r="QIZ121" s="2"/>
      <c r="QJA121" s="2"/>
      <c r="QJB121" s="2"/>
      <c r="QJC121" s="2"/>
      <c r="QJD121" s="2"/>
      <c r="QJE121" s="2"/>
      <c r="QJF121" s="2"/>
      <c r="QJG121" s="2"/>
      <c r="QJH121" s="2"/>
      <c r="QJI121" s="2"/>
      <c r="QJJ121" s="2"/>
      <c r="QJK121" s="2"/>
      <c r="QJL121" s="2"/>
      <c r="QJM121" s="2"/>
      <c r="QJN121" s="2"/>
      <c r="QJO121" s="2"/>
      <c r="QJP121" s="2"/>
      <c r="QJQ121" s="2"/>
      <c r="QJR121" s="2"/>
      <c r="QJS121" s="2"/>
      <c r="QJT121" s="2"/>
      <c r="QJU121" s="2"/>
      <c r="QJV121" s="2"/>
      <c r="QJW121" s="2"/>
      <c r="QJX121" s="2"/>
      <c r="QJY121" s="2"/>
      <c r="QJZ121" s="2"/>
      <c r="QKA121" s="2"/>
      <c r="QKB121" s="2"/>
      <c r="QKC121" s="2"/>
      <c r="QKD121" s="2"/>
      <c r="QKE121" s="2"/>
      <c r="QKF121" s="2"/>
      <c r="QKG121" s="2"/>
      <c r="QKH121" s="2"/>
      <c r="QKI121" s="2"/>
      <c r="QKJ121" s="2"/>
      <c r="QKK121" s="2"/>
      <c r="QKL121" s="2"/>
      <c r="QKM121" s="2"/>
      <c r="QKN121" s="2"/>
      <c r="QKO121" s="2"/>
      <c r="QKP121" s="2"/>
      <c r="QKQ121" s="2"/>
      <c r="QKR121" s="2"/>
      <c r="QKS121" s="2"/>
      <c r="QKT121" s="2"/>
      <c r="QKU121" s="2"/>
      <c r="QKV121" s="2"/>
      <c r="QKW121" s="2"/>
      <c r="QKX121" s="2"/>
      <c r="QKY121" s="2"/>
      <c r="QKZ121" s="2"/>
      <c r="QLA121" s="2"/>
      <c r="QLB121" s="2"/>
      <c r="QLC121" s="2"/>
      <c r="QLD121" s="2"/>
      <c r="QLE121" s="2"/>
      <c r="QLF121" s="2"/>
      <c r="QLG121" s="2"/>
      <c r="QLH121" s="2"/>
      <c r="QLI121" s="2"/>
      <c r="QLJ121" s="2"/>
      <c r="QLK121" s="2"/>
      <c r="QLL121" s="2"/>
      <c r="QLM121" s="2"/>
      <c r="QLN121" s="2"/>
      <c r="QLO121" s="2"/>
      <c r="QLP121" s="2"/>
      <c r="QLQ121" s="2"/>
      <c r="QLR121" s="2"/>
      <c r="QLS121" s="2"/>
      <c r="QLT121" s="2"/>
      <c r="QLU121" s="2"/>
      <c r="QLV121" s="2"/>
      <c r="QLW121" s="2"/>
      <c r="QLX121" s="2"/>
      <c r="QLY121" s="2"/>
      <c r="QLZ121" s="2"/>
      <c r="QMA121" s="2"/>
      <c r="QMB121" s="2"/>
      <c r="QMC121" s="2"/>
      <c r="QMD121" s="2"/>
      <c r="QME121" s="2"/>
      <c r="QMF121" s="2"/>
      <c r="QMG121" s="2"/>
      <c r="QMH121" s="2"/>
      <c r="QMI121" s="2"/>
      <c r="QMJ121" s="2"/>
      <c r="QMK121" s="2"/>
      <c r="QML121" s="2"/>
      <c r="QMM121" s="2"/>
      <c r="QMN121" s="2"/>
      <c r="QMO121" s="2"/>
      <c r="QMP121" s="2"/>
      <c r="QMQ121" s="2"/>
      <c r="QMR121" s="2"/>
      <c r="QMS121" s="2"/>
      <c r="QMT121" s="2"/>
      <c r="QMU121" s="2"/>
      <c r="QMV121" s="2"/>
      <c r="QMW121" s="2"/>
      <c r="QMX121" s="2"/>
      <c r="QMY121" s="2"/>
      <c r="QMZ121" s="2"/>
      <c r="QNA121" s="2"/>
      <c r="QNB121" s="2"/>
      <c r="QNC121" s="2"/>
      <c r="QND121" s="2"/>
      <c r="QNE121" s="2"/>
      <c r="QNF121" s="2"/>
      <c r="QNG121" s="2"/>
      <c r="QNH121" s="2"/>
      <c r="QNI121" s="2"/>
      <c r="QNJ121" s="2"/>
      <c r="QNK121" s="2"/>
      <c r="QNL121" s="2"/>
      <c r="QNM121" s="2"/>
      <c r="QNN121" s="2"/>
      <c r="QNO121" s="2"/>
      <c r="QNP121" s="2"/>
      <c r="QNQ121" s="2"/>
      <c r="QNR121" s="2"/>
      <c r="QNS121" s="2"/>
      <c r="QNT121" s="2"/>
      <c r="QNU121" s="2"/>
      <c r="QNV121" s="2"/>
      <c r="QNW121" s="2"/>
      <c r="QNX121" s="2"/>
      <c r="QNY121" s="2"/>
      <c r="QNZ121" s="2"/>
      <c r="QOA121" s="2"/>
      <c r="QOB121" s="2"/>
      <c r="QOC121" s="2"/>
      <c r="QOD121" s="2"/>
      <c r="QOE121" s="2"/>
      <c r="QOF121" s="2"/>
      <c r="QOG121" s="2"/>
      <c r="QOH121" s="2"/>
      <c r="QOI121" s="2"/>
      <c r="QOJ121" s="2"/>
      <c r="QOK121" s="2"/>
      <c r="QOL121" s="2"/>
      <c r="QOM121" s="2"/>
      <c r="QON121" s="2"/>
      <c r="QOO121" s="2"/>
      <c r="QOP121" s="2"/>
      <c r="QOQ121" s="2"/>
      <c r="QOR121" s="2"/>
      <c r="QOS121" s="2"/>
      <c r="QOT121" s="2"/>
      <c r="QOU121" s="2"/>
      <c r="QOV121" s="2"/>
      <c r="QOW121" s="2"/>
      <c r="QOX121" s="2"/>
      <c r="QOY121" s="2"/>
      <c r="QOZ121" s="2"/>
      <c r="QPA121" s="2"/>
      <c r="QPB121" s="2"/>
      <c r="QPC121" s="2"/>
      <c r="QPD121" s="2"/>
      <c r="QPE121" s="2"/>
      <c r="QPF121" s="2"/>
      <c r="QPG121" s="2"/>
      <c r="QPH121" s="2"/>
      <c r="QPI121" s="2"/>
      <c r="QPJ121" s="2"/>
      <c r="QPK121" s="2"/>
      <c r="QPL121" s="2"/>
      <c r="QPM121" s="2"/>
      <c r="QPN121" s="2"/>
      <c r="QPO121" s="2"/>
      <c r="QPP121" s="2"/>
      <c r="QPQ121" s="2"/>
      <c r="QPR121" s="2"/>
      <c r="QPS121" s="2"/>
      <c r="QPT121" s="2"/>
      <c r="QPU121" s="2"/>
      <c r="QPV121" s="2"/>
      <c r="QPW121" s="2"/>
      <c r="QPX121" s="2"/>
      <c r="QPY121" s="2"/>
      <c r="QPZ121" s="2"/>
      <c r="QQA121" s="2"/>
      <c r="QQB121" s="2"/>
      <c r="QQC121" s="2"/>
      <c r="QQD121" s="2"/>
      <c r="QQE121" s="2"/>
      <c r="QQF121" s="2"/>
      <c r="QQG121" s="2"/>
      <c r="QQH121" s="2"/>
      <c r="QQI121" s="2"/>
      <c r="QQJ121" s="2"/>
      <c r="QQK121" s="2"/>
      <c r="QQL121" s="2"/>
      <c r="QQM121" s="2"/>
      <c r="QQN121" s="2"/>
      <c r="QQO121" s="2"/>
      <c r="QQP121" s="2"/>
      <c r="QQQ121" s="2"/>
      <c r="QQR121" s="2"/>
      <c r="QQS121" s="2"/>
      <c r="QQT121" s="2"/>
      <c r="QQU121" s="2"/>
      <c r="QQV121" s="2"/>
      <c r="QQW121" s="2"/>
      <c r="QQX121" s="2"/>
      <c r="QQY121" s="2"/>
      <c r="QQZ121" s="2"/>
      <c r="QRA121" s="2"/>
      <c r="QRB121" s="2"/>
      <c r="QRC121" s="2"/>
      <c r="QRD121" s="2"/>
      <c r="QRE121" s="2"/>
      <c r="QRF121" s="2"/>
      <c r="QRG121" s="2"/>
      <c r="QRH121" s="2"/>
      <c r="QRI121" s="2"/>
      <c r="QRJ121" s="2"/>
      <c r="QRK121" s="2"/>
      <c r="QRL121" s="2"/>
      <c r="QRM121" s="2"/>
      <c r="QRN121" s="2"/>
      <c r="QRO121" s="2"/>
      <c r="QRP121" s="2"/>
      <c r="QRQ121" s="2"/>
      <c r="QRR121" s="2"/>
      <c r="QRS121" s="2"/>
      <c r="QRT121" s="2"/>
      <c r="QRU121" s="2"/>
      <c r="QRV121" s="2"/>
      <c r="QRW121" s="2"/>
      <c r="QRX121" s="2"/>
      <c r="QRY121" s="2"/>
      <c r="QRZ121" s="2"/>
      <c r="QSA121" s="2"/>
      <c r="QSB121" s="2"/>
      <c r="QSC121" s="2"/>
      <c r="QSD121" s="2"/>
      <c r="QSE121" s="2"/>
      <c r="QSF121" s="2"/>
      <c r="QSG121" s="2"/>
      <c r="QSH121" s="2"/>
      <c r="QSI121" s="2"/>
      <c r="QSJ121" s="2"/>
      <c r="QSK121" s="2"/>
      <c r="QSL121" s="2"/>
      <c r="QSM121" s="2"/>
      <c r="QSN121" s="2"/>
      <c r="QSO121" s="2"/>
      <c r="QSP121" s="2"/>
      <c r="QSQ121" s="2"/>
      <c r="QSR121" s="2"/>
      <c r="QSS121" s="2"/>
      <c r="QST121" s="2"/>
      <c r="QSU121" s="2"/>
      <c r="QSV121" s="2"/>
      <c r="QSW121" s="2"/>
      <c r="QSX121" s="2"/>
      <c r="QSY121" s="2"/>
      <c r="QSZ121" s="2"/>
      <c r="QTA121" s="2"/>
      <c r="QTB121" s="2"/>
      <c r="QTC121" s="2"/>
      <c r="QTD121" s="2"/>
      <c r="QTE121" s="2"/>
      <c r="QTF121" s="2"/>
      <c r="QTG121" s="2"/>
      <c r="QTH121" s="2"/>
      <c r="QTI121" s="2"/>
      <c r="QTJ121" s="2"/>
      <c r="QTK121" s="2"/>
      <c r="QTL121" s="2"/>
      <c r="QTM121" s="2"/>
      <c r="QTN121" s="2"/>
      <c r="QTO121" s="2"/>
      <c r="QTP121" s="2"/>
      <c r="QTQ121" s="2"/>
      <c r="QTR121" s="2"/>
      <c r="QTS121" s="2"/>
      <c r="QTT121" s="2"/>
      <c r="QTU121" s="2"/>
      <c r="QTV121" s="2"/>
      <c r="QTW121" s="2"/>
      <c r="QTX121" s="2"/>
      <c r="QTY121" s="2"/>
      <c r="QTZ121" s="2"/>
      <c r="QUA121" s="2"/>
      <c r="QUB121" s="2"/>
      <c r="QUC121" s="2"/>
      <c r="QUD121" s="2"/>
      <c r="QUE121" s="2"/>
      <c r="QUF121" s="2"/>
      <c r="QUG121" s="2"/>
      <c r="QUH121" s="2"/>
      <c r="QUI121" s="2"/>
      <c r="QUJ121" s="2"/>
      <c r="QUK121" s="2"/>
      <c r="QUL121" s="2"/>
      <c r="QUM121" s="2"/>
      <c r="QUN121" s="2"/>
      <c r="QUO121" s="2"/>
      <c r="QUP121" s="2"/>
      <c r="QUQ121" s="2"/>
      <c r="QUR121" s="2"/>
      <c r="QUS121" s="2"/>
      <c r="QUT121" s="2"/>
      <c r="QUU121" s="2"/>
      <c r="QUV121" s="2"/>
      <c r="QUW121" s="2"/>
      <c r="QUX121" s="2"/>
      <c r="QUY121" s="2"/>
      <c r="QUZ121" s="2"/>
      <c r="QVA121" s="2"/>
      <c r="QVB121" s="2"/>
      <c r="QVC121" s="2"/>
      <c r="QVD121" s="2"/>
      <c r="QVE121" s="2"/>
      <c r="QVF121" s="2"/>
      <c r="QVG121" s="2"/>
      <c r="QVH121" s="2"/>
      <c r="QVI121" s="2"/>
      <c r="QVJ121" s="2"/>
      <c r="QVK121" s="2"/>
      <c r="QVL121" s="2"/>
      <c r="QVM121" s="2"/>
      <c r="QVN121" s="2"/>
      <c r="QVO121" s="2"/>
      <c r="QVP121" s="2"/>
      <c r="QVQ121" s="2"/>
      <c r="QVR121" s="2"/>
      <c r="QVS121" s="2"/>
      <c r="QVT121" s="2"/>
      <c r="QVU121" s="2"/>
      <c r="QVV121" s="2"/>
      <c r="QVW121" s="2"/>
      <c r="QVX121" s="2"/>
      <c r="QVY121" s="2"/>
      <c r="QVZ121" s="2"/>
      <c r="QWA121" s="2"/>
      <c r="QWB121" s="2"/>
      <c r="QWC121" s="2"/>
      <c r="QWD121" s="2"/>
      <c r="QWE121" s="2"/>
      <c r="QWF121" s="2"/>
      <c r="QWG121" s="2"/>
      <c r="QWH121" s="2"/>
      <c r="QWI121" s="2"/>
      <c r="QWJ121" s="2"/>
      <c r="QWK121" s="2"/>
      <c r="QWL121" s="2"/>
      <c r="QWM121" s="2"/>
      <c r="QWN121" s="2"/>
      <c r="QWO121" s="2"/>
      <c r="QWP121" s="2"/>
      <c r="QWQ121" s="2"/>
      <c r="QWR121" s="2"/>
      <c r="QWS121" s="2"/>
      <c r="QWT121" s="2"/>
      <c r="QWU121" s="2"/>
      <c r="QWV121" s="2"/>
      <c r="QWW121" s="2"/>
      <c r="QWX121" s="2"/>
      <c r="QWY121" s="2"/>
      <c r="QWZ121" s="2"/>
      <c r="QXA121" s="2"/>
      <c r="QXB121" s="2"/>
      <c r="QXC121" s="2"/>
      <c r="QXD121" s="2"/>
      <c r="QXE121" s="2"/>
      <c r="QXF121" s="2"/>
      <c r="QXG121" s="2"/>
      <c r="QXH121" s="2"/>
      <c r="QXI121" s="2"/>
      <c r="QXJ121" s="2"/>
      <c r="QXK121" s="2"/>
      <c r="QXL121" s="2"/>
      <c r="QXM121" s="2"/>
      <c r="QXN121" s="2"/>
      <c r="QXO121" s="2"/>
      <c r="QXP121" s="2"/>
      <c r="QXQ121" s="2"/>
      <c r="QXR121" s="2"/>
      <c r="QXS121" s="2"/>
      <c r="QXT121" s="2"/>
      <c r="QXU121" s="2"/>
      <c r="QXV121" s="2"/>
      <c r="QXW121" s="2"/>
      <c r="QXX121" s="2"/>
      <c r="QXY121" s="2"/>
      <c r="QXZ121" s="2"/>
      <c r="QYA121" s="2"/>
      <c r="QYB121" s="2"/>
      <c r="QYC121" s="2"/>
      <c r="QYD121" s="2"/>
      <c r="QYE121" s="2"/>
      <c r="QYF121" s="2"/>
      <c r="QYG121" s="2"/>
      <c r="QYH121" s="2"/>
      <c r="QYI121" s="2"/>
      <c r="QYJ121" s="2"/>
      <c r="QYK121" s="2"/>
      <c r="QYL121" s="2"/>
      <c r="QYM121" s="2"/>
      <c r="QYN121" s="2"/>
      <c r="QYO121" s="2"/>
      <c r="QYP121" s="2"/>
      <c r="QYQ121" s="2"/>
      <c r="QYR121" s="2"/>
      <c r="QYS121" s="2"/>
      <c r="QYT121" s="2"/>
      <c r="QYU121" s="2"/>
      <c r="QYV121" s="2"/>
      <c r="QYW121" s="2"/>
      <c r="QYX121" s="2"/>
      <c r="QYY121" s="2"/>
      <c r="QYZ121" s="2"/>
      <c r="QZA121" s="2"/>
      <c r="QZB121" s="2"/>
      <c r="QZC121" s="2"/>
      <c r="QZD121" s="2"/>
      <c r="QZE121" s="2"/>
      <c r="QZF121" s="2"/>
      <c r="QZG121" s="2"/>
      <c r="QZH121" s="2"/>
      <c r="QZI121" s="2"/>
      <c r="QZJ121" s="2"/>
      <c r="QZK121" s="2"/>
      <c r="QZL121" s="2"/>
      <c r="QZM121" s="2"/>
      <c r="QZN121" s="2"/>
      <c r="QZO121" s="2"/>
      <c r="QZP121" s="2"/>
      <c r="QZQ121" s="2"/>
      <c r="QZR121" s="2"/>
      <c r="QZS121" s="2"/>
      <c r="QZT121" s="2"/>
      <c r="QZU121" s="2"/>
      <c r="QZV121" s="2"/>
      <c r="QZW121" s="2"/>
      <c r="QZX121" s="2"/>
      <c r="QZY121" s="2"/>
      <c r="QZZ121" s="2"/>
      <c r="RAA121" s="2"/>
      <c r="RAB121" s="2"/>
      <c r="RAC121" s="2"/>
      <c r="RAD121" s="2"/>
      <c r="RAE121" s="2"/>
      <c r="RAF121" s="2"/>
      <c r="RAG121" s="2"/>
      <c r="RAH121" s="2"/>
      <c r="RAI121" s="2"/>
      <c r="RAJ121" s="2"/>
      <c r="RAK121" s="2"/>
      <c r="RAL121" s="2"/>
      <c r="RAM121" s="2"/>
      <c r="RAN121" s="2"/>
      <c r="RAO121" s="2"/>
      <c r="RAP121" s="2"/>
      <c r="RAQ121" s="2"/>
      <c r="RAR121" s="2"/>
      <c r="RAS121" s="2"/>
      <c r="RAT121" s="2"/>
      <c r="RAU121" s="2"/>
      <c r="RAV121" s="2"/>
      <c r="RAW121" s="2"/>
      <c r="RAX121" s="2"/>
      <c r="RAY121" s="2"/>
      <c r="RAZ121" s="2"/>
      <c r="RBA121" s="2"/>
      <c r="RBB121" s="2"/>
      <c r="RBC121" s="2"/>
      <c r="RBD121" s="2"/>
      <c r="RBE121" s="2"/>
      <c r="RBF121" s="2"/>
      <c r="RBG121" s="2"/>
      <c r="RBH121" s="2"/>
      <c r="RBI121" s="2"/>
      <c r="RBJ121" s="2"/>
      <c r="RBK121" s="2"/>
      <c r="RBL121" s="2"/>
      <c r="RBM121" s="2"/>
      <c r="RBN121" s="2"/>
      <c r="RBO121" s="2"/>
      <c r="RBP121" s="2"/>
      <c r="RBQ121" s="2"/>
      <c r="RBR121" s="2"/>
      <c r="RBS121" s="2"/>
      <c r="RBT121" s="2"/>
      <c r="RBU121" s="2"/>
      <c r="RBV121" s="2"/>
      <c r="RBW121" s="2"/>
      <c r="RBX121" s="2"/>
      <c r="RBY121" s="2"/>
      <c r="RBZ121" s="2"/>
      <c r="RCA121" s="2"/>
      <c r="RCB121" s="2"/>
      <c r="RCC121" s="2"/>
      <c r="RCD121" s="2"/>
      <c r="RCE121" s="2"/>
      <c r="RCF121" s="2"/>
      <c r="RCG121" s="2"/>
      <c r="RCH121" s="2"/>
      <c r="RCI121" s="2"/>
      <c r="RCJ121" s="2"/>
      <c r="RCK121" s="2"/>
      <c r="RCL121" s="2"/>
      <c r="RCM121" s="2"/>
      <c r="RCN121" s="2"/>
      <c r="RCO121" s="2"/>
      <c r="RCP121" s="2"/>
      <c r="RCQ121" s="2"/>
      <c r="RCR121" s="2"/>
      <c r="RCS121" s="2"/>
      <c r="RCT121" s="2"/>
      <c r="RCU121" s="2"/>
      <c r="RCV121" s="2"/>
      <c r="RCW121" s="2"/>
      <c r="RCX121" s="2"/>
      <c r="RCY121" s="2"/>
      <c r="RCZ121" s="2"/>
      <c r="RDA121" s="2"/>
      <c r="RDB121" s="2"/>
      <c r="RDC121" s="2"/>
      <c r="RDD121" s="2"/>
      <c r="RDE121" s="2"/>
      <c r="RDF121" s="2"/>
      <c r="RDG121" s="2"/>
      <c r="RDH121" s="2"/>
      <c r="RDI121" s="2"/>
      <c r="RDJ121" s="2"/>
      <c r="RDK121" s="2"/>
      <c r="RDL121" s="2"/>
      <c r="RDM121" s="2"/>
      <c r="RDN121" s="2"/>
      <c r="RDO121" s="2"/>
      <c r="RDP121" s="2"/>
      <c r="RDQ121" s="2"/>
      <c r="RDR121" s="2"/>
      <c r="RDS121" s="2"/>
      <c r="RDT121" s="2"/>
      <c r="RDU121" s="2"/>
      <c r="RDV121" s="2"/>
      <c r="RDW121" s="2"/>
      <c r="RDX121" s="2"/>
      <c r="RDY121" s="2"/>
      <c r="RDZ121" s="2"/>
      <c r="REA121" s="2"/>
      <c r="REB121" s="2"/>
      <c r="REC121" s="2"/>
      <c r="RED121" s="2"/>
      <c r="REE121" s="2"/>
      <c r="REF121" s="2"/>
      <c r="REG121" s="2"/>
      <c r="REH121" s="2"/>
      <c r="REI121" s="2"/>
      <c r="REJ121" s="2"/>
      <c r="REK121" s="2"/>
      <c r="REL121" s="2"/>
      <c r="REM121" s="2"/>
      <c r="REN121" s="2"/>
      <c r="REO121" s="2"/>
      <c r="REP121" s="2"/>
      <c r="REQ121" s="2"/>
      <c r="RER121" s="2"/>
      <c r="RES121" s="2"/>
      <c r="RET121" s="2"/>
      <c r="REU121" s="2"/>
      <c r="REV121" s="2"/>
      <c r="REW121" s="2"/>
      <c r="REX121" s="2"/>
      <c r="REY121" s="2"/>
      <c r="REZ121" s="2"/>
      <c r="RFA121" s="2"/>
      <c r="RFB121" s="2"/>
      <c r="RFC121" s="2"/>
      <c r="RFD121" s="2"/>
      <c r="RFE121" s="2"/>
      <c r="RFF121" s="2"/>
      <c r="RFG121" s="2"/>
      <c r="RFH121" s="2"/>
      <c r="RFI121" s="2"/>
      <c r="RFJ121" s="2"/>
      <c r="RFK121" s="2"/>
      <c r="RFL121" s="2"/>
      <c r="RFM121" s="2"/>
      <c r="RFN121" s="2"/>
      <c r="RFO121" s="2"/>
      <c r="RFP121" s="2"/>
      <c r="RFQ121" s="2"/>
      <c r="RFR121" s="2"/>
      <c r="RFS121" s="2"/>
      <c r="RFT121" s="2"/>
      <c r="RFU121" s="2"/>
      <c r="RFV121" s="2"/>
      <c r="RFW121" s="2"/>
      <c r="RFX121" s="2"/>
      <c r="RFY121" s="2"/>
      <c r="RFZ121" s="2"/>
      <c r="RGA121" s="2"/>
      <c r="RGB121" s="2"/>
      <c r="RGC121" s="2"/>
      <c r="RGD121" s="2"/>
      <c r="RGE121" s="2"/>
      <c r="RGF121" s="2"/>
      <c r="RGG121" s="2"/>
      <c r="RGH121" s="2"/>
      <c r="RGI121" s="2"/>
      <c r="RGJ121" s="2"/>
      <c r="RGK121" s="2"/>
      <c r="RGL121" s="2"/>
      <c r="RGM121" s="2"/>
      <c r="RGN121" s="2"/>
      <c r="RGO121" s="2"/>
      <c r="RGP121" s="2"/>
      <c r="RGQ121" s="2"/>
      <c r="RGR121" s="2"/>
      <c r="RGS121" s="2"/>
      <c r="RGT121" s="2"/>
      <c r="RGU121" s="2"/>
      <c r="RGV121" s="2"/>
      <c r="RGW121" s="2"/>
      <c r="RGX121" s="2"/>
      <c r="RGY121" s="2"/>
      <c r="RGZ121" s="2"/>
      <c r="RHA121" s="2"/>
      <c r="RHB121" s="2"/>
      <c r="RHC121" s="2"/>
      <c r="RHD121" s="2"/>
      <c r="RHE121" s="2"/>
      <c r="RHF121" s="2"/>
      <c r="RHG121" s="2"/>
      <c r="RHH121" s="2"/>
      <c r="RHI121" s="2"/>
      <c r="RHJ121" s="2"/>
      <c r="RHK121" s="2"/>
      <c r="RHL121" s="2"/>
      <c r="RHM121" s="2"/>
      <c r="RHN121" s="2"/>
      <c r="RHO121" s="2"/>
      <c r="RHP121" s="2"/>
      <c r="RHQ121" s="2"/>
      <c r="RHR121" s="2"/>
      <c r="RHS121" s="2"/>
      <c r="RHT121" s="2"/>
      <c r="RHU121" s="2"/>
      <c r="RHV121" s="2"/>
      <c r="RHW121" s="2"/>
      <c r="RHX121" s="2"/>
      <c r="RHY121" s="2"/>
      <c r="RHZ121" s="2"/>
      <c r="RIA121" s="2"/>
      <c r="RIB121" s="2"/>
      <c r="RIC121" s="2"/>
      <c r="RID121" s="2"/>
      <c r="RIE121" s="2"/>
      <c r="RIF121" s="2"/>
      <c r="RIG121" s="2"/>
      <c r="RIH121" s="2"/>
      <c r="RII121" s="2"/>
      <c r="RIJ121" s="2"/>
      <c r="RIK121" s="2"/>
      <c r="RIL121" s="2"/>
      <c r="RIM121" s="2"/>
      <c r="RIN121" s="2"/>
      <c r="RIO121" s="2"/>
      <c r="RIP121" s="2"/>
      <c r="RIQ121" s="2"/>
      <c r="RIR121" s="2"/>
      <c r="RIS121" s="2"/>
      <c r="RIT121" s="2"/>
      <c r="RIU121" s="2"/>
      <c r="RIV121" s="2"/>
      <c r="RIW121" s="2"/>
      <c r="RIX121" s="2"/>
      <c r="RIY121" s="2"/>
      <c r="RIZ121" s="2"/>
      <c r="RJA121" s="2"/>
      <c r="RJB121" s="2"/>
      <c r="RJC121" s="2"/>
      <c r="RJD121" s="2"/>
      <c r="RJE121" s="2"/>
      <c r="RJF121" s="2"/>
      <c r="RJG121" s="2"/>
      <c r="RJH121" s="2"/>
      <c r="RJI121" s="2"/>
      <c r="RJJ121" s="2"/>
      <c r="RJK121" s="2"/>
      <c r="RJL121" s="2"/>
      <c r="RJM121" s="2"/>
      <c r="RJN121" s="2"/>
      <c r="RJO121" s="2"/>
      <c r="RJP121" s="2"/>
      <c r="RJQ121" s="2"/>
      <c r="RJR121" s="2"/>
      <c r="RJS121" s="2"/>
      <c r="RJT121" s="2"/>
      <c r="RJU121" s="2"/>
      <c r="RJV121" s="2"/>
      <c r="RJW121" s="2"/>
      <c r="RJX121" s="2"/>
      <c r="RJY121" s="2"/>
      <c r="RJZ121" s="2"/>
      <c r="RKA121" s="2"/>
      <c r="RKB121" s="2"/>
      <c r="RKC121" s="2"/>
      <c r="RKD121" s="2"/>
      <c r="RKE121" s="2"/>
      <c r="RKF121" s="2"/>
      <c r="RKG121" s="2"/>
      <c r="RKH121" s="2"/>
      <c r="RKI121" s="2"/>
      <c r="RKJ121" s="2"/>
      <c r="RKK121" s="2"/>
      <c r="RKL121" s="2"/>
      <c r="RKM121" s="2"/>
      <c r="RKN121" s="2"/>
      <c r="RKO121" s="2"/>
      <c r="RKP121" s="2"/>
      <c r="RKQ121" s="2"/>
      <c r="RKR121" s="2"/>
      <c r="RKS121" s="2"/>
      <c r="RKT121" s="2"/>
      <c r="RKU121" s="2"/>
      <c r="RKV121" s="2"/>
      <c r="RKW121" s="2"/>
      <c r="RKX121" s="2"/>
      <c r="RKY121" s="2"/>
      <c r="RKZ121" s="2"/>
      <c r="RLA121" s="2"/>
      <c r="RLB121" s="2"/>
      <c r="RLC121" s="2"/>
      <c r="RLD121" s="2"/>
      <c r="RLE121" s="2"/>
      <c r="RLF121" s="2"/>
      <c r="RLG121" s="2"/>
      <c r="RLH121" s="2"/>
      <c r="RLI121" s="2"/>
      <c r="RLJ121" s="2"/>
      <c r="RLK121" s="2"/>
      <c r="RLL121" s="2"/>
      <c r="RLM121" s="2"/>
      <c r="RLN121" s="2"/>
      <c r="RLO121" s="2"/>
      <c r="RLP121" s="2"/>
      <c r="RLQ121" s="2"/>
      <c r="RLR121" s="2"/>
      <c r="RLS121" s="2"/>
      <c r="RLT121" s="2"/>
      <c r="RLU121" s="2"/>
      <c r="RLV121" s="2"/>
      <c r="RLW121" s="2"/>
      <c r="RLX121" s="2"/>
      <c r="RLY121" s="2"/>
      <c r="RLZ121" s="2"/>
      <c r="RMA121" s="2"/>
      <c r="RMB121" s="2"/>
      <c r="RMC121" s="2"/>
      <c r="RMD121" s="2"/>
      <c r="RME121" s="2"/>
      <c r="RMF121" s="2"/>
      <c r="RMG121" s="2"/>
      <c r="RMH121" s="2"/>
      <c r="RMI121" s="2"/>
      <c r="RMJ121" s="2"/>
      <c r="RMK121" s="2"/>
      <c r="RML121" s="2"/>
      <c r="RMM121" s="2"/>
      <c r="RMN121" s="2"/>
      <c r="RMO121" s="2"/>
      <c r="RMP121" s="2"/>
      <c r="RMQ121" s="2"/>
      <c r="RMR121" s="2"/>
      <c r="RMS121" s="2"/>
      <c r="RMT121" s="2"/>
      <c r="RMU121" s="2"/>
      <c r="RMV121" s="2"/>
      <c r="RMW121" s="2"/>
      <c r="RMX121" s="2"/>
      <c r="RMY121" s="2"/>
      <c r="RMZ121" s="2"/>
      <c r="RNA121" s="2"/>
      <c r="RNB121" s="2"/>
      <c r="RNC121" s="2"/>
      <c r="RND121" s="2"/>
      <c r="RNE121" s="2"/>
      <c r="RNF121" s="2"/>
      <c r="RNG121" s="2"/>
      <c r="RNH121" s="2"/>
      <c r="RNI121" s="2"/>
      <c r="RNJ121" s="2"/>
      <c r="RNK121" s="2"/>
      <c r="RNL121" s="2"/>
      <c r="RNM121" s="2"/>
      <c r="RNN121" s="2"/>
      <c r="RNO121" s="2"/>
      <c r="RNP121" s="2"/>
      <c r="RNQ121" s="2"/>
      <c r="RNR121" s="2"/>
      <c r="RNS121" s="2"/>
      <c r="RNT121" s="2"/>
      <c r="RNU121" s="2"/>
      <c r="RNV121" s="2"/>
      <c r="RNW121" s="2"/>
      <c r="RNX121" s="2"/>
      <c r="RNY121" s="2"/>
      <c r="RNZ121" s="2"/>
      <c r="ROA121" s="2"/>
      <c r="ROB121" s="2"/>
      <c r="ROC121" s="2"/>
      <c r="ROD121" s="2"/>
      <c r="ROE121" s="2"/>
      <c r="ROF121" s="2"/>
      <c r="ROG121" s="2"/>
      <c r="ROH121" s="2"/>
      <c r="ROI121" s="2"/>
      <c r="ROJ121" s="2"/>
      <c r="ROK121" s="2"/>
      <c r="ROL121" s="2"/>
      <c r="ROM121" s="2"/>
      <c r="RON121" s="2"/>
      <c r="ROO121" s="2"/>
      <c r="ROP121" s="2"/>
      <c r="ROQ121" s="2"/>
      <c r="ROR121" s="2"/>
      <c r="ROS121" s="2"/>
      <c r="ROT121" s="2"/>
      <c r="ROU121" s="2"/>
      <c r="ROV121" s="2"/>
      <c r="ROW121" s="2"/>
      <c r="ROX121" s="2"/>
      <c r="ROY121" s="2"/>
      <c r="ROZ121" s="2"/>
      <c r="RPA121" s="2"/>
      <c r="RPB121" s="2"/>
      <c r="RPC121" s="2"/>
      <c r="RPD121" s="2"/>
      <c r="RPE121" s="2"/>
      <c r="RPF121" s="2"/>
      <c r="RPG121" s="2"/>
      <c r="RPH121" s="2"/>
      <c r="RPI121" s="2"/>
      <c r="RPJ121" s="2"/>
      <c r="RPK121" s="2"/>
      <c r="RPL121" s="2"/>
      <c r="RPM121" s="2"/>
      <c r="RPN121" s="2"/>
      <c r="RPO121" s="2"/>
      <c r="RPP121" s="2"/>
      <c r="RPQ121" s="2"/>
      <c r="RPR121" s="2"/>
      <c r="RPS121" s="2"/>
      <c r="RPT121" s="2"/>
      <c r="RPU121" s="2"/>
      <c r="RPV121" s="2"/>
      <c r="RPW121" s="2"/>
      <c r="RPX121" s="2"/>
      <c r="RPY121" s="2"/>
      <c r="RPZ121" s="2"/>
      <c r="RQA121" s="2"/>
      <c r="RQB121" s="2"/>
      <c r="RQC121" s="2"/>
      <c r="RQD121" s="2"/>
      <c r="RQE121" s="2"/>
      <c r="RQF121" s="2"/>
      <c r="RQG121" s="2"/>
      <c r="RQH121" s="2"/>
      <c r="RQI121" s="2"/>
      <c r="RQJ121" s="2"/>
      <c r="RQK121" s="2"/>
      <c r="RQL121" s="2"/>
      <c r="RQM121" s="2"/>
      <c r="RQN121" s="2"/>
      <c r="RQO121" s="2"/>
      <c r="RQP121" s="2"/>
      <c r="RQQ121" s="2"/>
      <c r="RQR121" s="2"/>
      <c r="RQS121" s="2"/>
      <c r="RQT121" s="2"/>
      <c r="RQU121" s="2"/>
      <c r="RQV121" s="2"/>
      <c r="RQW121" s="2"/>
      <c r="RQX121" s="2"/>
      <c r="RQY121" s="2"/>
      <c r="RQZ121" s="2"/>
      <c r="RRA121" s="2"/>
      <c r="RRB121" s="2"/>
      <c r="RRC121" s="2"/>
      <c r="RRD121" s="2"/>
      <c r="RRE121" s="2"/>
      <c r="RRF121" s="2"/>
      <c r="RRG121" s="2"/>
      <c r="RRH121" s="2"/>
      <c r="RRI121" s="2"/>
      <c r="RRJ121" s="2"/>
      <c r="RRK121" s="2"/>
      <c r="RRL121" s="2"/>
      <c r="RRM121" s="2"/>
      <c r="RRN121" s="2"/>
      <c r="RRO121" s="2"/>
      <c r="RRP121" s="2"/>
      <c r="RRQ121" s="2"/>
      <c r="RRR121" s="2"/>
      <c r="RRS121" s="2"/>
      <c r="RRT121" s="2"/>
      <c r="RRU121" s="2"/>
      <c r="RRV121" s="2"/>
      <c r="RRW121" s="2"/>
      <c r="RRX121" s="2"/>
      <c r="RRY121" s="2"/>
      <c r="RRZ121" s="2"/>
      <c r="RSA121" s="2"/>
      <c r="RSB121" s="2"/>
      <c r="RSC121" s="2"/>
      <c r="RSD121" s="2"/>
      <c r="RSE121" s="2"/>
      <c r="RSF121" s="2"/>
      <c r="RSG121" s="2"/>
      <c r="RSH121" s="2"/>
      <c r="RSI121" s="2"/>
      <c r="RSJ121" s="2"/>
      <c r="RSK121" s="2"/>
      <c r="RSL121" s="2"/>
      <c r="RSM121" s="2"/>
      <c r="RSN121" s="2"/>
      <c r="RSO121" s="2"/>
      <c r="RSP121" s="2"/>
      <c r="RSQ121" s="2"/>
      <c r="RSR121" s="2"/>
      <c r="RSS121" s="2"/>
      <c r="RST121" s="2"/>
      <c r="RSU121" s="2"/>
      <c r="RSV121" s="2"/>
      <c r="RSW121" s="2"/>
      <c r="RSX121" s="2"/>
      <c r="RSY121" s="2"/>
      <c r="RSZ121" s="2"/>
      <c r="RTA121" s="2"/>
      <c r="RTB121" s="2"/>
      <c r="RTC121" s="2"/>
      <c r="RTD121" s="2"/>
      <c r="RTE121" s="2"/>
      <c r="RTF121" s="2"/>
      <c r="RTG121" s="2"/>
      <c r="RTH121" s="2"/>
      <c r="RTI121" s="2"/>
      <c r="RTJ121" s="2"/>
      <c r="RTK121" s="2"/>
      <c r="RTL121" s="2"/>
      <c r="RTM121" s="2"/>
      <c r="RTN121" s="2"/>
      <c r="RTO121" s="2"/>
      <c r="RTP121" s="2"/>
      <c r="RTQ121" s="2"/>
      <c r="RTR121" s="2"/>
      <c r="RTS121" s="2"/>
      <c r="RTT121" s="2"/>
      <c r="RTU121" s="2"/>
      <c r="RTV121" s="2"/>
      <c r="RTW121" s="2"/>
      <c r="RTX121" s="2"/>
      <c r="RTY121" s="2"/>
      <c r="RTZ121" s="2"/>
      <c r="RUA121" s="2"/>
      <c r="RUB121" s="2"/>
      <c r="RUC121" s="2"/>
      <c r="RUD121" s="2"/>
      <c r="RUE121" s="2"/>
      <c r="RUF121" s="2"/>
      <c r="RUG121" s="2"/>
      <c r="RUH121" s="2"/>
      <c r="RUI121" s="2"/>
      <c r="RUJ121" s="2"/>
      <c r="RUK121" s="2"/>
      <c r="RUL121" s="2"/>
      <c r="RUM121" s="2"/>
      <c r="RUN121" s="2"/>
      <c r="RUO121" s="2"/>
      <c r="RUP121" s="2"/>
      <c r="RUQ121" s="2"/>
      <c r="RUR121" s="2"/>
      <c r="RUS121" s="2"/>
      <c r="RUT121" s="2"/>
      <c r="RUU121" s="2"/>
      <c r="RUV121" s="2"/>
      <c r="RUW121" s="2"/>
      <c r="RUX121" s="2"/>
      <c r="RUY121" s="2"/>
      <c r="RUZ121" s="2"/>
      <c r="RVA121" s="2"/>
      <c r="RVB121" s="2"/>
      <c r="RVC121" s="2"/>
      <c r="RVD121" s="2"/>
      <c r="RVE121" s="2"/>
      <c r="RVF121" s="2"/>
      <c r="RVG121" s="2"/>
      <c r="RVH121" s="2"/>
      <c r="RVI121" s="2"/>
      <c r="RVJ121" s="2"/>
      <c r="RVK121" s="2"/>
      <c r="RVL121" s="2"/>
      <c r="RVM121" s="2"/>
      <c r="RVN121" s="2"/>
      <c r="RVO121" s="2"/>
      <c r="RVP121" s="2"/>
      <c r="RVQ121" s="2"/>
      <c r="RVR121" s="2"/>
      <c r="RVS121" s="2"/>
      <c r="RVT121" s="2"/>
      <c r="RVU121" s="2"/>
      <c r="RVV121" s="2"/>
      <c r="RVW121" s="2"/>
      <c r="RVX121" s="2"/>
      <c r="RVY121" s="2"/>
      <c r="RVZ121" s="2"/>
      <c r="RWA121" s="2"/>
      <c r="RWB121" s="2"/>
      <c r="RWC121" s="2"/>
      <c r="RWD121" s="2"/>
      <c r="RWE121" s="2"/>
      <c r="RWF121" s="2"/>
      <c r="RWG121" s="2"/>
      <c r="RWH121" s="2"/>
      <c r="RWI121" s="2"/>
      <c r="RWJ121" s="2"/>
      <c r="RWK121" s="2"/>
      <c r="RWL121" s="2"/>
      <c r="RWM121" s="2"/>
      <c r="RWN121" s="2"/>
      <c r="RWO121" s="2"/>
      <c r="RWP121" s="2"/>
      <c r="RWQ121" s="2"/>
      <c r="RWR121" s="2"/>
      <c r="RWS121" s="2"/>
      <c r="RWT121" s="2"/>
      <c r="RWU121" s="2"/>
      <c r="RWV121" s="2"/>
      <c r="RWW121" s="2"/>
      <c r="RWX121" s="2"/>
      <c r="RWY121" s="2"/>
      <c r="RWZ121" s="2"/>
      <c r="RXA121" s="2"/>
      <c r="RXB121" s="2"/>
      <c r="RXC121" s="2"/>
      <c r="RXD121" s="2"/>
      <c r="RXE121" s="2"/>
      <c r="RXF121" s="2"/>
      <c r="RXG121" s="2"/>
      <c r="RXH121" s="2"/>
      <c r="RXI121" s="2"/>
      <c r="RXJ121" s="2"/>
      <c r="RXK121" s="2"/>
      <c r="RXL121" s="2"/>
      <c r="RXM121" s="2"/>
      <c r="RXN121" s="2"/>
      <c r="RXO121" s="2"/>
      <c r="RXP121" s="2"/>
      <c r="RXQ121" s="2"/>
      <c r="RXR121" s="2"/>
      <c r="RXS121" s="2"/>
      <c r="RXT121" s="2"/>
      <c r="RXU121" s="2"/>
      <c r="RXV121" s="2"/>
      <c r="RXW121" s="2"/>
      <c r="RXX121" s="2"/>
      <c r="RXY121" s="2"/>
      <c r="RXZ121" s="2"/>
      <c r="RYA121" s="2"/>
      <c r="RYB121" s="2"/>
      <c r="RYC121" s="2"/>
      <c r="RYD121" s="2"/>
      <c r="RYE121" s="2"/>
      <c r="RYF121" s="2"/>
      <c r="RYG121" s="2"/>
      <c r="RYH121" s="2"/>
      <c r="RYI121" s="2"/>
      <c r="RYJ121" s="2"/>
      <c r="RYK121" s="2"/>
      <c r="RYL121" s="2"/>
      <c r="RYM121" s="2"/>
      <c r="RYN121" s="2"/>
      <c r="RYO121" s="2"/>
      <c r="RYP121" s="2"/>
      <c r="RYQ121" s="2"/>
      <c r="RYR121" s="2"/>
      <c r="RYS121" s="2"/>
      <c r="RYT121" s="2"/>
      <c r="RYU121" s="2"/>
      <c r="RYV121" s="2"/>
      <c r="RYW121" s="2"/>
      <c r="RYX121" s="2"/>
      <c r="RYY121" s="2"/>
      <c r="RYZ121" s="2"/>
      <c r="RZA121" s="2"/>
      <c r="RZB121" s="2"/>
      <c r="RZC121" s="2"/>
      <c r="RZD121" s="2"/>
      <c r="RZE121" s="2"/>
      <c r="RZF121" s="2"/>
      <c r="RZG121" s="2"/>
      <c r="RZH121" s="2"/>
      <c r="RZI121" s="2"/>
      <c r="RZJ121" s="2"/>
      <c r="RZK121" s="2"/>
      <c r="RZL121" s="2"/>
      <c r="RZM121" s="2"/>
      <c r="RZN121" s="2"/>
      <c r="RZO121" s="2"/>
      <c r="RZP121" s="2"/>
      <c r="RZQ121" s="2"/>
      <c r="RZR121" s="2"/>
      <c r="RZS121" s="2"/>
      <c r="RZT121" s="2"/>
      <c r="RZU121" s="2"/>
      <c r="RZV121" s="2"/>
      <c r="RZW121" s="2"/>
      <c r="RZX121" s="2"/>
      <c r="RZY121" s="2"/>
      <c r="RZZ121" s="2"/>
      <c r="SAA121" s="2"/>
      <c r="SAB121" s="2"/>
      <c r="SAC121" s="2"/>
      <c r="SAD121" s="2"/>
      <c r="SAE121" s="2"/>
      <c r="SAF121" s="2"/>
      <c r="SAG121" s="2"/>
      <c r="SAH121" s="2"/>
      <c r="SAI121" s="2"/>
      <c r="SAJ121" s="2"/>
      <c r="SAK121" s="2"/>
      <c r="SAL121" s="2"/>
      <c r="SAM121" s="2"/>
      <c r="SAN121" s="2"/>
      <c r="SAO121" s="2"/>
      <c r="SAP121" s="2"/>
      <c r="SAQ121" s="2"/>
      <c r="SAR121" s="2"/>
      <c r="SAS121" s="2"/>
      <c r="SAT121" s="2"/>
      <c r="SAU121" s="2"/>
      <c r="SAV121" s="2"/>
      <c r="SAW121" s="2"/>
      <c r="SAX121" s="2"/>
      <c r="SAY121" s="2"/>
      <c r="SAZ121" s="2"/>
      <c r="SBA121" s="2"/>
      <c r="SBB121" s="2"/>
      <c r="SBC121" s="2"/>
      <c r="SBD121" s="2"/>
      <c r="SBE121" s="2"/>
      <c r="SBF121" s="2"/>
      <c r="SBG121" s="2"/>
      <c r="SBH121" s="2"/>
      <c r="SBI121" s="2"/>
      <c r="SBJ121" s="2"/>
      <c r="SBK121" s="2"/>
      <c r="SBL121" s="2"/>
      <c r="SBM121" s="2"/>
      <c r="SBN121" s="2"/>
      <c r="SBO121" s="2"/>
      <c r="SBP121" s="2"/>
      <c r="SBQ121" s="2"/>
      <c r="SBR121" s="2"/>
      <c r="SBS121" s="2"/>
      <c r="SBT121" s="2"/>
      <c r="SBU121" s="2"/>
      <c r="SBV121" s="2"/>
      <c r="SBW121" s="2"/>
      <c r="SBX121" s="2"/>
      <c r="SBY121" s="2"/>
      <c r="SBZ121" s="2"/>
      <c r="SCA121" s="2"/>
      <c r="SCB121" s="2"/>
      <c r="SCC121" s="2"/>
      <c r="SCD121" s="2"/>
      <c r="SCE121" s="2"/>
      <c r="SCF121" s="2"/>
      <c r="SCG121" s="2"/>
      <c r="SCH121" s="2"/>
      <c r="SCI121" s="2"/>
      <c r="SCJ121" s="2"/>
      <c r="SCK121" s="2"/>
      <c r="SCL121" s="2"/>
      <c r="SCM121" s="2"/>
      <c r="SCN121" s="2"/>
      <c r="SCO121" s="2"/>
      <c r="SCP121" s="2"/>
      <c r="SCQ121" s="2"/>
      <c r="SCR121" s="2"/>
      <c r="SCS121" s="2"/>
      <c r="SCT121" s="2"/>
      <c r="SCU121" s="2"/>
      <c r="SCV121" s="2"/>
      <c r="SCW121" s="2"/>
      <c r="SCX121" s="2"/>
      <c r="SCY121" s="2"/>
      <c r="SCZ121" s="2"/>
      <c r="SDA121" s="2"/>
      <c r="SDB121" s="2"/>
      <c r="SDC121" s="2"/>
      <c r="SDD121" s="2"/>
      <c r="SDE121" s="2"/>
      <c r="SDF121" s="2"/>
      <c r="SDG121" s="2"/>
      <c r="SDH121" s="2"/>
      <c r="SDI121" s="2"/>
      <c r="SDJ121" s="2"/>
      <c r="SDK121" s="2"/>
      <c r="SDL121" s="2"/>
      <c r="SDM121" s="2"/>
      <c r="SDN121" s="2"/>
      <c r="SDO121" s="2"/>
      <c r="SDP121" s="2"/>
      <c r="SDQ121" s="2"/>
      <c r="SDR121" s="2"/>
      <c r="SDS121" s="2"/>
      <c r="SDT121" s="2"/>
      <c r="SDU121" s="2"/>
      <c r="SDV121" s="2"/>
      <c r="SDW121" s="2"/>
      <c r="SDX121" s="2"/>
      <c r="SDY121" s="2"/>
      <c r="SDZ121" s="2"/>
      <c r="SEA121" s="2"/>
      <c r="SEB121" s="2"/>
      <c r="SEC121" s="2"/>
      <c r="SED121" s="2"/>
      <c r="SEE121" s="2"/>
      <c r="SEF121" s="2"/>
      <c r="SEG121" s="2"/>
      <c r="SEH121" s="2"/>
      <c r="SEI121" s="2"/>
      <c r="SEJ121" s="2"/>
      <c r="SEK121" s="2"/>
      <c r="SEL121" s="2"/>
      <c r="SEM121" s="2"/>
      <c r="SEN121" s="2"/>
      <c r="SEO121" s="2"/>
      <c r="SEP121" s="2"/>
      <c r="SEQ121" s="2"/>
      <c r="SER121" s="2"/>
      <c r="SES121" s="2"/>
      <c r="SET121" s="2"/>
      <c r="SEU121" s="2"/>
      <c r="SEV121" s="2"/>
      <c r="SEW121" s="2"/>
      <c r="SEX121" s="2"/>
      <c r="SEY121" s="2"/>
      <c r="SEZ121" s="2"/>
      <c r="SFA121" s="2"/>
      <c r="SFB121" s="2"/>
      <c r="SFC121" s="2"/>
      <c r="SFD121" s="2"/>
      <c r="SFE121" s="2"/>
      <c r="SFF121" s="2"/>
      <c r="SFG121" s="2"/>
      <c r="SFH121" s="2"/>
      <c r="SFI121" s="2"/>
      <c r="SFJ121" s="2"/>
      <c r="SFK121" s="2"/>
      <c r="SFL121" s="2"/>
      <c r="SFM121" s="2"/>
      <c r="SFN121" s="2"/>
      <c r="SFO121" s="2"/>
      <c r="SFP121" s="2"/>
      <c r="SFQ121" s="2"/>
      <c r="SFR121" s="2"/>
      <c r="SFS121" s="2"/>
      <c r="SFT121" s="2"/>
      <c r="SFU121" s="2"/>
      <c r="SFV121" s="2"/>
      <c r="SFW121" s="2"/>
      <c r="SFX121" s="2"/>
      <c r="SFY121" s="2"/>
      <c r="SFZ121" s="2"/>
      <c r="SGA121" s="2"/>
      <c r="SGB121" s="2"/>
      <c r="SGC121" s="2"/>
      <c r="SGD121" s="2"/>
      <c r="SGE121" s="2"/>
      <c r="SGF121" s="2"/>
      <c r="SGG121" s="2"/>
      <c r="SGH121" s="2"/>
      <c r="SGI121" s="2"/>
      <c r="SGJ121" s="2"/>
      <c r="SGK121" s="2"/>
      <c r="SGL121" s="2"/>
      <c r="SGM121" s="2"/>
      <c r="SGN121" s="2"/>
      <c r="SGO121" s="2"/>
      <c r="SGP121" s="2"/>
      <c r="SGQ121" s="2"/>
      <c r="SGR121" s="2"/>
      <c r="SGS121" s="2"/>
      <c r="SGT121" s="2"/>
      <c r="SGU121" s="2"/>
      <c r="SGV121" s="2"/>
      <c r="SGW121" s="2"/>
      <c r="SGX121" s="2"/>
      <c r="SGY121" s="2"/>
      <c r="SGZ121" s="2"/>
      <c r="SHA121" s="2"/>
      <c r="SHB121" s="2"/>
      <c r="SHC121" s="2"/>
      <c r="SHD121" s="2"/>
      <c r="SHE121" s="2"/>
      <c r="SHF121" s="2"/>
      <c r="SHG121" s="2"/>
      <c r="SHH121" s="2"/>
      <c r="SHI121" s="2"/>
      <c r="SHJ121" s="2"/>
      <c r="SHK121" s="2"/>
      <c r="SHL121" s="2"/>
      <c r="SHM121" s="2"/>
      <c r="SHN121" s="2"/>
      <c r="SHO121" s="2"/>
      <c r="SHP121" s="2"/>
      <c r="SHQ121" s="2"/>
      <c r="SHR121" s="2"/>
      <c r="SHS121" s="2"/>
      <c r="SHT121" s="2"/>
      <c r="SHU121" s="2"/>
      <c r="SHV121" s="2"/>
      <c r="SHW121" s="2"/>
      <c r="SHX121" s="2"/>
      <c r="SHY121" s="2"/>
      <c r="SHZ121" s="2"/>
      <c r="SIA121" s="2"/>
      <c r="SIB121" s="2"/>
      <c r="SIC121" s="2"/>
      <c r="SID121" s="2"/>
      <c r="SIE121" s="2"/>
      <c r="SIF121" s="2"/>
      <c r="SIG121" s="2"/>
      <c r="SIH121" s="2"/>
      <c r="SII121" s="2"/>
      <c r="SIJ121" s="2"/>
      <c r="SIK121" s="2"/>
      <c r="SIL121" s="2"/>
      <c r="SIM121" s="2"/>
      <c r="SIN121" s="2"/>
      <c r="SIO121" s="2"/>
      <c r="SIP121" s="2"/>
      <c r="SIQ121" s="2"/>
      <c r="SIR121" s="2"/>
      <c r="SIS121" s="2"/>
      <c r="SIT121" s="2"/>
      <c r="SIU121" s="2"/>
      <c r="SIV121" s="2"/>
      <c r="SIW121" s="2"/>
      <c r="SIX121" s="2"/>
      <c r="SIY121" s="2"/>
      <c r="SIZ121" s="2"/>
      <c r="SJA121" s="2"/>
      <c r="SJB121" s="2"/>
      <c r="SJC121" s="2"/>
      <c r="SJD121" s="2"/>
      <c r="SJE121" s="2"/>
      <c r="SJF121" s="2"/>
      <c r="SJG121" s="2"/>
      <c r="SJH121" s="2"/>
      <c r="SJI121" s="2"/>
      <c r="SJJ121" s="2"/>
      <c r="SJK121" s="2"/>
      <c r="SJL121" s="2"/>
      <c r="SJM121" s="2"/>
      <c r="SJN121" s="2"/>
      <c r="SJO121" s="2"/>
      <c r="SJP121" s="2"/>
      <c r="SJQ121" s="2"/>
      <c r="SJR121" s="2"/>
      <c r="SJS121" s="2"/>
      <c r="SJT121" s="2"/>
      <c r="SJU121" s="2"/>
      <c r="SJV121" s="2"/>
      <c r="SJW121" s="2"/>
      <c r="SJX121" s="2"/>
      <c r="SJY121" s="2"/>
      <c r="SJZ121" s="2"/>
      <c r="SKA121" s="2"/>
      <c r="SKB121" s="2"/>
      <c r="SKC121" s="2"/>
      <c r="SKD121" s="2"/>
      <c r="SKE121" s="2"/>
      <c r="SKF121" s="2"/>
      <c r="SKG121" s="2"/>
      <c r="SKH121" s="2"/>
      <c r="SKI121" s="2"/>
      <c r="SKJ121" s="2"/>
      <c r="SKK121" s="2"/>
      <c r="SKL121" s="2"/>
      <c r="SKM121" s="2"/>
      <c r="SKN121" s="2"/>
      <c r="SKO121" s="2"/>
      <c r="SKP121" s="2"/>
      <c r="SKQ121" s="2"/>
      <c r="SKR121" s="2"/>
      <c r="SKS121" s="2"/>
      <c r="SKT121" s="2"/>
      <c r="SKU121" s="2"/>
      <c r="SKV121" s="2"/>
      <c r="SKW121" s="2"/>
      <c r="SKX121" s="2"/>
      <c r="SKY121" s="2"/>
      <c r="SKZ121" s="2"/>
      <c r="SLA121" s="2"/>
      <c r="SLB121" s="2"/>
      <c r="SLC121" s="2"/>
      <c r="SLD121" s="2"/>
      <c r="SLE121" s="2"/>
      <c r="SLF121" s="2"/>
      <c r="SLG121" s="2"/>
      <c r="SLH121" s="2"/>
      <c r="SLI121" s="2"/>
      <c r="SLJ121" s="2"/>
      <c r="SLK121" s="2"/>
      <c r="SLL121" s="2"/>
      <c r="SLM121" s="2"/>
      <c r="SLN121" s="2"/>
      <c r="SLO121" s="2"/>
      <c r="SLP121" s="2"/>
      <c r="SLQ121" s="2"/>
      <c r="SLR121" s="2"/>
      <c r="SLS121" s="2"/>
      <c r="SLT121" s="2"/>
      <c r="SLU121" s="2"/>
      <c r="SLV121" s="2"/>
      <c r="SLW121" s="2"/>
      <c r="SLX121" s="2"/>
      <c r="SLY121" s="2"/>
      <c r="SLZ121" s="2"/>
      <c r="SMA121" s="2"/>
      <c r="SMB121" s="2"/>
      <c r="SMC121" s="2"/>
      <c r="SMD121" s="2"/>
      <c r="SME121" s="2"/>
      <c r="SMF121" s="2"/>
      <c r="SMG121" s="2"/>
      <c r="SMH121" s="2"/>
      <c r="SMI121" s="2"/>
      <c r="SMJ121" s="2"/>
      <c r="SMK121" s="2"/>
      <c r="SML121" s="2"/>
      <c r="SMM121" s="2"/>
      <c r="SMN121" s="2"/>
      <c r="SMO121" s="2"/>
      <c r="SMP121" s="2"/>
      <c r="SMQ121" s="2"/>
      <c r="SMR121" s="2"/>
      <c r="SMS121" s="2"/>
      <c r="SMT121" s="2"/>
      <c r="SMU121" s="2"/>
      <c r="SMV121" s="2"/>
      <c r="SMW121" s="2"/>
      <c r="SMX121" s="2"/>
      <c r="SMY121" s="2"/>
      <c r="SMZ121" s="2"/>
      <c r="SNA121" s="2"/>
      <c r="SNB121" s="2"/>
      <c r="SNC121" s="2"/>
      <c r="SND121" s="2"/>
      <c r="SNE121" s="2"/>
      <c r="SNF121" s="2"/>
      <c r="SNG121" s="2"/>
      <c r="SNH121" s="2"/>
      <c r="SNI121" s="2"/>
      <c r="SNJ121" s="2"/>
      <c r="SNK121" s="2"/>
      <c r="SNL121" s="2"/>
      <c r="SNM121" s="2"/>
      <c r="SNN121" s="2"/>
      <c r="SNO121" s="2"/>
      <c r="SNP121" s="2"/>
      <c r="SNQ121" s="2"/>
      <c r="SNR121" s="2"/>
      <c r="SNS121" s="2"/>
      <c r="SNT121" s="2"/>
      <c r="SNU121" s="2"/>
      <c r="SNV121" s="2"/>
      <c r="SNW121" s="2"/>
      <c r="SNX121" s="2"/>
      <c r="SNY121" s="2"/>
      <c r="SNZ121" s="2"/>
      <c r="SOA121" s="2"/>
      <c r="SOB121" s="2"/>
      <c r="SOC121" s="2"/>
      <c r="SOD121" s="2"/>
      <c r="SOE121" s="2"/>
      <c r="SOF121" s="2"/>
      <c r="SOG121" s="2"/>
      <c r="SOH121" s="2"/>
      <c r="SOI121" s="2"/>
      <c r="SOJ121" s="2"/>
      <c r="SOK121" s="2"/>
      <c r="SOL121" s="2"/>
      <c r="SOM121" s="2"/>
      <c r="SON121" s="2"/>
      <c r="SOO121" s="2"/>
      <c r="SOP121" s="2"/>
      <c r="SOQ121" s="2"/>
      <c r="SOR121" s="2"/>
      <c r="SOS121" s="2"/>
      <c r="SOT121" s="2"/>
      <c r="SOU121" s="2"/>
      <c r="SOV121" s="2"/>
      <c r="SOW121" s="2"/>
      <c r="SOX121" s="2"/>
      <c r="SOY121" s="2"/>
      <c r="SOZ121" s="2"/>
      <c r="SPA121" s="2"/>
      <c r="SPB121" s="2"/>
      <c r="SPC121" s="2"/>
      <c r="SPD121" s="2"/>
      <c r="SPE121" s="2"/>
      <c r="SPF121" s="2"/>
      <c r="SPG121" s="2"/>
      <c r="SPH121" s="2"/>
      <c r="SPI121" s="2"/>
      <c r="SPJ121" s="2"/>
      <c r="SPK121" s="2"/>
      <c r="SPL121" s="2"/>
      <c r="SPM121" s="2"/>
      <c r="SPN121" s="2"/>
      <c r="SPO121" s="2"/>
      <c r="SPP121" s="2"/>
      <c r="SPQ121" s="2"/>
      <c r="SPR121" s="2"/>
      <c r="SPS121" s="2"/>
      <c r="SPT121" s="2"/>
      <c r="SPU121" s="2"/>
      <c r="SPV121" s="2"/>
      <c r="SPW121" s="2"/>
      <c r="SPX121" s="2"/>
      <c r="SPY121" s="2"/>
      <c r="SPZ121" s="2"/>
      <c r="SQA121" s="2"/>
      <c r="SQB121" s="2"/>
      <c r="SQC121" s="2"/>
      <c r="SQD121" s="2"/>
      <c r="SQE121" s="2"/>
      <c r="SQF121" s="2"/>
      <c r="SQG121" s="2"/>
      <c r="SQH121" s="2"/>
      <c r="SQI121" s="2"/>
      <c r="SQJ121" s="2"/>
      <c r="SQK121" s="2"/>
      <c r="SQL121" s="2"/>
      <c r="SQM121" s="2"/>
      <c r="SQN121" s="2"/>
      <c r="SQO121" s="2"/>
      <c r="SQP121" s="2"/>
      <c r="SQQ121" s="2"/>
      <c r="SQR121" s="2"/>
      <c r="SQS121" s="2"/>
      <c r="SQT121" s="2"/>
      <c r="SQU121" s="2"/>
      <c r="SQV121" s="2"/>
      <c r="SQW121" s="2"/>
      <c r="SQX121" s="2"/>
      <c r="SQY121" s="2"/>
      <c r="SQZ121" s="2"/>
      <c r="SRA121" s="2"/>
      <c r="SRB121" s="2"/>
      <c r="SRC121" s="2"/>
      <c r="SRD121" s="2"/>
      <c r="SRE121" s="2"/>
      <c r="SRF121" s="2"/>
      <c r="SRG121" s="2"/>
      <c r="SRH121" s="2"/>
      <c r="SRI121" s="2"/>
      <c r="SRJ121" s="2"/>
      <c r="SRK121" s="2"/>
      <c r="SRL121" s="2"/>
      <c r="SRM121" s="2"/>
      <c r="SRN121" s="2"/>
      <c r="SRO121" s="2"/>
      <c r="SRP121" s="2"/>
      <c r="SRQ121" s="2"/>
      <c r="SRR121" s="2"/>
      <c r="SRS121" s="2"/>
      <c r="SRT121" s="2"/>
      <c r="SRU121" s="2"/>
      <c r="SRV121" s="2"/>
      <c r="SRW121" s="2"/>
      <c r="SRX121" s="2"/>
      <c r="SRY121" s="2"/>
      <c r="SRZ121" s="2"/>
      <c r="SSA121" s="2"/>
      <c r="SSB121" s="2"/>
      <c r="SSC121" s="2"/>
      <c r="SSD121" s="2"/>
      <c r="SSE121" s="2"/>
      <c r="SSF121" s="2"/>
      <c r="SSG121" s="2"/>
      <c r="SSH121" s="2"/>
      <c r="SSI121" s="2"/>
      <c r="SSJ121" s="2"/>
      <c r="SSK121" s="2"/>
      <c r="SSL121" s="2"/>
      <c r="SSM121" s="2"/>
      <c r="SSN121" s="2"/>
      <c r="SSO121" s="2"/>
      <c r="SSP121" s="2"/>
      <c r="SSQ121" s="2"/>
      <c r="SSR121" s="2"/>
      <c r="SSS121" s="2"/>
      <c r="SST121" s="2"/>
      <c r="SSU121" s="2"/>
      <c r="SSV121" s="2"/>
      <c r="SSW121" s="2"/>
      <c r="SSX121" s="2"/>
      <c r="SSY121" s="2"/>
      <c r="SSZ121" s="2"/>
      <c r="STA121" s="2"/>
      <c r="STB121" s="2"/>
      <c r="STC121" s="2"/>
      <c r="STD121" s="2"/>
      <c r="STE121" s="2"/>
      <c r="STF121" s="2"/>
      <c r="STG121" s="2"/>
      <c r="STH121" s="2"/>
      <c r="STI121" s="2"/>
      <c r="STJ121" s="2"/>
      <c r="STK121" s="2"/>
      <c r="STL121" s="2"/>
      <c r="STM121" s="2"/>
      <c r="STN121" s="2"/>
      <c r="STO121" s="2"/>
      <c r="STP121" s="2"/>
      <c r="STQ121" s="2"/>
      <c r="STR121" s="2"/>
      <c r="STS121" s="2"/>
      <c r="STT121" s="2"/>
      <c r="STU121" s="2"/>
      <c r="STV121" s="2"/>
      <c r="STW121" s="2"/>
      <c r="STX121" s="2"/>
      <c r="STY121" s="2"/>
      <c r="STZ121" s="2"/>
      <c r="SUA121" s="2"/>
      <c r="SUB121" s="2"/>
      <c r="SUC121" s="2"/>
      <c r="SUD121" s="2"/>
      <c r="SUE121" s="2"/>
      <c r="SUF121" s="2"/>
      <c r="SUG121" s="2"/>
      <c r="SUH121" s="2"/>
      <c r="SUI121" s="2"/>
      <c r="SUJ121" s="2"/>
      <c r="SUK121" s="2"/>
      <c r="SUL121" s="2"/>
      <c r="SUM121" s="2"/>
      <c r="SUN121" s="2"/>
      <c r="SUO121" s="2"/>
      <c r="SUP121" s="2"/>
      <c r="SUQ121" s="2"/>
      <c r="SUR121" s="2"/>
      <c r="SUS121" s="2"/>
      <c r="SUT121" s="2"/>
      <c r="SUU121" s="2"/>
      <c r="SUV121" s="2"/>
      <c r="SUW121" s="2"/>
      <c r="SUX121" s="2"/>
      <c r="SUY121" s="2"/>
      <c r="SUZ121" s="2"/>
      <c r="SVA121" s="2"/>
      <c r="SVB121" s="2"/>
      <c r="SVC121" s="2"/>
      <c r="SVD121" s="2"/>
      <c r="SVE121" s="2"/>
      <c r="SVF121" s="2"/>
      <c r="SVG121" s="2"/>
      <c r="SVH121" s="2"/>
      <c r="SVI121" s="2"/>
      <c r="SVJ121" s="2"/>
      <c r="SVK121" s="2"/>
      <c r="SVL121" s="2"/>
      <c r="SVM121" s="2"/>
      <c r="SVN121" s="2"/>
      <c r="SVO121" s="2"/>
      <c r="SVP121" s="2"/>
      <c r="SVQ121" s="2"/>
      <c r="SVR121" s="2"/>
      <c r="SVS121" s="2"/>
      <c r="SVT121" s="2"/>
      <c r="SVU121" s="2"/>
      <c r="SVV121" s="2"/>
      <c r="SVW121" s="2"/>
      <c r="SVX121" s="2"/>
      <c r="SVY121" s="2"/>
      <c r="SVZ121" s="2"/>
      <c r="SWA121" s="2"/>
      <c r="SWB121" s="2"/>
      <c r="SWC121" s="2"/>
      <c r="SWD121" s="2"/>
      <c r="SWE121" s="2"/>
      <c r="SWF121" s="2"/>
      <c r="SWG121" s="2"/>
      <c r="SWH121" s="2"/>
      <c r="SWI121" s="2"/>
      <c r="SWJ121" s="2"/>
      <c r="SWK121" s="2"/>
      <c r="SWL121" s="2"/>
      <c r="SWM121" s="2"/>
      <c r="SWN121" s="2"/>
      <c r="SWO121" s="2"/>
      <c r="SWP121" s="2"/>
      <c r="SWQ121" s="2"/>
      <c r="SWR121" s="2"/>
      <c r="SWS121" s="2"/>
      <c r="SWT121" s="2"/>
      <c r="SWU121" s="2"/>
      <c r="SWV121" s="2"/>
      <c r="SWW121" s="2"/>
      <c r="SWX121" s="2"/>
      <c r="SWY121" s="2"/>
      <c r="SWZ121" s="2"/>
      <c r="SXA121" s="2"/>
      <c r="SXB121" s="2"/>
      <c r="SXC121" s="2"/>
      <c r="SXD121" s="2"/>
      <c r="SXE121" s="2"/>
      <c r="SXF121" s="2"/>
      <c r="SXG121" s="2"/>
      <c r="SXH121" s="2"/>
      <c r="SXI121" s="2"/>
      <c r="SXJ121" s="2"/>
      <c r="SXK121" s="2"/>
      <c r="SXL121" s="2"/>
      <c r="SXM121" s="2"/>
      <c r="SXN121" s="2"/>
      <c r="SXO121" s="2"/>
      <c r="SXP121" s="2"/>
      <c r="SXQ121" s="2"/>
      <c r="SXR121" s="2"/>
      <c r="SXS121" s="2"/>
      <c r="SXT121" s="2"/>
      <c r="SXU121" s="2"/>
      <c r="SXV121" s="2"/>
      <c r="SXW121" s="2"/>
      <c r="SXX121" s="2"/>
      <c r="SXY121" s="2"/>
      <c r="SXZ121" s="2"/>
      <c r="SYA121" s="2"/>
      <c r="SYB121" s="2"/>
      <c r="SYC121" s="2"/>
      <c r="SYD121" s="2"/>
      <c r="SYE121" s="2"/>
      <c r="SYF121" s="2"/>
      <c r="SYG121" s="2"/>
      <c r="SYH121" s="2"/>
      <c r="SYI121" s="2"/>
      <c r="SYJ121" s="2"/>
      <c r="SYK121" s="2"/>
      <c r="SYL121" s="2"/>
      <c r="SYM121" s="2"/>
      <c r="SYN121" s="2"/>
      <c r="SYO121" s="2"/>
      <c r="SYP121" s="2"/>
      <c r="SYQ121" s="2"/>
      <c r="SYR121" s="2"/>
      <c r="SYS121" s="2"/>
      <c r="SYT121" s="2"/>
      <c r="SYU121" s="2"/>
      <c r="SYV121" s="2"/>
      <c r="SYW121" s="2"/>
      <c r="SYX121" s="2"/>
      <c r="SYY121" s="2"/>
      <c r="SYZ121" s="2"/>
      <c r="SZA121" s="2"/>
      <c r="SZB121" s="2"/>
      <c r="SZC121" s="2"/>
      <c r="SZD121" s="2"/>
      <c r="SZE121" s="2"/>
      <c r="SZF121" s="2"/>
      <c r="SZG121" s="2"/>
      <c r="SZH121" s="2"/>
      <c r="SZI121" s="2"/>
      <c r="SZJ121" s="2"/>
      <c r="SZK121" s="2"/>
      <c r="SZL121" s="2"/>
      <c r="SZM121" s="2"/>
      <c r="SZN121" s="2"/>
      <c r="SZO121" s="2"/>
      <c r="SZP121" s="2"/>
      <c r="SZQ121" s="2"/>
      <c r="SZR121" s="2"/>
      <c r="SZS121" s="2"/>
      <c r="SZT121" s="2"/>
      <c r="SZU121" s="2"/>
      <c r="SZV121" s="2"/>
      <c r="SZW121" s="2"/>
      <c r="SZX121" s="2"/>
      <c r="SZY121" s="2"/>
      <c r="SZZ121" s="2"/>
      <c r="TAA121" s="2"/>
      <c r="TAB121" s="2"/>
      <c r="TAC121" s="2"/>
      <c r="TAD121" s="2"/>
      <c r="TAE121" s="2"/>
      <c r="TAF121" s="2"/>
      <c r="TAG121" s="2"/>
      <c r="TAH121" s="2"/>
      <c r="TAI121" s="2"/>
      <c r="TAJ121" s="2"/>
      <c r="TAK121" s="2"/>
      <c r="TAL121" s="2"/>
      <c r="TAM121" s="2"/>
      <c r="TAN121" s="2"/>
      <c r="TAO121" s="2"/>
      <c r="TAP121" s="2"/>
      <c r="TAQ121" s="2"/>
      <c r="TAR121" s="2"/>
      <c r="TAS121" s="2"/>
      <c r="TAT121" s="2"/>
      <c r="TAU121" s="2"/>
      <c r="TAV121" s="2"/>
      <c r="TAW121" s="2"/>
      <c r="TAX121" s="2"/>
      <c r="TAY121" s="2"/>
      <c r="TAZ121" s="2"/>
      <c r="TBA121" s="2"/>
      <c r="TBB121" s="2"/>
      <c r="TBC121" s="2"/>
      <c r="TBD121" s="2"/>
      <c r="TBE121" s="2"/>
      <c r="TBF121" s="2"/>
      <c r="TBG121" s="2"/>
      <c r="TBH121" s="2"/>
      <c r="TBI121" s="2"/>
      <c r="TBJ121" s="2"/>
      <c r="TBK121" s="2"/>
      <c r="TBL121" s="2"/>
      <c r="TBM121" s="2"/>
      <c r="TBN121" s="2"/>
      <c r="TBO121" s="2"/>
      <c r="TBP121" s="2"/>
      <c r="TBQ121" s="2"/>
      <c r="TBR121" s="2"/>
      <c r="TBS121" s="2"/>
      <c r="TBT121" s="2"/>
      <c r="TBU121" s="2"/>
      <c r="TBV121" s="2"/>
      <c r="TBW121" s="2"/>
      <c r="TBX121" s="2"/>
      <c r="TBY121" s="2"/>
      <c r="TBZ121" s="2"/>
      <c r="TCA121" s="2"/>
      <c r="TCB121" s="2"/>
      <c r="TCC121" s="2"/>
      <c r="TCD121" s="2"/>
      <c r="TCE121" s="2"/>
      <c r="TCF121" s="2"/>
      <c r="TCG121" s="2"/>
      <c r="TCH121" s="2"/>
      <c r="TCI121" s="2"/>
      <c r="TCJ121" s="2"/>
      <c r="TCK121" s="2"/>
      <c r="TCL121" s="2"/>
      <c r="TCM121" s="2"/>
      <c r="TCN121" s="2"/>
      <c r="TCO121" s="2"/>
      <c r="TCP121" s="2"/>
      <c r="TCQ121" s="2"/>
      <c r="TCR121" s="2"/>
      <c r="TCS121" s="2"/>
      <c r="TCT121" s="2"/>
      <c r="TCU121" s="2"/>
      <c r="TCV121" s="2"/>
      <c r="TCW121" s="2"/>
      <c r="TCX121" s="2"/>
      <c r="TCY121" s="2"/>
      <c r="TCZ121" s="2"/>
      <c r="TDA121" s="2"/>
      <c r="TDB121" s="2"/>
      <c r="TDC121" s="2"/>
      <c r="TDD121" s="2"/>
      <c r="TDE121" s="2"/>
      <c r="TDF121" s="2"/>
      <c r="TDG121" s="2"/>
      <c r="TDH121" s="2"/>
      <c r="TDI121" s="2"/>
      <c r="TDJ121" s="2"/>
      <c r="TDK121" s="2"/>
      <c r="TDL121" s="2"/>
      <c r="TDM121" s="2"/>
      <c r="TDN121" s="2"/>
      <c r="TDO121" s="2"/>
      <c r="TDP121" s="2"/>
      <c r="TDQ121" s="2"/>
      <c r="TDR121" s="2"/>
      <c r="TDS121" s="2"/>
      <c r="TDT121" s="2"/>
      <c r="TDU121" s="2"/>
      <c r="TDV121" s="2"/>
      <c r="TDW121" s="2"/>
      <c r="TDX121" s="2"/>
      <c r="TDY121" s="2"/>
      <c r="TDZ121" s="2"/>
      <c r="TEA121" s="2"/>
      <c r="TEB121" s="2"/>
      <c r="TEC121" s="2"/>
      <c r="TED121" s="2"/>
      <c r="TEE121" s="2"/>
      <c r="TEF121" s="2"/>
      <c r="TEG121" s="2"/>
      <c r="TEH121" s="2"/>
      <c r="TEI121" s="2"/>
      <c r="TEJ121" s="2"/>
      <c r="TEK121" s="2"/>
      <c r="TEL121" s="2"/>
      <c r="TEM121" s="2"/>
      <c r="TEN121" s="2"/>
      <c r="TEO121" s="2"/>
      <c r="TEP121" s="2"/>
      <c r="TEQ121" s="2"/>
      <c r="TER121" s="2"/>
      <c r="TES121" s="2"/>
      <c r="TET121" s="2"/>
      <c r="TEU121" s="2"/>
      <c r="TEV121" s="2"/>
      <c r="TEW121" s="2"/>
      <c r="TEX121" s="2"/>
      <c r="TEY121" s="2"/>
      <c r="TEZ121" s="2"/>
      <c r="TFA121" s="2"/>
      <c r="TFB121" s="2"/>
      <c r="TFC121" s="2"/>
      <c r="TFD121" s="2"/>
      <c r="TFE121" s="2"/>
      <c r="TFF121" s="2"/>
      <c r="TFG121" s="2"/>
      <c r="TFH121" s="2"/>
      <c r="TFI121" s="2"/>
      <c r="TFJ121" s="2"/>
      <c r="TFK121" s="2"/>
      <c r="TFL121" s="2"/>
      <c r="TFM121" s="2"/>
      <c r="TFN121" s="2"/>
      <c r="TFO121" s="2"/>
      <c r="TFP121" s="2"/>
      <c r="TFQ121" s="2"/>
      <c r="TFR121" s="2"/>
      <c r="TFS121" s="2"/>
      <c r="TFT121" s="2"/>
      <c r="TFU121" s="2"/>
      <c r="TFV121" s="2"/>
      <c r="TFW121" s="2"/>
      <c r="TFX121" s="2"/>
      <c r="TFY121" s="2"/>
      <c r="TFZ121" s="2"/>
      <c r="TGA121" s="2"/>
      <c r="TGB121" s="2"/>
      <c r="TGC121" s="2"/>
      <c r="TGD121" s="2"/>
      <c r="TGE121" s="2"/>
      <c r="TGF121" s="2"/>
      <c r="TGG121" s="2"/>
      <c r="TGH121" s="2"/>
      <c r="TGI121" s="2"/>
      <c r="TGJ121" s="2"/>
      <c r="TGK121" s="2"/>
      <c r="TGL121" s="2"/>
      <c r="TGM121" s="2"/>
      <c r="TGN121" s="2"/>
      <c r="TGO121" s="2"/>
      <c r="TGP121" s="2"/>
      <c r="TGQ121" s="2"/>
      <c r="TGR121" s="2"/>
      <c r="TGS121" s="2"/>
      <c r="TGT121" s="2"/>
      <c r="TGU121" s="2"/>
      <c r="TGV121" s="2"/>
      <c r="TGW121" s="2"/>
      <c r="TGX121" s="2"/>
      <c r="TGY121" s="2"/>
      <c r="TGZ121" s="2"/>
      <c r="THA121" s="2"/>
      <c r="THB121" s="2"/>
      <c r="THC121" s="2"/>
      <c r="THD121" s="2"/>
      <c r="THE121" s="2"/>
      <c r="THF121" s="2"/>
      <c r="THG121" s="2"/>
      <c r="THH121" s="2"/>
      <c r="THI121" s="2"/>
      <c r="THJ121" s="2"/>
      <c r="THK121" s="2"/>
      <c r="THL121" s="2"/>
      <c r="THM121" s="2"/>
      <c r="THN121" s="2"/>
      <c r="THO121" s="2"/>
      <c r="THP121" s="2"/>
      <c r="THQ121" s="2"/>
      <c r="THR121" s="2"/>
      <c r="THS121" s="2"/>
      <c r="THT121" s="2"/>
      <c r="THU121" s="2"/>
      <c r="THV121" s="2"/>
      <c r="THW121" s="2"/>
      <c r="THX121" s="2"/>
      <c r="THY121" s="2"/>
      <c r="THZ121" s="2"/>
      <c r="TIA121" s="2"/>
      <c r="TIB121" s="2"/>
      <c r="TIC121" s="2"/>
      <c r="TID121" s="2"/>
      <c r="TIE121" s="2"/>
      <c r="TIF121" s="2"/>
      <c r="TIG121" s="2"/>
      <c r="TIH121" s="2"/>
      <c r="TII121" s="2"/>
      <c r="TIJ121" s="2"/>
      <c r="TIK121" s="2"/>
      <c r="TIL121" s="2"/>
      <c r="TIM121" s="2"/>
      <c r="TIN121" s="2"/>
      <c r="TIO121" s="2"/>
      <c r="TIP121" s="2"/>
      <c r="TIQ121" s="2"/>
      <c r="TIR121" s="2"/>
      <c r="TIS121" s="2"/>
      <c r="TIT121" s="2"/>
      <c r="TIU121" s="2"/>
      <c r="TIV121" s="2"/>
      <c r="TIW121" s="2"/>
      <c r="TIX121" s="2"/>
      <c r="TIY121" s="2"/>
      <c r="TIZ121" s="2"/>
      <c r="TJA121" s="2"/>
      <c r="TJB121" s="2"/>
      <c r="TJC121" s="2"/>
      <c r="TJD121" s="2"/>
      <c r="TJE121" s="2"/>
      <c r="TJF121" s="2"/>
      <c r="TJG121" s="2"/>
      <c r="TJH121" s="2"/>
      <c r="TJI121" s="2"/>
      <c r="TJJ121" s="2"/>
      <c r="TJK121" s="2"/>
      <c r="TJL121" s="2"/>
      <c r="TJM121" s="2"/>
      <c r="TJN121" s="2"/>
      <c r="TJO121" s="2"/>
      <c r="TJP121" s="2"/>
      <c r="TJQ121" s="2"/>
      <c r="TJR121" s="2"/>
      <c r="TJS121" s="2"/>
      <c r="TJT121" s="2"/>
      <c r="TJU121" s="2"/>
      <c r="TJV121" s="2"/>
      <c r="TJW121" s="2"/>
      <c r="TJX121" s="2"/>
      <c r="TJY121" s="2"/>
      <c r="TJZ121" s="2"/>
      <c r="TKA121" s="2"/>
      <c r="TKB121" s="2"/>
      <c r="TKC121" s="2"/>
      <c r="TKD121" s="2"/>
      <c r="TKE121" s="2"/>
      <c r="TKF121" s="2"/>
      <c r="TKG121" s="2"/>
      <c r="TKH121" s="2"/>
      <c r="TKI121" s="2"/>
      <c r="TKJ121" s="2"/>
      <c r="TKK121" s="2"/>
      <c r="TKL121" s="2"/>
      <c r="TKM121" s="2"/>
      <c r="TKN121" s="2"/>
      <c r="TKO121" s="2"/>
      <c r="TKP121" s="2"/>
      <c r="TKQ121" s="2"/>
      <c r="TKR121" s="2"/>
      <c r="TKS121" s="2"/>
      <c r="TKT121" s="2"/>
      <c r="TKU121" s="2"/>
      <c r="TKV121" s="2"/>
      <c r="TKW121" s="2"/>
      <c r="TKX121" s="2"/>
      <c r="TKY121" s="2"/>
      <c r="TKZ121" s="2"/>
      <c r="TLA121" s="2"/>
      <c r="TLB121" s="2"/>
      <c r="TLC121" s="2"/>
      <c r="TLD121" s="2"/>
      <c r="TLE121" s="2"/>
      <c r="TLF121" s="2"/>
      <c r="TLG121" s="2"/>
      <c r="TLH121" s="2"/>
      <c r="TLI121" s="2"/>
      <c r="TLJ121" s="2"/>
      <c r="TLK121" s="2"/>
      <c r="TLL121" s="2"/>
      <c r="TLM121" s="2"/>
      <c r="TLN121" s="2"/>
      <c r="TLO121" s="2"/>
      <c r="TLP121" s="2"/>
      <c r="TLQ121" s="2"/>
      <c r="TLR121" s="2"/>
      <c r="TLS121" s="2"/>
      <c r="TLT121" s="2"/>
      <c r="TLU121" s="2"/>
      <c r="TLV121" s="2"/>
      <c r="TLW121" s="2"/>
      <c r="TLX121" s="2"/>
      <c r="TLY121" s="2"/>
      <c r="TLZ121" s="2"/>
      <c r="TMA121" s="2"/>
      <c r="TMB121" s="2"/>
      <c r="TMC121" s="2"/>
      <c r="TMD121" s="2"/>
      <c r="TME121" s="2"/>
      <c r="TMF121" s="2"/>
      <c r="TMG121" s="2"/>
      <c r="TMH121" s="2"/>
      <c r="TMI121" s="2"/>
      <c r="TMJ121" s="2"/>
      <c r="TMK121" s="2"/>
      <c r="TML121" s="2"/>
      <c r="TMM121" s="2"/>
      <c r="TMN121" s="2"/>
      <c r="TMO121" s="2"/>
      <c r="TMP121" s="2"/>
      <c r="TMQ121" s="2"/>
      <c r="TMR121" s="2"/>
      <c r="TMS121" s="2"/>
      <c r="TMT121" s="2"/>
      <c r="TMU121" s="2"/>
      <c r="TMV121" s="2"/>
      <c r="TMW121" s="2"/>
      <c r="TMX121" s="2"/>
      <c r="TMY121" s="2"/>
      <c r="TMZ121" s="2"/>
      <c r="TNA121" s="2"/>
      <c r="TNB121" s="2"/>
      <c r="TNC121" s="2"/>
      <c r="TND121" s="2"/>
      <c r="TNE121" s="2"/>
      <c r="TNF121" s="2"/>
      <c r="TNG121" s="2"/>
      <c r="TNH121" s="2"/>
      <c r="TNI121" s="2"/>
      <c r="TNJ121" s="2"/>
      <c r="TNK121" s="2"/>
      <c r="TNL121" s="2"/>
      <c r="TNM121" s="2"/>
      <c r="TNN121" s="2"/>
      <c r="TNO121" s="2"/>
      <c r="TNP121" s="2"/>
      <c r="TNQ121" s="2"/>
      <c r="TNR121" s="2"/>
      <c r="TNS121" s="2"/>
      <c r="TNT121" s="2"/>
      <c r="TNU121" s="2"/>
      <c r="TNV121" s="2"/>
      <c r="TNW121" s="2"/>
      <c r="TNX121" s="2"/>
      <c r="TNY121" s="2"/>
      <c r="TNZ121" s="2"/>
      <c r="TOA121" s="2"/>
      <c r="TOB121" s="2"/>
      <c r="TOC121" s="2"/>
      <c r="TOD121" s="2"/>
      <c r="TOE121" s="2"/>
      <c r="TOF121" s="2"/>
      <c r="TOG121" s="2"/>
      <c r="TOH121" s="2"/>
      <c r="TOI121" s="2"/>
      <c r="TOJ121" s="2"/>
      <c r="TOK121" s="2"/>
      <c r="TOL121" s="2"/>
      <c r="TOM121" s="2"/>
      <c r="TON121" s="2"/>
      <c r="TOO121" s="2"/>
      <c r="TOP121" s="2"/>
      <c r="TOQ121" s="2"/>
      <c r="TOR121" s="2"/>
      <c r="TOS121" s="2"/>
      <c r="TOT121" s="2"/>
      <c r="TOU121" s="2"/>
      <c r="TOV121" s="2"/>
      <c r="TOW121" s="2"/>
      <c r="TOX121" s="2"/>
      <c r="TOY121" s="2"/>
      <c r="TOZ121" s="2"/>
      <c r="TPA121" s="2"/>
      <c r="TPB121" s="2"/>
      <c r="TPC121" s="2"/>
      <c r="TPD121" s="2"/>
      <c r="TPE121" s="2"/>
      <c r="TPF121" s="2"/>
      <c r="TPG121" s="2"/>
      <c r="TPH121" s="2"/>
      <c r="TPI121" s="2"/>
      <c r="TPJ121" s="2"/>
      <c r="TPK121" s="2"/>
      <c r="TPL121" s="2"/>
      <c r="TPM121" s="2"/>
      <c r="TPN121" s="2"/>
      <c r="TPO121" s="2"/>
      <c r="TPP121" s="2"/>
      <c r="TPQ121" s="2"/>
      <c r="TPR121" s="2"/>
      <c r="TPS121" s="2"/>
      <c r="TPT121" s="2"/>
      <c r="TPU121" s="2"/>
      <c r="TPV121" s="2"/>
      <c r="TPW121" s="2"/>
      <c r="TPX121" s="2"/>
      <c r="TPY121" s="2"/>
      <c r="TPZ121" s="2"/>
      <c r="TQA121" s="2"/>
      <c r="TQB121" s="2"/>
      <c r="TQC121" s="2"/>
      <c r="TQD121" s="2"/>
      <c r="TQE121" s="2"/>
      <c r="TQF121" s="2"/>
      <c r="TQG121" s="2"/>
      <c r="TQH121" s="2"/>
      <c r="TQI121" s="2"/>
      <c r="TQJ121" s="2"/>
      <c r="TQK121" s="2"/>
      <c r="TQL121" s="2"/>
      <c r="TQM121" s="2"/>
      <c r="TQN121" s="2"/>
      <c r="TQO121" s="2"/>
      <c r="TQP121" s="2"/>
      <c r="TQQ121" s="2"/>
      <c r="TQR121" s="2"/>
      <c r="TQS121" s="2"/>
      <c r="TQT121" s="2"/>
      <c r="TQU121" s="2"/>
      <c r="TQV121" s="2"/>
      <c r="TQW121" s="2"/>
      <c r="TQX121" s="2"/>
      <c r="TQY121" s="2"/>
      <c r="TQZ121" s="2"/>
      <c r="TRA121" s="2"/>
      <c r="TRB121" s="2"/>
      <c r="TRC121" s="2"/>
      <c r="TRD121" s="2"/>
      <c r="TRE121" s="2"/>
      <c r="TRF121" s="2"/>
      <c r="TRG121" s="2"/>
      <c r="TRH121" s="2"/>
      <c r="TRI121" s="2"/>
      <c r="TRJ121" s="2"/>
      <c r="TRK121" s="2"/>
      <c r="TRL121" s="2"/>
      <c r="TRM121" s="2"/>
      <c r="TRN121" s="2"/>
      <c r="TRO121" s="2"/>
      <c r="TRP121" s="2"/>
      <c r="TRQ121" s="2"/>
      <c r="TRR121" s="2"/>
      <c r="TRS121" s="2"/>
      <c r="TRT121" s="2"/>
      <c r="TRU121" s="2"/>
      <c r="TRV121" s="2"/>
      <c r="TRW121" s="2"/>
      <c r="TRX121" s="2"/>
      <c r="TRY121" s="2"/>
      <c r="TRZ121" s="2"/>
      <c r="TSA121" s="2"/>
      <c r="TSB121" s="2"/>
      <c r="TSC121" s="2"/>
      <c r="TSD121" s="2"/>
      <c r="TSE121" s="2"/>
      <c r="TSF121" s="2"/>
      <c r="TSG121" s="2"/>
      <c r="TSH121" s="2"/>
      <c r="TSI121" s="2"/>
      <c r="TSJ121" s="2"/>
      <c r="TSK121" s="2"/>
      <c r="TSL121" s="2"/>
      <c r="TSM121" s="2"/>
      <c r="TSN121" s="2"/>
      <c r="TSO121" s="2"/>
      <c r="TSP121" s="2"/>
      <c r="TSQ121" s="2"/>
      <c r="TSR121" s="2"/>
      <c r="TSS121" s="2"/>
      <c r="TST121" s="2"/>
      <c r="TSU121" s="2"/>
      <c r="TSV121" s="2"/>
      <c r="TSW121" s="2"/>
      <c r="TSX121" s="2"/>
      <c r="TSY121" s="2"/>
      <c r="TSZ121" s="2"/>
      <c r="TTA121" s="2"/>
      <c r="TTB121" s="2"/>
      <c r="TTC121" s="2"/>
      <c r="TTD121" s="2"/>
      <c r="TTE121" s="2"/>
      <c r="TTF121" s="2"/>
      <c r="TTG121" s="2"/>
      <c r="TTH121" s="2"/>
      <c r="TTI121" s="2"/>
      <c r="TTJ121" s="2"/>
      <c r="TTK121" s="2"/>
      <c r="TTL121" s="2"/>
      <c r="TTM121" s="2"/>
      <c r="TTN121" s="2"/>
      <c r="TTO121" s="2"/>
      <c r="TTP121" s="2"/>
      <c r="TTQ121" s="2"/>
      <c r="TTR121" s="2"/>
      <c r="TTS121" s="2"/>
      <c r="TTT121" s="2"/>
      <c r="TTU121" s="2"/>
      <c r="TTV121" s="2"/>
      <c r="TTW121" s="2"/>
      <c r="TTX121" s="2"/>
      <c r="TTY121" s="2"/>
      <c r="TTZ121" s="2"/>
      <c r="TUA121" s="2"/>
      <c r="TUB121" s="2"/>
      <c r="TUC121" s="2"/>
      <c r="TUD121" s="2"/>
      <c r="TUE121" s="2"/>
      <c r="TUF121" s="2"/>
      <c r="TUG121" s="2"/>
      <c r="TUH121" s="2"/>
      <c r="TUI121" s="2"/>
      <c r="TUJ121" s="2"/>
      <c r="TUK121" s="2"/>
      <c r="TUL121" s="2"/>
      <c r="TUM121" s="2"/>
      <c r="TUN121" s="2"/>
      <c r="TUO121" s="2"/>
      <c r="TUP121" s="2"/>
      <c r="TUQ121" s="2"/>
      <c r="TUR121" s="2"/>
      <c r="TUS121" s="2"/>
      <c r="TUT121" s="2"/>
      <c r="TUU121" s="2"/>
      <c r="TUV121" s="2"/>
      <c r="TUW121" s="2"/>
      <c r="TUX121" s="2"/>
      <c r="TUY121" s="2"/>
      <c r="TUZ121" s="2"/>
      <c r="TVA121" s="2"/>
      <c r="TVB121" s="2"/>
      <c r="TVC121" s="2"/>
      <c r="TVD121" s="2"/>
      <c r="TVE121" s="2"/>
      <c r="TVF121" s="2"/>
      <c r="TVG121" s="2"/>
      <c r="TVH121" s="2"/>
      <c r="TVI121" s="2"/>
      <c r="TVJ121" s="2"/>
      <c r="TVK121" s="2"/>
      <c r="TVL121" s="2"/>
      <c r="TVM121" s="2"/>
      <c r="TVN121" s="2"/>
      <c r="TVO121" s="2"/>
      <c r="TVP121" s="2"/>
      <c r="TVQ121" s="2"/>
      <c r="TVR121" s="2"/>
      <c r="TVS121" s="2"/>
      <c r="TVT121" s="2"/>
      <c r="TVU121" s="2"/>
      <c r="TVV121" s="2"/>
      <c r="TVW121" s="2"/>
      <c r="TVX121" s="2"/>
      <c r="TVY121" s="2"/>
      <c r="TVZ121" s="2"/>
      <c r="TWA121" s="2"/>
      <c r="TWB121" s="2"/>
      <c r="TWC121" s="2"/>
      <c r="TWD121" s="2"/>
      <c r="TWE121" s="2"/>
      <c r="TWF121" s="2"/>
      <c r="TWG121" s="2"/>
      <c r="TWH121" s="2"/>
      <c r="TWI121" s="2"/>
      <c r="TWJ121" s="2"/>
      <c r="TWK121" s="2"/>
      <c r="TWL121" s="2"/>
      <c r="TWM121" s="2"/>
      <c r="TWN121" s="2"/>
      <c r="TWO121" s="2"/>
      <c r="TWP121" s="2"/>
      <c r="TWQ121" s="2"/>
      <c r="TWR121" s="2"/>
      <c r="TWS121" s="2"/>
      <c r="TWT121" s="2"/>
      <c r="TWU121" s="2"/>
      <c r="TWV121" s="2"/>
      <c r="TWW121" s="2"/>
      <c r="TWX121" s="2"/>
      <c r="TWY121" s="2"/>
      <c r="TWZ121" s="2"/>
      <c r="TXA121" s="2"/>
      <c r="TXB121" s="2"/>
      <c r="TXC121" s="2"/>
      <c r="TXD121" s="2"/>
      <c r="TXE121" s="2"/>
      <c r="TXF121" s="2"/>
      <c r="TXG121" s="2"/>
      <c r="TXH121" s="2"/>
      <c r="TXI121" s="2"/>
      <c r="TXJ121" s="2"/>
      <c r="TXK121" s="2"/>
      <c r="TXL121" s="2"/>
      <c r="TXM121" s="2"/>
      <c r="TXN121" s="2"/>
      <c r="TXO121" s="2"/>
      <c r="TXP121" s="2"/>
      <c r="TXQ121" s="2"/>
      <c r="TXR121" s="2"/>
      <c r="TXS121" s="2"/>
      <c r="TXT121" s="2"/>
      <c r="TXU121" s="2"/>
      <c r="TXV121" s="2"/>
      <c r="TXW121" s="2"/>
      <c r="TXX121" s="2"/>
      <c r="TXY121" s="2"/>
      <c r="TXZ121" s="2"/>
      <c r="TYA121" s="2"/>
      <c r="TYB121" s="2"/>
      <c r="TYC121" s="2"/>
      <c r="TYD121" s="2"/>
      <c r="TYE121" s="2"/>
      <c r="TYF121" s="2"/>
      <c r="TYG121" s="2"/>
      <c r="TYH121" s="2"/>
      <c r="TYI121" s="2"/>
      <c r="TYJ121" s="2"/>
      <c r="TYK121" s="2"/>
      <c r="TYL121" s="2"/>
      <c r="TYM121" s="2"/>
      <c r="TYN121" s="2"/>
      <c r="TYO121" s="2"/>
      <c r="TYP121" s="2"/>
      <c r="TYQ121" s="2"/>
      <c r="TYR121" s="2"/>
      <c r="TYS121" s="2"/>
      <c r="TYT121" s="2"/>
      <c r="TYU121" s="2"/>
      <c r="TYV121" s="2"/>
      <c r="TYW121" s="2"/>
      <c r="TYX121" s="2"/>
      <c r="TYY121" s="2"/>
      <c r="TYZ121" s="2"/>
      <c r="TZA121" s="2"/>
      <c r="TZB121" s="2"/>
      <c r="TZC121" s="2"/>
      <c r="TZD121" s="2"/>
      <c r="TZE121" s="2"/>
      <c r="TZF121" s="2"/>
      <c r="TZG121" s="2"/>
      <c r="TZH121" s="2"/>
      <c r="TZI121" s="2"/>
      <c r="TZJ121" s="2"/>
      <c r="TZK121" s="2"/>
      <c r="TZL121" s="2"/>
      <c r="TZM121" s="2"/>
      <c r="TZN121" s="2"/>
      <c r="TZO121" s="2"/>
      <c r="TZP121" s="2"/>
      <c r="TZQ121" s="2"/>
      <c r="TZR121" s="2"/>
      <c r="TZS121" s="2"/>
      <c r="TZT121" s="2"/>
      <c r="TZU121" s="2"/>
      <c r="TZV121" s="2"/>
      <c r="TZW121" s="2"/>
      <c r="TZX121" s="2"/>
      <c r="TZY121" s="2"/>
      <c r="TZZ121" s="2"/>
      <c r="UAA121" s="2"/>
      <c r="UAB121" s="2"/>
      <c r="UAC121" s="2"/>
      <c r="UAD121" s="2"/>
      <c r="UAE121" s="2"/>
      <c r="UAF121" s="2"/>
      <c r="UAG121" s="2"/>
      <c r="UAH121" s="2"/>
      <c r="UAI121" s="2"/>
      <c r="UAJ121" s="2"/>
      <c r="UAK121" s="2"/>
      <c r="UAL121" s="2"/>
      <c r="UAM121" s="2"/>
      <c r="UAN121" s="2"/>
      <c r="UAO121" s="2"/>
      <c r="UAP121" s="2"/>
      <c r="UAQ121" s="2"/>
      <c r="UAR121" s="2"/>
      <c r="UAS121" s="2"/>
      <c r="UAT121" s="2"/>
      <c r="UAU121" s="2"/>
      <c r="UAV121" s="2"/>
      <c r="UAW121" s="2"/>
      <c r="UAX121" s="2"/>
      <c r="UAY121" s="2"/>
      <c r="UAZ121" s="2"/>
      <c r="UBA121" s="2"/>
      <c r="UBB121" s="2"/>
      <c r="UBC121" s="2"/>
      <c r="UBD121" s="2"/>
      <c r="UBE121" s="2"/>
      <c r="UBF121" s="2"/>
      <c r="UBG121" s="2"/>
      <c r="UBH121" s="2"/>
      <c r="UBI121" s="2"/>
      <c r="UBJ121" s="2"/>
      <c r="UBK121" s="2"/>
      <c r="UBL121" s="2"/>
      <c r="UBM121" s="2"/>
      <c r="UBN121" s="2"/>
      <c r="UBO121" s="2"/>
      <c r="UBP121" s="2"/>
      <c r="UBQ121" s="2"/>
      <c r="UBR121" s="2"/>
      <c r="UBS121" s="2"/>
      <c r="UBT121" s="2"/>
      <c r="UBU121" s="2"/>
      <c r="UBV121" s="2"/>
      <c r="UBW121" s="2"/>
      <c r="UBX121" s="2"/>
      <c r="UBY121" s="2"/>
      <c r="UBZ121" s="2"/>
      <c r="UCA121" s="2"/>
      <c r="UCB121" s="2"/>
      <c r="UCC121" s="2"/>
      <c r="UCD121" s="2"/>
      <c r="UCE121" s="2"/>
      <c r="UCF121" s="2"/>
      <c r="UCG121" s="2"/>
      <c r="UCH121" s="2"/>
      <c r="UCI121" s="2"/>
      <c r="UCJ121" s="2"/>
      <c r="UCK121" s="2"/>
      <c r="UCL121" s="2"/>
      <c r="UCM121" s="2"/>
      <c r="UCN121" s="2"/>
      <c r="UCO121" s="2"/>
      <c r="UCP121" s="2"/>
      <c r="UCQ121" s="2"/>
      <c r="UCR121" s="2"/>
      <c r="UCS121" s="2"/>
      <c r="UCT121" s="2"/>
      <c r="UCU121" s="2"/>
      <c r="UCV121" s="2"/>
      <c r="UCW121" s="2"/>
      <c r="UCX121" s="2"/>
      <c r="UCY121" s="2"/>
      <c r="UCZ121" s="2"/>
      <c r="UDA121" s="2"/>
      <c r="UDB121" s="2"/>
      <c r="UDC121" s="2"/>
      <c r="UDD121" s="2"/>
      <c r="UDE121" s="2"/>
      <c r="UDF121" s="2"/>
      <c r="UDG121" s="2"/>
      <c r="UDH121" s="2"/>
      <c r="UDI121" s="2"/>
      <c r="UDJ121" s="2"/>
      <c r="UDK121" s="2"/>
      <c r="UDL121" s="2"/>
      <c r="UDM121" s="2"/>
      <c r="UDN121" s="2"/>
      <c r="UDO121" s="2"/>
      <c r="UDP121" s="2"/>
      <c r="UDQ121" s="2"/>
      <c r="UDR121" s="2"/>
      <c r="UDS121" s="2"/>
      <c r="UDT121" s="2"/>
      <c r="UDU121" s="2"/>
      <c r="UDV121" s="2"/>
      <c r="UDW121" s="2"/>
      <c r="UDX121" s="2"/>
      <c r="UDY121" s="2"/>
      <c r="UDZ121" s="2"/>
      <c r="UEA121" s="2"/>
      <c r="UEB121" s="2"/>
      <c r="UEC121" s="2"/>
      <c r="UED121" s="2"/>
      <c r="UEE121" s="2"/>
      <c r="UEF121" s="2"/>
      <c r="UEG121" s="2"/>
      <c r="UEH121" s="2"/>
      <c r="UEI121" s="2"/>
      <c r="UEJ121" s="2"/>
      <c r="UEK121" s="2"/>
      <c r="UEL121" s="2"/>
      <c r="UEM121" s="2"/>
      <c r="UEN121" s="2"/>
      <c r="UEO121" s="2"/>
      <c r="UEP121" s="2"/>
      <c r="UEQ121" s="2"/>
      <c r="UER121" s="2"/>
      <c r="UES121" s="2"/>
      <c r="UET121" s="2"/>
      <c r="UEU121" s="2"/>
      <c r="UEV121" s="2"/>
      <c r="UEW121" s="2"/>
      <c r="UEX121" s="2"/>
      <c r="UEY121" s="2"/>
      <c r="UEZ121" s="2"/>
      <c r="UFA121" s="2"/>
      <c r="UFB121" s="2"/>
      <c r="UFC121" s="2"/>
      <c r="UFD121" s="2"/>
      <c r="UFE121" s="2"/>
      <c r="UFF121" s="2"/>
      <c r="UFG121" s="2"/>
      <c r="UFH121" s="2"/>
      <c r="UFI121" s="2"/>
      <c r="UFJ121" s="2"/>
      <c r="UFK121" s="2"/>
      <c r="UFL121" s="2"/>
      <c r="UFM121" s="2"/>
      <c r="UFN121" s="2"/>
      <c r="UFO121" s="2"/>
      <c r="UFP121" s="2"/>
      <c r="UFQ121" s="2"/>
      <c r="UFR121" s="2"/>
      <c r="UFS121" s="2"/>
      <c r="UFT121" s="2"/>
      <c r="UFU121" s="2"/>
      <c r="UFV121" s="2"/>
      <c r="UFW121" s="2"/>
      <c r="UFX121" s="2"/>
      <c r="UFY121" s="2"/>
      <c r="UFZ121" s="2"/>
      <c r="UGA121" s="2"/>
      <c r="UGB121" s="2"/>
      <c r="UGC121" s="2"/>
      <c r="UGD121" s="2"/>
      <c r="UGE121" s="2"/>
      <c r="UGF121" s="2"/>
      <c r="UGG121" s="2"/>
      <c r="UGH121" s="2"/>
      <c r="UGI121" s="2"/>
      <c r="UGJ121" s="2"/>
      <c r="UGK121" s="2"/>
      <c r="UGL121" s="2"/>
      <c r="UGM121" s="2"/>
      <c r="UGN121" s="2"/>
      <c r="UGO121" s="2"/>
      <c r="UGP121" s="2"/>
      <c r="UGQ121" s="2"/>
      <c r="UGR121" s="2"/>
      <c r="UGS121" s="2"/>
      <c r="UGT121" s="2"/>
      <c r="UGU121" s="2"/>
      <c r="UGV121" s="2"/>
      <c r="UGW121" s="2"/>
      <c r="UGX121" s="2"/>
      <c r="UGY121" s="2"/>
      <c r="UGZ121" s="2"/>
      <c r="UHA121" s="2"/>
      <c r="UHB121" s="2"/>
      <c r="UHC121" s="2"/>
      <c r="UHD121" s="2"/>
      <c r="UHE121" s="2"/>
      <c r="UHF121" s="2"/>
      <c r="UHG121" s="2"/>
      <c r="UHH121" s="2"/>
      <c r="UHI121" s="2"/>
      <c r="UHJ121" s="2"/>
      <c r="UHK121" s="2"/>
      <c r="UHL121" s="2"/>
      <c r="UHM121" s="2"/>
      <c r="UHN121" s="2"/>
      <c r="UHO121" s="2"/>
      <c r="UHP121" s="2"/>
      <c r="UHQ121" s="2"/>
      <c r="UHR121" s="2"/>
      <c r="UHS121" s="2"/>
      <c r="UHT121" s="2"/>
      <c r="UHU121" s="2"/>
      <c r="UHV121" s="2"/>
      <c r="UHW121" s="2"/>
      <c r="UHX121" s="2"/>
      <c r="UHY121" s="2"/>
      <c r="UHZ121" s="2"/>
      <c r="UIA121" s="2"/>
      <c r="UIB121" s="2"/>
      <c r="UIC121" s="2"/>
      <c r="UID121" s="2"/>
      <c r="UIE121" s="2"/>
      <c r="UIF121" s="2"/>
      <c r="UIG121" s="2"/>
      <c r="UIH121" s="2"/>
      <c r="UII121" s="2"/>
      <c r="UIJ121" s="2"/>
      <c r="UIK121" s="2"/>
      <c r="UIL121" s="2"/>
      <c r="UIM121" s="2"/>
      <c r="UIN121" s="2"/>
      <c r="UIO121" s="2"/>
      <c r="UIP121" s="2"/>
      <c r="UIQ121" s="2"/>
      <c r="UIR121" s="2"/>
      <c r="UIS121" s="2"/>
      <c r="UIT121" s="2"/>
      <c r="UIU121" s="2"/>
      <c r="UIV121" s="2"/>
      <c r="UIW121" s="2"/>
      <c r="UIX121" s="2"/>
      <c r="UIY121" s="2"/>
      <c r="UIZ121" s="2"/>
      <c r="UJA121" s="2"/>
      <c r="UJB121" s="2"/>
      <c r="UJC121" s="2"/>
      <c r="UJD121" s="2"/>
      <c r="UJE121" s="2"/>
      <c r="UJF121" s="2"/>
      <c r="UJG121" s="2"/>
      <c r="UJH121" s="2"/>
      <c r="UJI121" s="2"/>
      <c r="UJJ121" s="2"/>
      <c r="UJK121" s="2"/>
      <c r="UJL121" s="2"/>
      <c r="UJM121" s="2"/>
      <c r="UJN121" s="2"/>
      <c r="UJO121" s="2"/>
      <c r="UJP121" s="2"/>
      <c r="UJQ121" s="2"/>
      <c r="UJR121" s="2"/>
      <c r="UJS121" s="2"/>
      <c r="UJT121" s="2"/>
      <c r="UJU121" s="2"/>
      <c r="UJV121" s="2"/>
      <c r="UJW121" s="2"/>
      <c r="UJX121" s="2"/>
      <c r="UJY121" s="2"/>
      <c r="UJZ121" s="2"/>
      <c r="UKA121" s="2"/>
      <c r="UKB121" s="2"/>
      <c r="UKC121" s="2"/>
      <c r="UKD121" s="2"/>
      <c r="UKE121" s="2"/>
      <c r="UKF121" s="2"/>
      <c r="UKG121" s="2"/>
      <c r="UKH121" s="2"/>
      <c r="UKI121" s="2"/>
      <c r="UKJ121" s="2"/>
      <c r="UKK121" s="2"/>
      <c r="UKL121" s="2"/>
      <c r="UKM121" s="2"/>
      <c r="UKN121" s="2"/>
      <c r="UKO121" s="2"/>
      <c r="UKP121" s="2"/>
      <c r="UKQ121" s="2"/>
      <c r="UKR121" s="2"/>
      <c r="UKS121" s="2"/>
      <c r="UKT121" s="2"/>
      <c r="UKU121" s="2"/>
      <c r="UKV121" s="2"/>
      <c r="UKW121" s="2"/>
      <c r="UKX121" s="2"/>
      <c r="UKY121" s="2"/>
      <c r="UKZ121" s="2"/>
      <c r="ULA121" s="2"/>
      <c r="ULB121" s="2"/>
      <c r="ULC121" s="2"/>
      <c r="ULD121" s="2"/>
      <c r="ULE121" s="2"/>
      <c r="ULF121" s="2"/>
      <c r="ULG121" s="2"/>
      <c r="ULH121" s="2"/>
      <c r="ULI121" s="2"/>
      <c r="ULJ121" s="2"/>
      <c r="ULK121" s="2"/>
      <c r="ULL121" s="2"/>
      <c r="ULM121" s="2"/>
      <c r="ULN121" s="2"/>
      <c r="ULO121" s="2"/>
      <c r="ULP121" s="2"/>
      <c r="ULQ121" s="2"/>
      <c r="ULR121" s="2"/>
      <c r="ULS121" s="2"/>
      <c r="ULT121" s="2"/>
      <c r="ULU121" s="2"/>
      <c r="ULV121" s="2"/>
      <c r="ULW121" s="2"/>
      <c r="ULX121" s="2"/>
      <c r="ULY121" s="2"/>
      <c r="ULZ121" s="2"/>
      <c r="UMA121" s="2"/>
      <c r="UMB121" s="2"/>
      <c r="UMC121" s="2"/>
      <c r="UMD121" s="2"/>
      <c r="UME121" s="2"/>
      <c r="UMF121" s="2"/>
      <c r="UMG121" s="2"/>
      <c r="UMH121" s="2"/>
      <c r="UMI121" s="2"/>
      <c r="UMJ121" s="2"/>
      <c r="UMK121" s="2"/>
      <c r="UML121" s="2"/>
      <c r="UMM121" s="2"/>
      <c r="UMN121" s="2"/>
      <c r="UMO121" s="2"/>
      <c r="UMP121" s="2"/>
      <c r="UMQ121" s="2"/>
      <c r="UMR121" s="2"/>
      <c r="UMS121" s="2"/>
      <c r="UMT121" s="2"/>
      <c r="UMU121" s="2"/>
      <c r="UMV121" s="2"/>
      <c r="UMW121" s="2"/>
      <c r="UMX121" s="2"/>
      <c r="UMY121" s="2"/>
      <c r="UMZ121" s="2"/>
      <c r="UNA121" s="2"/>
      <c r="UNB121" s="2"/>
      <c r="UNC121" s="2"/>
      <c r="UND121" s="2"/>
      <c r="UNE121" s="2"/>
      <c r="UNF121" s="2"/>
      <c r="UNG121" s="2"/>
      <c r="UNH121" s="2"/>
      <c r="UNI121" s="2"/>
      <c r="UNJ121" s="2"/>
      <c r="UNK121" s="2"/>
      <c r="UNL121" s="2"/>
      <c r="UNM121" s="2"/>
      <c r="UNN121" s="2"/>
      <c r="UNO121" s="2"/>
      <c r="UNP121" s="2"/>
      <c r="UNQ121" s="2"/>
      <c r="UNR121" s="2"/>
      <c r="UNS121" s="2"/>
      <c r="UNT121" s="2"/>
      <c r="UNU121" s="2"/>
      <c r="UNV121" s="2"/>
      <c r="UNW121" s="2"/>
      <c r="UNX121" s="2"/>
      <c r="UNY121" s="2"/>
      <c r="UNZ121" s="2"/>
      <c r="UOA121" s="2"/>
      <c r="UOB121" s="2"/>
      <c r="UOC121" s="2"/>
      <c r="UOD121" s="2"/>
      <c r="UOE121" s="2"/>
      <c r="UOF121" s="2"/>
      <c r="UOG121" s="2"/>
      <c r="UOH121" s="2"/>
      <c r="UOI121" s="2"/>
      <c r="UOJ121" s="2"/>
      <c r="UOK121" s="2"/>
      <c r="UOL121" s="2"/>
      <c r="UOM121" s="2"/>
      <c r="UON121" s="2"/>
      <c r="UOO121" s="2"/>
      <c r="UOP121" s="2"/>
      <c r="UOQ121" s="2"/>
      <c r="UOR121" s="2"/>
      <c r="UOS121" s="2"/>
      <c r="UOT121" s="2"/>
      <c r="UOU121" s="2"/>
      <c r="UOV121" s="2"/>
      <c r="UOW121" s="2"/>
      <c r="UOX121" s="2"/>
      <c r="UOY121" s="2"/>
      <c r="UOZ121" s="2"/>
      <c r="UPA121" s="2"/>
      <c r="UPB121" s="2"/>
      <c r="UPC121" s="2"/>
      <c r="UPD121" s="2"/>
      <c r="UPE121" s="2"/>
      <c r="UPF121" s="2"/>
      <c r="UPG121" s="2"/>
      <c r="UPH121" s="2"/>
      <c r="UPI121" s="2"/>
      <c r="UPJ121" s="2"/>
      <c r="UPK121" s="2"/>
      <c r="UPL121" s="2"/>
      <c r="UPM121" s="2"/>
      <c r="UPN121" s="2"/>
      <c r="UPO121" s="2"/>
      <c r="UPP121" s="2"/>
      <c r="UPQ121" s="2"/>
      <c r="UPR121" s="2"/>
      <c r="UPS121" s="2"/>
      <c r="UPT121" s="2"/>
      <c r="UPU121" s="2"/>
      <c r="UPV121" s="2"/>
      <c r="UPW121" s="2"/>
      <c r="UPX121" s="2"/>
      <c r="UPY121" s="2"/>
      <c r="UPZ121" s="2"/>
      <c r="UQA121" s="2"/>
      <c r="UQB121" s="2"/>
      <c r="UQC121" s="2"/>
      <c r="UQD121" s="2"/>
      <c r="UQE121" s="2"/>
      <c r="UQF121" s="2"/>
      <c r="UQG121" s="2"/>
      <c r="UQH121" s="2"/>
      <c r="UQI121" s="2"/>
      <c r="UQJ121" s="2"/>
      <c r="UQK121" s="2"/>
      <c r="UQL121" s="2"/>
      <c r="UQM121" s="2"/>
      <c r="UQN121" s="2"/>
      <c r="UQO121" s="2"/>
      <c r="UQP121" s="2"/>
      <c r="UQQ121" s="2"/>
      <c r="UQR121" s="2"/>
      <c r="UQS121" s="2"/>
      <c r="UQT121" s="2"/>
      <c r="UQU121" s="2"/>
      <c r="UQV121" s="2"/>
      <c r="UQW121" s="2"/>
      <c r="UQX121" s="2"/>
      <c r="UQY121" s="2"/>
      <c r="UQZ121" s="2"/>
      <c r="URA121" s="2"/>
      <c r="URB121" s="2"/>
      <c r="URC121" s="2"/>
      <c r="URD121" s="2"/>
      <c r="URE121" s="2"/>
      <c r="URF121" s="2"/>
      <c r="URG121" s="2"/>
      <c r="URH121" s="2"/>
      <c r="URI121" s="2"/>
      <c r="URJ121" s="2"/>
      <c r="URK121" s="2"/>
      <c r="URL121" s="2"/>
      <c r="URM121" s="2"/>
      <c r="URN121" s="2"/>
      <c r="URO121" s="2"/>
      <c r="URP121" s="2"/>
      <c r="URQ121" s="2"/>
      <c r="URR121" s="2"/>
      <c r="URS121" s="2"/>
      <c r="URT121" s="2"/>
      <c r="URU121" s="2"/>
      <c r="URV121" s="2"/>
      <c r="URW121" s="2"/>
      <c r="URX121" s="2"/>
      <c r="URY121" s="2"/>
      <c r="URZ121" s="2"/>
      <c r="USA121" s="2"/>
      <c r="USB121" s="2"/>
      <c r="USC121" s="2"/>
      <c r="USD121" s="2"/>
      <c r="USE121" s="2"/>
      <c r="USF121" s="2"/>
      <c r="USG121" s="2"/>
      <c r="USH121" s="2"/>
      <c r="USI121" s="2"/>
      <c r="USJ121" s="2"/>
      <c r="USK121" s="2"/>
      <c r="USL121" s="2"/>
      <c r="USM121" s="2"/>
      <c r="USN121" s="2"/>
      <c r="USO121" s="2"/>
      <c r="USP121" s="2"/>
      <c r="USQ121" s="2"/>
      <c r="USR121" s="2"/>
      <c r="USS121" s="2"/>
      <c r="UST121" s="2"/>
      <c r="USU121" s="2"/>
      <c r="USV121" s="2"/>
      <c r="USW121" s="2"/>
      <c r="USX121" s="2"/>
      <c r="USY121" s="2"/>
      <c r="USZ121" s="2"/>
      <c r="UTA121" s="2"/>
      <c r="UTB121" s="2"/>
      <c r="UTC121" s="2"/>
      <c r="UTD121" s="2"/>
      <c r="UTE121" s="2"/>
      <c r="UTF121" s="2"/>
      <c r="UTG121" s="2"/>
      <c r="UTH121" s="2"/>
      <c r="UTI121" s="2"/>
      <c r="UTJ121" s="2"/>
      <c r="UTK121" s="2"/>
      <c r="UTL121" s="2"/>
      <c r="UTM121" s="2"/>
      <c r="UTN121" s="2"/>
      <c r="UTO121" s="2"/>
      <c r="UTP121" s="2"/>
      <c r="UTQ121" s="2"/>
      <c r="UTR121" s="2"/>
      <c r="UTS121" s="2"/>
      <c r="UTT121" s="2"/>
      <c r="UTU121" s="2"/>
      <c r="UTV121" s="2"/>
      <c r="UTW121" s="2"/>
      <c r="UTX121" s="2"/>
      <c r="UTY121" s="2"/>
      <c r="UTZ121" s="2"/>
      <c r="UUA121" s="2"/>
      <c r="UUB121" s="2"/>
      <c r="UUC121" s="2"/>
      <c r="UUD121" s="2"/>
      <c r="UUE121" s="2"/>
      <c r="UUF121" s="2"/>
      <c r="UUG121" s="2"/>
      <c r="UUH121" s="2"/>
      <c r="UUI121" s="2"/>
      <c r="UUJ121" s="2"/>
      <c r="UUK121" s="2"/>
      <c r="UUL121" s="2"/>
      <c r="UUM121" s="2"/>
      <c r="UUN121" s="2"/>
      <c r="UUO121" s="2"/>
      <c r="UUP121" s="2"/>
      <c r="UUQ121" s="2"/>
      <c r="UUR121" s="2"/>
      <c r="UUS121" s="2"/>
      <c r="UUT121" s="2"/>
      <c r="UUU121" s="2"/>
      <c r="UUV121" s="2"/>
      <c r="UUW121" s="2"/>
      <c r="UUX121" s="2"/>
      <c r="UUY121" s="2"/>
      <c r="UUZ121" s="2"/>
      <c r="UVA121" s="2"/>
      <c r="UVB121" s="2"/>
      <c r="UVC121" s="2"/>
      <c r="UVD121" s="2"/>
      <c r="UVE121" s="2"/>
      <c r="UVF121" s="2"/>
      <c r="UVG121" s="2"/>
      <c r="UVH121" s="2"/>
      <c r="UVI121" s="2"/>
      <c r="UVJ121" s="2"/>
      <c r="UVK121" s="2"/>
      <c r="UVL121" s="2"/>
      <c r="UVM121" s="2"/>
      <c r="UVN121" s="2"/>
      <c r="UVO121" s="2"/>
      <c r="UVP121" s="2"/>
      <c r="UVQ121" s="2"/>
      <c r="UVR121" s="2"/>
      <c r="UVS121" s="2"/>
      <c r="UVT121" s="2"/>
      <c r="UVU121" s="2"/>
      <c r="UVV121" s="2"/>
      <c r="UVW121" s="2"/>
      <c r="UVX121" s="2"/>
      <c r="UVY121" s="2"/>
      <c r="UVZ121" s="2"/>
      <c r="UWA121" s="2"/>
      <c r="UWB121" s="2"/>
      <c r="UWC121" s="2"/>
      <c r="UWD121" s="2"/>
      <c r="UWE121" s="2"/>
      <c r="UWF121" s="2"/>
      <c r="UWG121" s="2"/>
      <c r="UWH121" s="2"/>
      <c r="UWI121" s="2"/>
      <c r="UWJ121" s="2"/>
      <c r="UWK121" s="2"/>
      <c r="UWL121" s="2"/>
      <c r="UWM121" s="2"/>
      <c r="UWN121" s="2"/>
      <c r="UWO121" s="2"/>
      <c r="UWP121" s="2"/>
      <c r="UWQ121" s="2"/>
      <c r="UWR121" s="2"/>
      <c r="UWS121" s="2"/>
      <c r="UWT121" s="2"/>
      <c r="UWU121" s="2"/>
      <c r="UWV121" s="2"/>
      <c r="UWW121" s="2"/>
      <c r="UWX121" s="2"/>
      <c r="UWY121" s="2"/>
      <c r="UWZ121" s="2"/>
      <c r="UXA121" s="2"/>
      <c r="UXB121" s="2"/>
      <c r="UXC121" s="2"/>
      <c r="UXD121" s="2"/>
      <c r="UXE121" s="2"/>
      <c r="UXF121" s="2"/>
      <c r="UXG121" s="2"/>
      <c r="UXH121" s="2"/>
      <c r="UXI121" s="2"/>
      <c r="UXJ121" s="2"/>
      <c r="UXK121" s="2"/>
      <c r="UXL121" s="2"/>
      <c r="UXM121" s="2"/>
      <c r="UXN121" s="2"/>
      <c r="UXO121" s="2"/>
      <c r="UXP121" s="2"/>
      <c r="UXQ121" s="2"/>
      <c r="UXR121" s="2"/>
      <c r="UXS121" s="2"/>
      <c r="UXT121" s="2"/>
      <c r="UXU121" s="2"/>
      <c r="UXV121" s="2"/>
      <c r="UXW121" s="2"/>
      <c r="UXX121" s="2"/>
      <c r="UXY121" s="2"/>
      <c r="UXZ121" s="2"/>
      <c r="UYA121" s="2"/>
      <c r="UYB121" s="2"/>
      <c r="UYC121" s="2"/>
      <c r="UYD121" s="2"/>
      <c r="UYE121" s="2"/>
      <c r="UYF121" s="2"/>
      <c r="UYG121" s="2"/>
      <c r="UYH121" s="2"/>
      <c r="UYI121" s="2"/>
      <c r="UYJ121" s="2"/>
      <c r="UYK121" s="2"/>
      <c r="UYL121" s="2"/>
      <c r="UYM121" s="2"/>
      <c r="UYN121" s="2"/>
      <c r="UYO121" s="2"/>
      <c r="UYP121" s="2"/>
      <c r="UYQ121" s="2"/>
      <c r="UYR121" s="2"/>
      <c r="UYS121" s="2"/>
      <c r="UYT121" s="2"/>
      <c r="UYU121" s="2"/>
      <c r="UYV121" s="2"/>
      <c r="UYW121" s="2"/>
      <c r="UYX121" s="2"/>
      <c r="UYY121" s="2"/>
      <c r="UYZ121" s="2"/>
      <c r="UZA121" s="2"/>
      <c r="UZB121" s="2"/>
      <c r="UZC121" s="2"/>
      <c r="UZD121" s="2"/>
      <c r="UZE121" s="2"/>
      <c r="UZF121" s="2"/>
      <c r="UZG121" s="2"/>
      <c r="UZH121" s="2"/>
      <c r="UZI121" s="2"/>
      <c r="UZJ121" s="2"/>
      <c r="UZK121" s="2"/>
      <c r="UZL121" s="2"/>
      <c r="UZM121" s="2"/>
      <c r="UZN121" s="2"/>
      <c r="UZO121" s="2"/>
      <c r="UZP121" s="2"/>
      <c r="UZQ121" s="2"/>
      <c r="UZR121" s="2"/>
      <c r="UZS121" s="2"/>
      <c r="UZT121" s="2"/>
      <c r="UZU121" s="2"/>
      <c r="UZV121" s="2"/>
      <c r="UZW121" s="2"/>
      <c r="UZX121" s="2"/>
      <c r="UZY121" s="2"/>
      <c r="UZZ121" s="2"/>
      <c r="VAA121" s="2"/>
      <c r="VAB121" s="2"/>
      <c r="VAC121" s="2"/>
      <c r="VAD121" s="2"/>
      <c r="VAE121" s="2"/>
      <c r="VAF121" s="2"/>
      <c r="VAG121" s="2"/>
      <c r="VAH121" s="2"/>
      <c r="VAI121" s="2"/>
      <c r="VAJ121" s="2"/>
      <c r="VAK121" s="2"/>
      <c r="VAL121" s="2"/>
      <c r="VAM121" s="2"/>
      <c r="VAN121" s="2"/>
      <c r="VAO121" s="2"/>
      <c r="VAP121" s="2"/>
      <c r="VAQ121" s="2"/>
      <c r="VAR121" s="2"/>
      <c r="VAS121" s="2"/>
      <c r="VAT121" s="2"/>
      <c r="VAU121" s="2"/>
      <c r="VAV121" s="2"/>
      <c r="VAW121" s="2"/>
      <c r="VAX121" s="2"/>
      <c r="VAY121" s="2"/>
      <c r="VAZ121" s="2"/>
      <c r="VBA121" s="2"/>
      <c r="VBB121" s="2"/>
      <c r="VBC121" s="2"/>
      <c r="VBD121" s="2"/>
      <c r="VBE121" s="2"/>
      <c r="VBF121" s="2"/>
      <c r="VBG121" s="2"/>
      <c r="VBH121" s="2"/>
      <c r="VBI121" s="2"/>
      <c r="VBJ121" s="2"/>
      <c r="VBK121" s="2"/>
      <c r="VBL121" s="2"/>
      <c r="VBM121" s="2"/>
      <c r="VBN121" s="2"/>
      <c r="VBO121" s="2"/>
      <c r="VBP121" s="2"/>
      <c r="VBQ121" s="2"/>
      <c r="VBR121" s="2"/>
      <c r="VBS121" s="2"/>
      <c r="VBT121" s="2"/>
      <c r="VBU121" s="2"/>
      <c r="VBV121" s="2"/>
      <c r="VBW121" s="2"/>
      <c r="VBX121" s="2"/>
      <c r="VBY121" s="2"/>
      <c r="VBZ121" s="2"/>
      <c r="VCA121" s="2"/>
      <c r="VCB121" s="2"/>
      <c r="VCC121" s="2"/>
      <c r="VCD121" s="2"/>
      <c r="VCE121" s="2"/>
      <c r="VCF121" s="2"/>
      <c r="VCG121" s="2"/>
      <c r="VCH121" s="2"/>
      <c r="VCI121" s="2"/>
      <c r="VCJ121" s="2"/>
      <c r="VCK121" s="2"/>
      <c r="VCL121" s="2"/>
      <c r="VCM121" s="2"/>
      <c r="VCN121" s="2"/>
      <c r="VCO121" s="2"/>
      <c r="VCP121" s="2"/>
      <c r="VCQ121" s="2"/>
      <c r="VCR121" s="2"/>
      <c r="VCS121" s="2"/>
      <c r="VCT121" s="2"/>
      <c r="VCU121" s="2"/>
      <c r="VCV121" s="2"/>
      <c r="VCW121" s="2"/>
      <c r="VCX121" s="2"/>
      <c r="VCY121" s="2"/>
      <c r="VCZ121" s="2"/>
      <c r="VDA121" s="2"/>
      <c r="VDB121" s="2"/>
      <c r="VDC121" s="2"/>
      <c r="VDD121" s="2"/>
      <c r="VDE121" s="2"/>
      <c r="VDF121" s="2"/>
      <c r="VDG121" s="2"/>
      <c r="VDH121" s="2"/>
      <c r="VDI121" s="2"/>
      <c r="VDJ121" s="2"/>
      <c r="VDK121" s="2"/>
      <c r="VDL121" s="2"/>
      <c r="VDM121" s="2"/>
      <c r="VDN121" s="2"/>
      <c r="VDO121" s="2"/>
      <c r="VDP121" s="2"/>
      <c r="VDQ121" s="2"/>
      <c r="VDR121" s="2"/>
      <c r="VDS121" s="2"/>
      <c r="VDT121" s="2"/>
      <c r="VDU121" s="2"/>
      <c r="VDV121" s="2"/>
      <c r="VDW121" s="2"/>
      <c r="VDX121" s="2"/>
      <c r="VDY121" s="2"/>
      <c r="VDZ121" s="2"/>
      <c r="VEA121" s="2"/>
      <c r="VEB121" s="2"/>
      <c r="VEC121" s="2"/>
      <c r="VED121" s="2"/>
      <c r="VEE121" s="2"/>
      <c r="VEF121" s="2"/>
      <c r="VEG121" s="2"/>
      <c r="VEH121" s="2"/>
      <c r="VEI121" s="2"/>
      <c r="VEJ121" s="2"/>
      <c r="VEK121" s="2"/>
      <c r="VEL121" s="2"/>
      <c r="VEM121" s="2"/>
      <c r="VEN121" s="2"/>
      <c r="VEO121" s="2"/>
      <c r="VEP121" s="2"/>
      <c r="VEQ121" s="2"/>
      <c r="VER121" s="2"/>
      <c r="VES121" s="2"/>
      <c r="VET121" s="2"/>
      <c r="VEU121" s="2"/>
      <c r="VEV121" s="2"/>
      <c r="VEW121" s="2"/>
      <c r="VEX121" s="2"/>
      <c r="VEY121" s="2"/>
      <c r="VEZ121" s="2"/>
      <c r="VFA121" s="2"/>
      <c r="VFB121" s="2"/>
      <c r="VFC121" s="2"/>
      <c r="VFD121" s="2"/>
      <c r="VFE121" s="2"/>
      <c r="VFF121" s="2"/>
      <c r="VFG121" s="2"/>
      <c r="VFH121" s="2"/>
      <c r="VFI121" s="2"/>
      <c r="VFJ121" s="2"/>
      <c r="VFK121" s="2"/>
      <c r="VFL121" s="2"/>
      <c r="VFM121" s="2"/>
      <c r="VFN121" s="2"/>
      <c r="VFO121" s="2"/>
      <c r="VFP121" s="2"/>
      <c r="VFQ121" s="2"/>
      <c r="VFR121" s="2"/>
      <c r="VFS121" s="2"/>
      <c r="VFT121" s="2"/>
      <c r="VFU121" s="2"/>
      <c r="VFV121" s="2"/>
      <c r="VFW121" s="2"/>
      <c r="VFX121" s="2"/>
      <c r="VFY121" s="2"/>
      <c r="VFZ121" s="2"/>
      <c r="VGA121" s="2"/>
      <c r="VGB121" s="2"/>
      <c r="VGC121" s="2"/>
      <c r="VGD121" s="2"/>
      <c r="VGE121" s="2"/>
      <c r="VGF121" s="2"/>
      <c r="VGG121" s="2"/>
      <c r="VGH121" s="2"/>
      <c r="VGI121" s="2"/>
      <c r="VGJ121" s="2"/>
      <c r="VGK121" s="2"/>
      <c r="VGL121" s="2"/>
      <c r="VGM121" s="2"/>
      <c r="VGN121" s="2"/>
      <c r="VGO121" s="2"/>
      <c r="VGP121" s="2"/>
      <c r="VGQ121" s="2"/>
      <c r="VGR121" s="2"/>
      <c r="VGS121" s="2"/>
      <c r="VGT121" s="2"/>
      <c r="VGU121" s="2"/>
      <c r="VGV121" s="2"/>
      <c r="VGW121" s="2"/>
      <c r="VGX121" s="2"/>
      <c r="VGY121" s="2"/>
      <c r="VGZ121" s="2"/>
      <c r="VHA121" s="2"/>
      <c r="VHB121" s="2"/>
      <c r="VHC121" s="2"/>
      <c r="VHD121" s="2"/>
      <c r="VHE121" s="2"/>
      <c r="VHF121" s="2"/>
      <c r="VHG121" s="2"/>
      <c r="VHH121" s="2"/>
      <c r="VHI121" s="2"/>
      <c r="VHJ121" s="2"/>
      <c r="VHK121" s="2"/>
      <c r="VHL121" s="2"/>
      <c r="VHM121" s="2"/>
      <c r="VHN121" s="2"/>
      <c r="VHO121" s="2"/>
      <c r="VHP121" s="2"/>
      <c r="VHQ121" s="2"/>
      <c r="VHR121" s="2"/>
      <c r="VHS121" s="2"/>
      <c r="VHT121" s="2"/>
      <c r="VHU121" s="2"/>
      <c r="VHV121" s="2"/>
      <c r="VHW121" s="2"/>
      <c r="VHX121" s="2"/>
      <c r="VHY121" s="2"/>
      <c r="VHZ121" s="2"/>
      <c r="VIA121" s="2"/>
      <c r="VIB121" s="2"/>
      <c r="VIC121" s="2"/>
      <c r="VID121" s="2"/>
      <c r="VIE121" s="2"/>
      <c r="VIF121" s="2"/>
      <c r="VIG121" s="2"/>
      <c r="VIH121" s="2"/>
      <c r="VII121" s="2"/>
      <c r="VIJ121" s="2"/>
      <c r="VIK121" s="2"/>
      <c r="VIL121" s="2"/>
      <c r="VIM121" s="2"/>
      <c r="VIN121" s="2"/>
      <c r="VIO121" s="2"/>
      <c r="VIP121" s="2"/>
      <c r="VIQ121" s="2"/>
      <c r="VIR121" s="2"/>
      <c r="VIS121" s="2"/>
      <c r="VIT121" s="2"/>
      <c r="VIU121" s="2"/>
      <c r="VIV121" s="2"/>
      <c r="VIW121" s="2"/>
      <c r="VIX121" s="2"/>
      <c r="VIY121" s="2"/>
      <c r="VIZ121" s="2"/>
      <c r="VJA121" s="2"/>
      <c r="VJB121" s="2"/>
      <c r="VJC121" s="2"/>
      <c r="VJD121" s="2"/>
      <c r="VJE121" s="2"/>
      <c r="VJF121" s="2"/>
      <c r="VJG121" s="2"/>
      <c r="VJH121" s="2"/>
      <c r="VJI121" s="2"/>
      <c r="VJJ121" s="2"/>
      <c r="VJK121" s="2"/>
      <c r="VJL121" s="2"/>
      <c r="VJM121" s="2"/>
      <c r="VJN121" s="2"/>
      <c r="VJO121" s="2"/>
      <c r="VJP121" s="2"/>
      <c r="VJQ121" s="2"/>
      <c r="VJR121" s="2"/>
      <c r="VJS121" s="2"/>
      <c r="VJT121" s="2"/>
      <c r="VJU121" s="2"/>
      <c r="VJV121" s="2"/>
      <c r="VJW121" s="2"/>
      <c r="VJX121" s="2"/>
      <c r="VJY121" s="2"/>
      <c r="VJZ121" s="2"/>
      <c r="VKA121" s="2"/>
      <c r="VKB121" s="2"/>
      <c r="VKC121" s="2"/>
      <c r="VKD121" s="2"/>
      <c r="VKE121" s="2"/>
      <c r="VKF121" s="2"/>
      <c r="VKG121" s="2"/>
      <c r="VKH121" s="2"/>
      <c r="VKI121" s="2"/>
      <c r="VKJ121" s="2"/>
      <c r="VKK121" s="2"/>
      <c r="VKL121" s="2"/>
      <c r="VKM121" s="2"/>
      <c r="VKN121" s="2"/>
      <c r="VKO121" s="2"/>
      <c r="VKP121" s="2"/>
      <c r="VKQ121" s="2"/>
      <c r="VKR121" s="2"/>
      <c r="VKS121" s="2"/>
      <c r="VKT121" s="2"/>
      <c r="VKU121" s="2"/>
      <c r="VKV121" s="2"/>
      <c r="VKW121" s="2"/>
      <c r="VKX121" s="2"/>
      <c r="VKY121" s="2"/>
      <c r="VKZ121" s="2"/>
      <c r="VLA121" s="2"/>
      <c r="VLB121" s="2"/>
      <c r="VLC121" s="2"/>
      <c r="VLD121" s="2"/>
      <c r="VLE121" s="2"/>
      <c r="VLF121" s="2"/>
      <c r="VLG121" s="2"/>
      <c r="VLH121" s="2"/>
      <c r="VLI121" s="2"/>
      <c r="VLJ121" s="2"/>
      <c r="VLK121" s="2"/>
      <c r="VLL121" s="2"/>
      <c r="VLM121" s="2"/>
      <c r="VLN121" s="2"/>
      <c r="VLO121" s="2"/>
      <c r="VLP121" s="2"/>
      <c r="VLQ121" s="2"/>
      <c r="VLR121" s="2"/>
      <c r="VLS121" s="2"/>
      <c r="VLT121" s="2"/>
      <c r="VLU121" s="2"/>
      <c r="VLV121" s="2"/>
      <c r="VLW121" s="2"/>
      <c r="VLX121" s="2"/>
      <c r="VLY121" s="2"/>
      <c r="VLZ121" s="2"/>
      <c r="VMA121" s="2"/>
      <c r="VMB121" s="2"/>
      <c r="VMC121" s="2"/>
      <c r="VMD121" s="2"/>
      <c r="VME121" s="2"/>
      <c r="VMF121" s="2"/>
      <c r="VMG121" s="2"/>
      <c r="VMH121" s="2"/>
      <c r="VMI121" s="2"/>
      <c r="VMJ121" s="2"/>
      <c r="VMK121" s="2"/>
      <c r="VML121" s="2"/>
      <c r="VMM121" s="2"/>
      <c r="VMN121" s="2"/>
      <c r="VMO121" s="2"/>
      <c r="VMP121" s="2"/>
      <c r="VMQ121" s="2"/>
      <c r="VMR121" s="2"/>
      <c r="VMS121" s="2"/>
      <c r="VMT121" s="2"/>
      <c r="VMU121" s="2"/>
      <c r="VMV121" s="2"/>
      <c r="VMW121" s="2"/>
      <c r="VMX121" s="2"/>
      <c r="VMY121" s="2"/>
      <c r="VMZ121" s="2"/>
      <c r="VNA121" s="2"/>
      <c r="VNB121" s="2"/>
      <c r="VNC121" s="2"/>
      <c r="VND121" s="2"/>
      <c r="VNE121" s="2"/>
      <c r="VNF121" s="2"/>
      <c r="VNG121" s="2"/>
      <c r="VNH121" s="2"/>
      <c r="VNI121" s="2"/>
      <c r="VNJ121" s="2"/>
      <c r="VNK121" s="2"/>
      <c r="VNL121" s="2"/>
      <c r="VNM121" s="2"/>
      <c r="VNN121" s="2"/>
      <c r="VNO121" s="2"/>
      <c r="VNP121" s="2"/>
      <c r="VNQ121" s="2"/>
      <c r="VNR121" s="2"/>
      <c r="VNS121" s="2"/>
      <c r="VNT121" s="2"/>
      <c r="VNU121" s="2"/>
      <c r="VNV121" s="2"/>
      <c r="VNW121" s="2"/>
      <c r="VNX121" s="2"/>
      <c r="VNY121" s="2"/>
      <c r="VNZ121" s="2"/>
      <c r="VOA121" s="2"/>
      <c r="VOB121" s="2"/>
      <c r="VOC121" s="2"/>
      <c r="VOD121" s="2"/>
      <c r="VOE121" s="2"/>
      <c r="VOF121" s="2"/>
      <c r="VOG121" s="2"/>
      <c r="VOH121" s="2"/>
      <c r="VOI121" s="2"/>
      <c r="VOJ121" s="2"/>
      <c r="VOK121" s="2"/>
      <c r="VOL121" s="2"/>
      <c r="VOM121" s="2"/>
      <c r="VON121" s="2"/>
      <c r="VOO121" s="2"/>
      <c r="VOP121" s="2"/>
      <c r="VOQ121" s="2"/>
      <c r="VOR121" s="2"/>
      <c r="VOS121" s="2"/>
      <c r="VOT121" s="2"/>
      <c r="VOU121" s="2"/>
      <c r="VOV121" s="2"/>
      <c r="VOW121" s="2"/>
      <c r="VOX121" s="2"/>
      <c r="VOY121" s="2"/>
      <c r="VOZ121" s="2"/>
      <c r="VPA121" s="2"/>
      <c r="VPB121" s="2"/>
      <c r="VPC121" s="2"/>
      <c r="VPD121" s="2"/>
      <c r="VPE121" s="2"/>
      <c r="VPF121" s="2"/>
      <c r="VPG121" s="2"/>
      <c r="VPH121" s="2"/>
      <c r="VPI121" s="2"/>
      <c r="VPJ121" s="2"/>
      <c r="VPK121" s="2"/>
      <c r="VPL121" s="2"/>
      <c r="VPM121" s="2"/>
      <c r="VPN121" s="2"/>
      <c r="VPO121" s="2"/>
      <c r="VPP121" s="2"/>
      <c r="VPQ121" s="2"/>
      <c r="VPR121" s="2"/>
      <c r="VPS121" s="2"/>
      <c r="VPT121" s="2"/>
      <c r="VPU121" s="2"/>
      <c r="VPV121" s="2"/>
      <c r="VPW121" s="2"/>
      <c r="VPX121" s="2"/>
      <c r="VPY121" s="2"/>
      <c r="VPZ121" s="2"/>
      <c r="VQA121" s="2"/>
      <c r="VQB121" s="2"/>
      <c r="VQC121" s="2"/>
      <c r="VQD121" s="2"/>
      <c r="VQE121" s="2"/>
      <c r="VQF121" s="2"/>
      <c r="VQG121" s="2"/>
      <c r="VQH121" s="2"/>
      <c r="VQI121" s="2"/>
      <c r="VQJ121" s="2"/>
      <c r="VQK121" s="2"/>
      <c r="VQL121" s="2"/>
      <c r="VQM121" s="2"/>
      <c r="VQN121" s="2"/>
      <c r="VQO121" s="2"/>
      <c r="VQP121" s="2"/>
      <c r="VQQ121" s="2"/>
      <c r="VQR121" s="2"/>
      <c r="VQS121" s="2"/>
      <c r="VQT121" s="2"/>
      <c r="VQU121" s="2"/>
      <c r="VQV121" s="2"/>
      <c r="VQW121" s="2"/>
      <c r="VQX121" s="2"/>
      <c r="VQY121" s="2"/>
      <c r="VQZ121" s="2"/>
      <c r="VRA121" s="2"/>
      <c r="VRB121" s="2"/>
      <c r="VRC121" s="2"/>
      <c r="VRD121" s="2"/>
      <c r="VRE121" s="2"/>
      <c r="VRF121" s="2"/>
      <c r="VRG121" s="2"/>
      <c r="VRH121" s="2"/>
      <c r="VRI121" s="2"/>
      <c r="VRJ121" s="2"/>
      <c r="VRK121" s="2"/>
      <c r="VRL121" s="2"/>
      <c r="VRM121" s="2"/>
      <c r="VRN121" s="2"/>
      <c r="VRO121" s="2"/>
      <c r="VRP121" s="2"/>
      <c r="VRQ121" s="2"/>
      <c r="VRR121" s="2"/>
      <c r="VRS121" s="2"/>
      <c r="VRT121" s="2"/>
      <c r="VRU121" s="2"/>
      <c r="VRV121" s="2"/>
      <c r="VRW121" s="2"/>
      <c r="VRX121" s="2"/>
      <c r="VRY121" s="2"/>
      <c r="VRZ121" s="2"/>
      <c r="VSA121" s="2"/>
      <c r="VSB121" s="2"/>
      <c r="VSC121" s="2"/>
      <c r="VSD121" s="2"/>
      <c r="VSE121" s="2"/>
      <c r="VSF121" s="2"/>
      <c r="VSG121" s="2"/>
      <c r="VSH121" s="2"/>
      <c r="VSI121" s="2"/>
      <c r="VSJ121" s="2"/>
      <c r="VSK121" s="2"/>
      <c r="VSL121" s="2"/>
      <c r="VSM121" s="2"/>
      <c r="VSN121" s="2"/>
      <c r="VSO121" s="2"/>
      <c r="VSP121" s="2"/>
      <c r="VSQ121" s="2"/>
      <c r="VSR121" s="2"/>
      <c r="VSS121" s="2"/>
      <c r="VST121" s="2"/>
      <c r="VSU121" s="2"/>
      <c r="VSV121" s="2"/>
      <c r="VSW121" s="2"/>
      <c r="VSX121" s="2"/>
      <c r="VSY121" s="2"/>
      <c r="VSZ121" s="2"/>
      <c r="VTA121" s="2"/>
      <c r="VTB121" s="2"/>
      <c r="VTC121" s="2"/>
      <c r="VTD121" s="2"/>
      <c r="VTE121" s="2"/>
      <c r="VTF121" s="2"/>
      <c r="VTG121" s="2"/>
      <c r="VTH121" s="2"/>
      <c r="VTI121" s="2"/>
      <c r="VTJ121" s="2"/>
      <c r="VTK121" s="2"/>
      <c r="VTL121" s="2"/>
      <c r="VTM121" s="2"/>
      <c r="VTN121" s="2"/>
      <c r="VTO121" s="2"/>
      <c r="VTP121" s="2"/>
      <c r="VTQ121" s="2"/>
      <c r="VTR121" s="2"/>
      <c r="VTS121" s="2"/>
      <c r="VTT121" s="2"/>
      <c r="VTU121" s="2"/>
      <c r="VTV121" s="2"/>
      <c r="VTW121" s="2"/>
      <c r="VTX121" s="2"/>
      <c r="VTY121" s="2"/>
      <c r="VTZ121" s="2"/>
      <c r="VUA121" s="2"/>
      <c r="VUB121" s="2"/>
      <c r="VUC121" s="2"/>
      <c r="VUD121" s="2"/>
      <c r="VUE121" s="2"/>
      <c r="VUF121" s="2"/>
      <c r="VUG121" s="2"/>
      <c r="VUH121" s="2"/>
      <c r="VUI121" s="2"/>
      <c r="VUJ121" s="2"/>
      <c r="VUK121" s="2"/>
      <c r="VUL121" s="2"/>
      <c r="VUM121" s="2"/>
      <c r="VUN121" s="2"/>
      <c r="VUO121" s="2"/>
      <c r="VUP121" s="2"/>
      <c r="VUQ121" s="2"/>
      <c r="VUR121" s="2"/>
      <c r="VUS121" s="2"/>
      <c r="VUT121" s="2"/>
      <c r="VUU121" s="2"/>
      <c r="VUV121" s="2"/>
      <c r="VUW121" s="2"/>
      <c r="VUX121" s="2"/>
      <c r="VUY121" s="2"/>
      <c r="VUZ121" s="2"/>
      <c r="VVA121" s="2"/>
      <c r="VVB121" s="2"/>
      <c r="VVC121" s="2"/>
      <c r="VVD121" s="2"/>
      <c r="VVE121" s="2"/>
      <c r="VVF121" s="2"/>
      <c r="VVG121" s="2"/>
      <c r="VVH121" s="2"/>
      <c r="VVI121" s="2"/>
      <c r="VVJ121" s="2"/>
      <c r="VVK121" s="2"/>
      <c r="VVL121" s="2"/>
      <c r="VVM121" s="2"/>
      <c r="VVN121" s="2"/>
      <c r="VVO121" s="2"/>
      <c r="VVP121" s="2"/>
      <c r="VVQ121" s="2"/>
      <c r="VVR121" s="2"/>
      <c r="VVS121" s="2"/>
      <c r="VVT121" s="2"/>
      <c r="VVU121" s="2"/>
      <c r="VVV121" s="2"/>
      <c r="VVW121" s="2"/>
      <c r="VVX121" s="2"/>
      <c r="VVY121" s="2"/>
      <c r="VVZ121" s="2"/>
      <c r="VWA121" s="2"/>
      <c r="VWB121" s="2"/>
      <c r="VWC121" s="2"/>
      <c r="VWD121" s="2"/>
      <c r="VWE121" s="2"/>
      <c r="VWF121" s="2"/>
      <c r="VWG121" s="2"/>
      <c r="VWH121" s="2"/>
      <c r="VWI121" s="2"/>
      <c r="VWJ121" s="2"/>
      <c r="VWK121" s="2"/>
      <c r="VWL121" s="2"/>
      <c r="VWM121" s="2"/>
      <c r="VWN121" s="2"/>
      <c r="VWO121" s="2"/>
      <c r="VWP121" s="2"/>
      <c r="VWQ121" s="2"/>
      <c r="VWR121" s="2"/>
      <c r="VWS121" s="2"/>
      <c r="VWT121" s="2"/>
      <c r="VWU121" s="2"/>
      <c r="VWV121" s="2"/>
      <c r="VWW121" s="2"/>
      <c r="VWX121" s="2"/>
      <c r="VWY121" s="2"/>
      <c r="VWZ121" s="2"/>
      <c r="VXA121" s="2"/>
      <c r="VXB121" s="2"/>
      <c r="VXC121" s="2"/>
      <c r="VXD121" s="2"/>
      <c r="VXE121" s="2"/>
      <c r="VXF121" s="2"/>
      <c r="VXG121" s="2"/>
      <c r="VXH121" s="2"/>
      <c r="VXI121" s="2"/>
      <c r="VXJ121" s="2"/>
      <c r="VXK121" s="2"/>
      <c r="VXL121" s="2"/>
      <c r="VXM121" s="2"/>
      <c r="VXN121" s="2"/>
      <c r="VXO121" s="2"/>
      <c r="VXP121" s="2"/>
      <c r="VXQ121" s="2"/>
      <c r="VXR121" s="2"/>
      <c r="VXS121" s="2"/>
      <c r="VXT121" s="2"/>
      <c r="VXU121" s="2"/>
      <c r="VXV121" s="2"/>
      <c r="VXW121" s="2"/>
      <c r="VXX121" s="2"/>
      <c r="VXY121" s="2"/>
      <c r="VXZ121" s="2"/>
      <c r="VYA121" s="2"/>
      <c r="VYB121" s="2"/>
      <c r="VYC121" s="2"/>
      <c r="VYD121" s="2"/>
      <c r="VYE121" s="2"/>
      <c r="VYF121" s="2"/>
      <c r="VYG121" s="2"/>
      <c r="VYH121" s="2"/>
      <c r="VYI121" s="2"/>
      <c r="VYJ121" s="2"/>
      <c r="VYK121" s="2"/>
      <c r="VYL121" s="2"/>
      <c r="VYM121" s="2"/>
      <c r="VYN121" s="2"/>
      <c r="VYO121" s="2"/>
      <c r="VYP121" s="2"/>
      <c r="VYQ121" s="2"/>
      <c r="VYR121" s="2"/>
      <c r="VYS121" s="2"/>
      <c r="VYT121" s="2"/>
      <c r="VYU121" s="2"/>
      <c r="VYV121" s="2"/>
      <c r="VYW121" s="2"/>
      <c r="VYX121" s="2"/>
      <c r="VYY121" s="2"/>
      <c r="VYZ121" s="2"/>
      <c r="VZA121" s="2"/>
      <c r="VZB121" s="2"/>
      <c r="VZC121" s="2"/>
      <c r="VZD121" s="2"/>
      <c r="VZE121" s="2"/>
      <c r="VZF121" s="2"/>
      <c r="VZG121" s="2"/>
      <c r="VZH121" s="2"/>
      <c r="VZI121" s="2"/>
      <c r="VZJ121" s="2"/>
      <c r="VZK121" s="2"/>
      <c r="VZL121" s="2"/>
      <c r="VZM121" s="2"/>
      <c r="VZN121" s="2"/>
      <c r="VZO121" s="2"/>
      <c r="VZP121" s="2"/>
      <c r="VZQ121" s="2"/>
      <c r="VZR121" s="2"/>
      <c r="VZS121" s="2"/>
      <c r="VZT121" s="2"/>
      <c r="VZU121" s="2"/>
      <c r="VZV121" s="2"/>
      <c r="VZW121" s="2"/>
      <c r="VZX121" s="2"/>
      <c r="VZY121" s="2"/>
      <c r="VZZ121" s="2"/>
      <c r="WAA121" s="2"/>
      <c r="WAB121" s="2"/>
      <c r="WAC121" s="2"/>
      <c r="WAD121" s="2"/>
      <c r="WAE121" s="2"/>
      <c r="WAF121" s="2"/>
      <c r="WAG121" s="2"/>
      <c r="WAH121" s="2"/>
      <c r="WAI121" s="2"/>
      <c r="WAJ121" s="2"/>
      <c r="WAK121" s="2"/>
      <c r="WAL121" s="2"/>
      <c r="WAM121" s="2"/>
      <c r="WAN121" s="2"/>
      <c r="WAO121" s="2"/>
      <c r="WAP121" s="2"/>
      <c r="WAQ121" s="2"/>
      <c r="WAR121" s="2"/>
      <c r="WAS121" s="2"/>
      <c r="WAT121" s="2"/>
      <c r="WAU121" s="2"/>
      <c r="WAV121" s="2"/>
      <c r="WAW121" s="2"/>
      <c r="WAX121" s="2"/>
      <c r="WAY121" s="2"/>
      <c r="WAZ121" s="2"/>
      <c r="WBA121" s="2"/>
      <c r="WBB121" s="2"/>
      <c r="WBC121" s="2"/>
      <c r="WBD121" s="2"/>
      <c r="WBE121" s="2"/>
      <c r="WBF121" s="2"/>
      <c r="WBG121" s="2"/>
      <c r="WBH121" s="2"/>
      <c r="WBI121" s="2"/>
      <c r="WBJ121" s="2"/>
      <c r="WBK121" s="2"/>
      <c r="WBL121" s="2"/>
      <c r="WBM121" s="2"/>
      <c r="WBN121" s="2"/>
      <c r="WBO121" s="2"/>
      <c r="WBP121" s="2"/>
      <c r="WBQ121" s="2"/>
      <c r="WBR121" s="2"/>
      <c r="WBS121" s="2"/>
      <c r="WBT121" s="2"/>
      <c r="WBU121" s="2"/>
      <c r="WBV121" s="2"/>
      <c r="WBW121" s="2"/>
      <c r="WBX121" s="2"/>
      <c r="WBY121" s="2"/>
      <c r="WBZ121" s="2"/>
      <c r="WCA121" s="2"/>
      <c r="WCB121" s="2"/>
      <c r="WCC121" s="2"/>
      <c r="WCD121" s="2"/>
      <c r="WCE121" s="2"/>
      <c r="WCF121" s="2"/>
      <c r="WCG121" s="2"/>
      <c r="WCH121" s="2"/>
      <c r="WCI121" s="2"/>
      <c r="WCJ121" s="2"/>
      <c r="WCK121" s="2"/>
      <c r="WCL121" s="2"/>
      <c r="WCM121" s="2"/>
      <c r="WCN121" s="2"/>
      <c r="WCO121" s="2"/>
      <c r="WCP121" s="2"/>
      <c r="WCQ121" s="2"/>
      <c r="WCR121" s="2"/>
      <c r="WCS121" s="2"/>
      <c r="WCT121" s="2"/>
      <c r="WCU121" s="2"/>
      <c r="WCV121" s="2"/>
      <c r="WCW121" s="2"/>
      <c r="WCX121" s="2"/>
      <c r="WCY121" s="2"/>
      <c r="WCZ121" s="2"/>
      <c r="WDA121" s="2"/>
      <c r="WDB121" s="2"/>
      <c r="WDC121" s="2"/>
      <c r="WDD121" s="2"/>
      <c r="WDE121" s="2"/>
      <c r="WDF121" s="2"/>
      <c r="WDG121" s="2"/>
      <c r="WDH121" s="2"/>
      <c r="WDI121" s="2"/>
      <c r="WDJ121" s="2"/>
      <c r="WDK121" s="2"/>
      <c r="WDL121" s="2"/>
      <c r="WDM121" s="2"/>
      <c r="WDN121" s="2"/>
      <c r="WDO121" s="2"/>
      <c r="WDP121" s="2"/>
      <c r="WDQ121" s="2"/>
      <c r="WDR121" s="2"/>
      <c r="WDS121" s="2"/>
      <c r="WDT121" s="2"/>
      <c r="WDU121" s="2"/>
      <c r="WDV121" s="2"/>
      <c r="WDW121" s="2"/>
      <c r="WDX121" s="2"/>
      <c r="WDY121" s="2"/>
      <c r="WDZ121" s="2"/>
      <c r="WEA121" s="2"/>
      <c r="WEB121" s="2"/>
      <c r="WEC121" s="2"/>
      <c r="WED121" s="2"/>
      <c r="WEE121" s="2"/>
      <c r="WEF121" s="2"/>
      <c r="WEG121" s="2"/>
      <c r="WEH121" s="2"/>
      <c r="WEI121" s="2"/>
      <c r="WEJ121" s="2"/>
      <c r="WEK121" s="2"/>
      <c r="WEL121" s="2"/>
      <c r="WEM121" s="2"/>
      <c r="WEN121" s="2"/>
      <c r="WEO121" s="2"/>
      <c r="WEP121" s="2"/>
      <c r="WEQ121" s="2"/>
      <c r="WER121" s="2"/>
      <c r="WES121" s="2"/>
      <c r="WET121" s="2"/>
      <c r="WEU121" s="2"/>
      <c r="WEV121" s="2"/>
      <c r="WEW121" s="2"/>
      <c r="WEX121" s="2"/>
      <c r="WEY121" s="2"/>
      <c r="WEZ121" s="2"/>
      <c r="WFA121" s="2"/>
      <c r="WFB121" s="2"/>
      <c r="WFC121" s="2"/>
      <c r="WFD121" s="2"/>
      <c r="WFE121" s="2"/>
      <c r="WFF121" s="2"/>
      <c r="WFG121" s="2"/>
      <c r="WFH121" s="2"/>
      <c r="WFI121" s="2"/>
      <c r="WFJ121" s="2"/>
      <c r="WFK121" s="2"/>
      <c r="WFL121" s="2"/>
      <c r="WFM121" s="2"/>
      <c r="WFN121" s="2"/>
      <c r="WFO121" s="2"/>
      <c r="WFP121" s="2"/>
      <c r="WFQ121" s="2"/>
      <c r="WFR121" s="2"/>
      <c r="WFS121" s="2"/>
      <c r="WFT121" s="2"/>
      <c r="WFU121" s="2"/>
      <c r="WFV121" s="2"/>
      <c r="WFW121" s="2"/>
      <c r="WFX121" s="2"/>
      <c r="WFY121" s="2"/>
      <c r="WFZ121" s="2"/>
      <c r="WGA121" s="2"/>
      <c r="WGB121" s="2"/>
      <c r="WGC121" s="2"/>
      <c r="WGD121" s="2"/>
      <c r="WGE121" s="2"/>
      <c r="WGF121" s="2"/>
      <c r="WGG121" s="2"/>
      <c r="WGH121" s="2"/>
      <c r="WGI121" s="2"/>
      <c r="WGJ121" s="2"/>
      <c r="WGK121" s="2"/>
      <c r="WGL121" s="2"/>
      <c r="WGM121" s="2"/>
      <c r="WGN121" s="2"/>
      <c r="WGO121" s="2"/>
      <c r="WGP121" s="2"/>
      <c r="WGQ121" s="2"/>
      <c r="WGR121" s="2"/>
      <c r="WGS121" s="2"/>
      <c r="WGT121" s="2"/>
      <c r="WGU121" s="2"/>
      <c r="WGV121" s="2"/>
      <c r="WGW121" s="2"/>
      <c r="WGX121" s="2"/>
      <c r="WGY121" s="2"/>
      <c r="WGZ121" s="2"/>
      <c r="WHA121" s="2"/>
      <c r="WHB121" s="2"/>
      <c r="WHC121" s="2"/>
      <c r="WHD121" s="2"/>
      <c r="WHE121" s="2"/>
      <c r="WHF121" s="2"/>
      <c r="WHG121" s="2"/>
      <c r="WHH121" s="2"/>
      <c r="WHI121" s="2"/>
      <c r="WHJ121" s="2"/>
      <c r="WHK121" s="2"/>
      <c r="WHL121" s="2"/>
      <c r="WHM121" s="2"/>
      <c r="WHN121" s="2"/>
      <c r="WHO121" s="2"/>
      <c r="WHP121" s="2"/>
      <c r="WHQ121" s="2"/>
      <c r="WHR121" s="2"/>
      <c r="WHS121" s="2"/>
      <c r="WHT121" s="2"/>
      <c r="WHU121" s="2"/>
      <c r="WHV121" s="2"/>
      <c r="WHW121" s="2"/>
      <c r="WHX121" s="2"/>
      <c r="WHY121" s="2"/>
      <c r="WHZ121" s="2"/>
      <c r="WIA121" s="2"/>
      <c r="WIB121" s="2"/>
      <c r="WIC121" s="2"/>
      <c r="WID121" s="2"/>
      <c r="WIE121" s="2"/>
      <c r="WIF121" s="2"/>
      <c r="WIG121" s="2"/>
      <c r="WIH121" s="2"/>
      <c r="WII121" s="2"/>
      <c r="WIJ121" s="2"/>
      <c r="WIK121" s="2"/>
      <c r="WIL121" s="2"/>
      <c r="WIM121" s="2"/>
      <c r="WIN121" s="2"/>
      <c r="WIO121" s="2"/>
      <c r="WIP121" s="2"/>
      <c r="WIQ121" s="2"/>
      <c r="WIR121" s="2"/>
      <c r="WIS121" s="2"/>
      <c r="WIT121" s="2"/>
      <c r="WIU121" s="2"/>
      <c r="WIV121" s="2"/>
      <c r="WIW121" s="2"/>
      <c r="WIX121" s="2"/>
      <c r="WIY121" s="2"/>
      <c r="WIZ121" s="2"/>
      <c r="WJA121" s="2"/>
      <c r="WJB121" s="2"/>
      <c r="WJC121" s="2"/>
      <c r="WJD121" s="2"/>
      <c r="WJE121" s="2"/>
      <c r="WJF121" s="2"/>
      <c r="WJG121" s="2"/>
      <c r="WJH121" s="2"/>
      <c r="WJI121" s="2"/>
      <c r="WJJ121" s="2"/>
      <c r="WJK121" s="2"/>
      <c r="WJL121" s="2"/>
      <c r="WJM121" s="2"/>
      <c r="WJN121" s="2"/>
      <c r="WJO121" s="2"/>
      <c r="WJP121" s="2"/>
      <c r="WJQ121" s="2"/>
      <c r="WJR121" s="2"/>
      <c r="WJS121" s="2"/>
      <c r="WJT121" s="2"/>
      <c r="WJU121" s="2"/>
      <c r="WJV121" s="2"/>
      <c r="WJW121" s="2"/>
      <c r="WJX121" s="2"/>
      <c r="WJY121" s="2"/>
      <c r="WJZ121" s="2"/>
      <c r="WKA121" s="2"/>
      <c r="WKB121" s="2"/>
      <c r="WKC121" s="2"/>
      <c r="WKD121" s="2"/>
      <c r="WKE121" s="2"/>
      <c r="WKF121" s="2"/>
      <c r="WKG121" s="2"/>
      <c r="WKH121" s="2"/>
      <c r="WKI121" s="2"/>
      <c r="WKJ121" s="2"/>
      <c r="WKK121" s="2"/>
      <c r="WKL121" s="2"/>
      <c r="WKM121" s="2"/>
      <c r="WKN121" s="2"/>
      <c r="WKO121" s="2"/>
      <c r="WKP121" s="2"/>
      <c r="WKQ121" s="2"/>
      <c r="WKR121" s="2"/>
      <c r="WKS121" s="2"/>
      <c r="WKT121" s="2"/>
      <c r="WKU121" s="2"/>
      <c r="WKV121" s="2"/>
      <c r="WKW121" s="2"/>
      <c r="WKX121" s="2"/>
      <c r="WKY121" s="2"/>
      <c r="WKZ121" s="2"/>
      <c r="WLA121" s="2"/>
      <c r="WLB121" s="2"/>
      <c r="WLC121" s="2"/>
      <c r="WLD121" s="2"/>
      <c r="WLE121" s="2"/>
      <c r="WLF121" s="2"/>
      <c r="WLG121" s="2"/>
      <c r="WLH121" s="2"/>
      <c r="WLI121" s="2"/>
      <c r="WLJ121" s="2"/>
      <c r="WLK121" s="2"/>
      <c r="WLL121" s="2"/>
      <c r="WLM121" s="2"/>
      <c r="WLN121" s="2"/>
      <c r="WLO121" s="2"/>
      <c r="WLP121" s="2"/>
      <c r="WLQ121" s="2"/>
      <c r="WLR121" s="2"/>
      <c r="WLS121" s="2"/>
      <c r="WLT121" s="2"/>
      <c r="WLU121" s="2"/>
      <c r="WLV121" s="2"/>
      <c r="WLW121" s="2"/>
      <c r="WLX121" s="2"/>
      <c r="WLY121" s="2"/>
      <c r="WLZ121" s="2"/>
      <c r="WMA121" s="2"/>
      <c r="WMB121" s="2"/>
      <c r="WMC121" s="2"/>
      <c r="WMD121" s="2"/>
      <c r="WME121" s="2"/>
      <c r="WMF121" s="2"/>
      <c r="WMG121" s="2"/>
      <c r="WMH121" s="2"/>
      <c r="WMI121" s="2"/>
      <c r="WMJ121" s="2"/>
      <c r="WMK121" s="2"/>
      <c r="WML121" s="2"/>
      <c r="WMM121" s="2"/>
      <c r="WMN121" s="2"/>
      <c r="WMO121" s="2"/>
      <c r="WMP121" s="2"/>
      <c r="WMQ121" s="2"/>
      <c r="WMR121" s="2"/>
      <c r="WMS121" s="2"/>
      <c r="WMT121" s="2"/>
      <c r="WMU121" s="2"/>
      <c r="WMV121" s="2"/>
      <c r="WMW121" s="2"/>
      <c r="WMX121" s="2"/>
      <c r="WMY121" s="2"/>
      <c r="WMZ121" s="2"/>
      <c r="WNA121" s="2"/>
      <c r="WNB121" s="2"/>
      <c r="WNC121" s="2"/>
      <c r="WND121" s="2"/>
      <c r="WNE121" s="2"/>
      <c r="WNF121" s="2"/>
      <c r="WNG121" s="2"/>
      <c r="WNH121" s="2"/>
      <c r="WNI121" s="2"/>
      <c r="WNJ121" s="2"/>
      <c r="WNK121" s="2"/>
      <c r="WNL121" s="2"/>
      <c r="WNM121" s="2"/>
      <c r="WNN121" s="2"/>
      <c r="WNO121" s="2"/>
      <c r="WNP121" s="2"/>
      <c r="WNQ121" s="2"/>
      <c r="WNR121" s="2"/>
      <c r="WNS121" s="2"/>
      <c r="WNT121" s="2"/>
      <c r="WNU121" s="2"/>
      <c r="WNV121" s="2"/>
      <c r="WNW121" s="2"/>
      <c r="WNX121" s="2"/>
      <c r="WNY121" s="2"/>
      <c r="WNZ121" s="2"/>
      <c r="WOA121" s="2"/>
      <c r="WOB121" s="2"/>
      <c r="WOC121" s="2"/>
      <c r="WOD121" s="2"/>
      <c r="WOE121" s="2"/>
      <c r="WOF121" s="2"/>
      <c r="WOG121" s="2"/>
      <c r="WOH121" s="2"/>
      <c r="WOI121" s="2"/>
      <c r="WOJ121" s="2"/>
      <c r="WOK121" s="2"/>
      <c r="WOL121" s="2"/>
      <c r="WOM121" s="2"/>
      <c r="WON121" s="2"/>
      <c r="WOO121" s="2"/>
      <c r="WOP121" s="2"/>
      <c r="WOQ121" s="2"/>
      <c r="WOR121" s="2"/>
      <c r="WOS121" s="2"/>
      <c r="WOT121" s="2"/>
      <c r="WOU121" s="2"/>
      <c r="WOV121" s="2"/>
      <c r="WOW121" s="2"/>
      <c r="WOX121" s="2"/>
      <c r="WOY121" s="2"/>
      <c r="WOZ121" s="2"/>
      <c r="WPA121" s="2"/>
      <c r="WPB121" s="2"/>
      <c r="WPC121" s="2"/>
      <c r="WPD121" s="2"/>
      <c r="WPE121" s="2"/>
      <c r="WPF121" s="2"/>
      <c r="WPG121" s="2"/>
      <c r="WPH121" s="2"/>
      <c r="WPI121" s="2"/>
      <c r="WPJ121" s="2"/>
      <c r="WPK121" s="2"/>
      <c r="WPL121" s="2"/>
      <c r="WPM121" s="2"/>
      <c r="WPN121" s="2"/>
      <c r="WPO121" s="2"/>
      <c r="WPP121" s="2"/>
      <c r="WPQ121" s="2"/>
      <c r="WPR121" s="2"/>
      <c r="WPS121" s="2"/>
      <c r="WPT121" s="2"/>
      <c r="WPU121" s="2"/>
      <c r="WPV121" s="2"/>
      <c r="WPW121" s="2"/>
      <c r="WPX121" s="2"/>
      <c r="WPY121" s="2"/>
      <c r="WPZ121" s="2"/>
      <c r="WQA121" s="2"/>
      <c r="WQB121" s="2"/>
      <c r="WQC121" s="2"/>
      <c r="WQD121" s="2"/>
      <c r="WQE121" s="2"/>
      <c r="WQF121" s="2"/>
      <c r="WQG121" s="2"/>
      <c r="WQH121" s="2"/>
      <c r="WQI121" s="2"/>
      <c r="WQJ121" s="2"/>
      <c r="WQK121" s="2"/>
      <c r="WQL121" s="2"/>
      <c r="WQM121" s="2"/>
      <c r="WQN121" s="2"/>
      <c r="WQO121" s="2"/>
      <c r="WQP121" s="2"/>
      <c r="WQQ121" s="2"/>
      <c r="WQR121" s="2"/>
      <c r="WQS121" s="2"/>
      <c r="WQT121" s="2"/>
      <c r="WQU121" s="2"/>
      <c r="WQV121" s="2"/>
      <c r="WQW121" s="2"/>
      <c r="WQX121" s="2"/>
      <c r="WQY121" s="2"/>
      <c r="WQZ121" s="2"/>
      <c r="WRA121" s="2"/>
      <c r="WRB121" s="2"/>
      <c r="WRC121" s="2"/>
      <c r="WRD121" s="2"/>
      <c r="WRE121" s="2"/>
      <c r="WRF121" s="2"/>
      <c r="WRG121" s="2"/>
      <c r="WRH121" s="2"/>
      <c r="WRI121" s="2"/>
      <c r="WRJ121" s="2"/>
      <c r="WRK121" s="2"/>
      <c r="WRL121" s="2"/>
      <c r="WRM121" s="2"/>
      <c r="WRN121" s="2"/>
      <c r="WRO121" s="2"/>
      <c r="WRP121" s="2"/>
      <c r="WRQ121" s="2"/>
      <c r="WRR121" s="2"/>
      <c r="WRS121" s="2"/>
      <c r="WRT121" s="2"/>
      <c r="WRU121" s="2"/>
      <c r="WRV121" s="2"/>
      <c r="WRW121" s="2"/>
      <c r="WRX121" s="2"/>
      <c r="WRY121" s="2"/>
      <c r="WRZ121" s="2"/>
      <c r="WSA121" s="2"/>
      <c r="WSB121" s="2"/>
      <c r="WSC121" s="2"/>
      <c r="WSD121" s="2"/>
      <c r="WSE121" s="2"/>
      <c r="WSF121" s="2"/>
      <c r="WSG121" s="2"/>
      <c r="WSH121" s="2"/>
      <c r="WSI121" s="2"/>
      <c r="WSJ121" s="2"/>
      <c r="WSK121" s="2"/>
      <c r="WSL121" s="2"/>
      <c r="WSM121" s="2"/>
      <c r="WSN121" s="2"/>
      <c r="WSO121" s="2"/>
      <c r="WSP121" s="2"/>
      <c r="WSQ121" s="2"/>
      <c r="WSR121" s="2"/>
      <c r="WSS121" s="2"/>
      <c r="WST121" s="2"/>
      <c r="WSU121" s="2"/>
      <c r="WSV121" s="2"/>
      <c r="WSW121" s="2"/>
      <c r="WSX121" s="2"/>
      <c r="WSY121" s="2"/>
      <c r="WSZ121" s="2"/>
      <c r="WTA121" s="2"/>
      <c r="WTB121" s="2"/>
      <c r="WTC121" s="2"/>
      <c r="WTD121" s="2"/>
      <c r="WTE121" s="2"/>
      <c r="WTF121" s="2"/>
      <c r="WTG121" s="2"/>
      <c r="WTH121" s="2"/>
      <c r="WTI121" s="2"/>
      <c r="WTJ121" s="2"/>
      <c r="WTK121" s="2"/>
      <c r="WTL121" s="2"/>
      <c r="WTM121" s="2"/>
      <c r="WTN121" s="2"/>
      <c r="WTO121" s="2"/>
      <c r="WTP121" s="2"/>
      <c r="WTQ121" s="2"/>
      <c r="WTR121" s="2"/>
      <c r="WTS121" s="2"/>
      <c r="WTT121" s="2"/>
      <c r="WTU121" s="2"/>
      <c r="WTV121" s="2"/>
      <c r="WTW121" s="2"/>
      <c r="WTX121" s="2"/>
      <c r="WTY121" s="2"/>
      <c r="WTZ121" s="2"/>
      <c r="WUA121" s="2"/>
      <c r="WUB121" s="2"/>
      <c r="WUC121" s="2"/>
      <c r="WUD121" s="2"/>
      <c r="WUE121" s="2"/>
      <c r="WUF121" s="2"/>
      <c r="WUG121" s="2"/>
      <c r="WUH121" s="2"/>
      <c r="WUI121" s="2"/>
      <c r="WUJ121" s="2"/>
      <c r="WUK121" s="2"/>
      <c r="WUL121" s="2"/>
      <c r="WUM121" s="2"/>
      <c r="WUN121" s="2"/>
      <c r="WUO121" s="2"/>
      <c r="WUP121" s="2"/>
      <c r="WUQ121" s="2"/>
      <c r="WUR121" s="2"/>
      <c r="WUS121" s="2"/>
      <c r="WUT121" s="2"/>
      <c r="WUU121" s="2"/>
      <c r="WUV121" s="2"/>
      <c r="WUW121" s="2"/>
      <c r="WUX121" s="2"/>
      <c r="WUY121" s="2"/>
      <c r="WUZ121" s="2"/>
      <c r="WVA121" s="2"/>
      <c r="WVB121" s="2"/>
      <c r="WVC121" s="2"/>
      <c r="WVD121" s="2"/>
      <c r="WVE121" s="2"/>
      <c r="WVF121" s="2"/>
      <c r="WVG121" s="2"/>
      <c r="WVH121" s="2"/>
      <c r="WVI121" s="2"/>
      <c r="WVJ121" s="2"/>
      <c r="WVK121" s="2"/>
      <c r="WVL121" s="2"/>
      <c r="WVM121" s="2"/>
      <c r="WVN121" s="2"/>
      <c r="WVO121" s="2"/>
      <c r="WVP121" s="2"/>
      <c r="WVQ121" s="2"/>
      <c r="WVR121" s="2"/>
      <c r="WVS121" s="2"/>
      <c r="WVT121" s="2"/>
      <c r="WVU121" s="2"/>
      <c r="WVV121" s="2"/>
      <c r="WVW121" s="2"/>
      <c r="WVX121" s="2"/>
      <c r="WVY121" s="2"/>
      <c r="WVZ121" s="2"/>
      <c r="WWA121" s="2"/>
      <c r="WWB121" s="2"/>
      <c r="WWC121" s="2"/>
      <c r="WWD121" s="2"/>
      <c r="WWE121" s="2"/>
      <c r="WWF121" s="2"/>
      <c r="WWG121" s="2"/>
      <c r="WWH121" s="2"/>
      <c r="WWI121" s="2"/>
      <c r="WWJ121" s="2"/>
      <c r="WWK121" s="2"/>
      <c r="WWL121" s="2"/>
      <c r="WWM121" s="2"/>
      <c r="WWN121" s="2"/>
      <c r="WWO121" s="2"/>
      <c r="WWP121" s="2"/>
      <c r="WWQ121" s="2"/>
      <c r="WWR121" s="2"/>
      <c r="WWS121" s="2"/>
      <c r="WWT121" s="2"/>
      <c r="WWU121" s="2"/>
      <c r="WWV121" s="2"/>
      <c r="WWW121" s="2"/>
      <c r="WWX121" s="2"/>
      <c r="WWY121" s="2"/>
      <c r="WWZ121" s="2"/>
      <c r="WXA121" s="2"/>
      <c r="WXB121" s="2"/>
      <c r="WXC121" s="2"/>
      <c r="WXD121" s="2"/>
      <c r="WXE121" s="2"/>
      <c r="WXF121" s="2"/>
      <c r="WXG121" s="2"/>
      <c r="WXH121" s="2"/>
      <c r="WXI121" s="2"/>
      <c r="WXJ121" s="2"/>
      <c r="WXK121" s="2"/>
      <c r="WXL121" s="2"/>
      <c r="WXM121" s="2"/>
      <c r="WXN121" s="2"/>
      <c r="WXO121" s="2"/>
      <c r="WXP121" s="2"/>
      <c r="WXQ121" s="2"/>
      <c r="WXR121" s="2"/>
      <c r="WXS121" s="2"/>
      <c r="WXT121" s="2"/>
      <c r="WXU121" s="2"/>
      <c r="WXV121" s="2"/>
      <c r="WXW121" s="2"/>
      <c r="WXX121" s="2"/>
      <c r="WXY121" s="2"/>
      <c r="WXZ121" s="2"/>
      <c r="WYA121" s="2"/>
      <c r="WYB121" s="2"/>
      <c r="WYC121" s="2"/>
      <c r="WYD121" s="2"/>
      <c r="WYE121" s="2"/>
      <c r="WYF121" s="2"/>
      <c r="WYG121" s="2"/>
      <c r="WYH121" s="2"/>
      <c r="WYI121" s="2"/>
      <c r="WYJ121" s="2"/>
      <c r="WYK121" s="2"/>
      <c r="WYL121" s="2"/>
      <c r="WYM121" s="2"/>
      <c r="WYN121" s="2"/>
      <c r="WYO121" s="2"/>
      <c r="WYP121" s="2"/>
      <c r="WYQ121" s="2"/>
      <c r="WYR121" s="2"/>
      <c r="WYS121" s="2"/>
      <c r="WYT121" s="2"/>
      <c r="WYU121" s="2"/>
      <c r="WYV121" s="2"/>
      <c r="WYW121" s="2"/>
      <c r="WYX121" s="2"/>
      <c r="WYY121" s="2"/>
      <c r="WYZ121" s="2"/>
      <c r="WZA121" s="2"/>
      <c r="WZB121" s="2"/>
      <c r="WZC121" s="2"/>
      <c r="WZD121" s="2"/>
      <c r="WZE121" s="2"/>
      <c r="WZF121" s="2"/>
      <c r="WZG121" s="2"/>
      <c r="WZH121" s="2"/>
      <c r="WZI121" s="2"/>
      <c r="WZJ121" s="2"/>
      <c r="WZK121" s="2"/>
      <c r="WZL121" s="2"/>
      <c r="WZM121" s="2"/>
      <c r="WZN121" s="2"/>
      <c r="WZO121" s="2"/>
      <c r="WZP121" s="2"/>
      <c r="WZQ121" s="2"/>
      <c r="WZR121" s="2"/>
      <c r="WZS121" s="2"/>
      <c r="WZT121" s="2"/>
      <c r="WZU121" s="2"/>
      <c r="WZV121" s="2"/>
      <c r="WZW121" s="2"/>
      <c r="WZX121" s="2"/>
      <c r="WZY121" s="2"/>
      <c r="WZZ121" s="2"/>
      <c r="XAA121" s="2"/>
      <c r="XAB121" s="2"/>
      <c r="XAC121" s="2"/>
      <c r="XAD121" s="2"/>
      <c r="XAE121" s="2"/>
      <c r="XAF121" s="2"/>
      <c r="XAG121" s="2"/>
      <c r="XAH121" s="2"/>
      <c r="XAI121" s="2"/>
      <c r="XAJ121" s="2"/>
      <c r="XAK121" s="2"/>
      <c r="XAL121" s="2"/>
      <c r="XAM121" s="2"/>
      <c r="XAN121" s="2"/>
      <c r="XAO121" s="2"/>
      <c r="XAP121" s="2"/>
      <c r="XAQ121" s="2"/>
      <c r="XAR121" s="2"/>
      <c r="XAS121" s="2"/>
      <c r="XAT121" s="2"/>
      <c r="XAU121" s="2"/>
      <c r="XAV121" s="2"/>
      <c r="XAW121" s="2"/>
      <c r="XAX121" s="2"/>
      <c r="XAY121" s="2"/>
      <c r="XAZ121" s="2"/>
      <c r="XBA121" s="2"/>
      <c r="XBB121" s="2"/>
      <c r="XBC121" s="2"/>
      <c r="XBD121" s="2"/>
      <c r="XBE121" s="2"/>
      <c r="XBF121" s="2"/>
      <c r="XBG121" s="2"/>
      <c r="XBH121" s="2"/>
      <c r="XBI121" s="2"/>
      <c r="XBJ121" s="2"/>
      <c r="XBK121" s="2"/>
      <c r="XBL121" s="2"/>
      <c r="XBM121" s="2"/>
      <c r="XBN121" s="2"/>
      <c r="XBO121" s="2"/>
      <c r="XBP121" s="2"/>
      <c r="XBQ121" s="2"/>
      <c r="XBR121" s="2"/>
      <c r="XBS121" s="2"/>
      <c r="XBT121" s="2"/>
      <c r="XBU121" s="2"/>
      <c r="XBV121" s="2"/>
      <c r="XBW121" s="2"/>
      <c r="XBX121" s="2"/>
      <c r="XBY121" s="2"/>
      <c r="XBZ121" s="2"/>
      <c r="XCA121" s="2"/>
      <c r="XCB121" s="2"/>
      <c r="XCC121" s="2"/>
      <c r="XCD121" s="2"/>
      <c r="XCE121" s="2"/>
      <c r="XCF121" s="2"/>
      <c r="XCG121" s="2"/>
      <c r="XCH121" s="2"/>
      <c r="XCI121" s="2"/>
      <c r="XCJ121" s="2"/>
      <c r="XCK121" s="2"/>
      <c r="XCL121" s="2"/>
      <c r="XCM121" s="2"/>
      <c r="XCN121" s="2"/>
      <c r="XCO121" s="2"/>
      <c r="XCP121" s="2"/>
      <c r="XCQ121" s="2"/>
      <c r="XCR121" s="2"/>
      <c r="XCS121" s="2"/>
      <c r="XCT121" s="2"/>
      <c r="XCU121" s="2"/>
      <c r="XCV121" s="2"/>
      <c r="XCW121" s="2"/>
      <c r="XCX121" s="2"/>
      <c r="XCY121" s="2"/>
      <c r="XCZ121" s="2"/>
      <c r="XDA121" s="2"/>
      <c r="XDB121" s="2"/>
      <c r="XDC121" s="2"/>
      <c r="XDD121" s="2"/>
      <c r="XDE121" s="2"/>
      <c r="XDF121" s="2"/>
      <c r="XDG121" s="2"/>
      <c r="XDH121" s="2"/>
      <c r="XDI121" s="2"/>
      <c r="XDJ121" s="2"/>
      <c r="XDK121" s="2"/>
      <c r="XDL121" s="2"/>
      <c r="XDM121" s="2"/>
      <c r="XDN121" s="2"/>
      <c r="XDO121" s="2"/>
      <c r="XDP121" s="2"/>
      <c r="XDQ121" s="2"/>
      <c r="XDR121" s="2"/>
      <c r="XDS121" s="2"/>
      <c r="XDT121" s="2"/>
      <c r="XDU121" s="2"/>
      <c r="XDV121" s="2"/>
      <c r="XDW121" s="2"/>
      <c r="XDX121" s="2"/>
      <c r="XDY121" s="2"/>
      <c r="XDZ121" s="2"/>
      <c r="XEA121" s="2"/>
      <c r="XEB121" s="2"/>
      <c r="XEC121" s="2"/>
      <c r="XED121" s="2"/>
      <c r="XEE121" s="2"/>
      <c r="XEF121" s="2"/>
      <c r="XEG121" s="2"/>
      <c r="XEH121" s="2"/>
      <c r="XEI121" s="2"/>
      <c r="XEJ121" s="2"/>
      <c r="XEK121" s="2"/>
      <c r="XEL121" s="2"/>
      <c r="XEM121" s="2"/>
      <c r="XEN121" s="2"/>
      <c r="XEO121" s="2"/>
      <c r="XEP121" s="2"/>
      <c r="XEQ121" s="2"/>
      <c r="XER121" s="2"/>
      <c r="XES121" s="2"/>
      <c r="XET121" s="2"/>
      <c r="XEU121" s="2"/>
      <c r="XEV121" s="2"/>
      <c r="XEW121" s="2"/>
      <c r="XEX121" s="2"/>
      <c r="XEY121" s="2"/>
      <c r="XEZ121" s="2"/>
      <c r="XFA121" s="2"/>
      <c r="XFB121" s="2"/>
      <c r="XFC121" s="2"/>
      <c r="XFD121" s="2"/>
    </row>
    <row r="122" spans="4:16384" ht="15" customHeight="1">
      <c r="D122" s="35" t="s">
        <v>85</v>
      </c>
      <c r="E122" s="27"/>
      <c r="F122" s="27"/>
      <c r="G122" s="27"/>
      <c r="H122" s="27"/>
      <c r="I122" s="27"/>
      <c r="J122" s="27"/>
      <c r="K122" s="32"/>
      <c r="L122" s="231"/>
      <c r="M122" s="27"/>
      <c r="N122" s="27"/>
      <c r="O122" s="27"/>
      <c r="P122" s="27"/>
      <c r="Q122" s="27"/>
      <c r="R122" s="27"/>
      <c r="S122" s="27"/>
      <c r="T122" s="27"/>
      <c r="U122" s="27"/>
      <c r="V122" s="27"/>
      <c r="W122" s="185" t="s">
        <v>16</v>
      </c>
    </row>
    <row r="123" spans="4:16384" ht="15" customHeight="1">
      <c r="D123" s="15" t="str">
        <f>'2.1 Model setup'!K70</f>
        <v>1.1 Drift og vedligeholdelse af transformerstationer</v>
      </c>
      <c r="E123" s="15"/>
      <c r="F123" s="150"/>
      <c r="G123" s="150"/>
      <c r="H123" s="150"/>
      <c r="I123" s="150"/>
      <c r="J123" s="150"/>
      <c r="K123" s="19" t="str">
        <f t="shared" ref="K123:K137" si="23" xml:space="preserve"> Model.Units</f>
        <v>DKKt</v>
      </c>
      <c r="L123" s="537">
        <f xml:space="preserve"> -- ( ROUND( W123, 5 ) &lt;&gt; ROUND( W70, 5 ) )</f>
        <v>0</v>
      </c>
      <c r="M123" s="15"/>
      <c r="N123" s="15"/>
      <c r="O123" s="15">
        <f>O49 * $W70</f>
        <v>0</v>
      </c>
      <c r="P123" s="15">
        <f>P49 * $W70</f>
        <v>0</v>
      </c>
      <c r="Q123" s="274"/>
      <c r="R123" s="15">
        <f>R49 * $W70</f>
        <v>0</v>
      </c>
      <c r="S123" s="15">
        <f>S49 * $W70</f>
        <v>0</v>
      </c>
      <c r="T123" s="15">
        <f>T49 * $W70</f>
        <v>0</v>
      </c>
      <c r="U123" s="274"/>
      <c r="V123" s="274"/>
      <c r="W123" s="18">
        <f xml:space="preserve"> SUM( O123:V123 )</f>
        <v>0</v>
      </c>
    </row>
    <row r="124" spans="4:16384" ht="15" customHeight="1">
      <c r="D124" s="1" t="str">
        <f>'2.1 Model setup'!K71</f>
        <v>1.2 Drift og vedligeholdelse af ledningsnet</v>
      </c>
      <c r="F124" s="121"/>
      <c r="G124" s="121"/>
      <c r="H124" s="121"/>
      <c r="I124" s="121"/>
      <c r="J124" s="121"/>
      <c r="K124" s="5" t="str">
        <f t="shared" si="23"/>
        <v>DKKt</v>
      </c>
      <c r="L124" s="231">
        <f t="shared" ref="L124:L136" si="24" xml:space="preserve"> -- ( ROUND( W124, 5 ) &lt;&gt; ROUND( W71, 5 ) )</f>
        <v>0</v>
      </c>
      <c r="O124" s="1">
        <f t="shared" ref="O124:V137" si="25">O50 * $W71</f>
        <v>0</v>
      </c>
      <c r="P124" s="1">
        <f>P50 * $W71</f>
        <v>0</v>
      </c>
      <c r="Q124" s="202"/>
      <c r="R124" s="1">
        <f>R50 * $W71</f>
        <v>0</v>
      </c>
      <c r="S124" s="1">
        <f t="shared" si="25"/>
        <v>0</v>
      </c>
      <c r="T124" s="1">
        <f t="shared" si="25"/>
        <v>0</v>
      </c>
      <c r="U124" s="202"/>
      <c r="V124" s="202"/>
      <c r="W124" s="4">
        <f t="shared" ref="W124:W136" si="26" xml:space="preserve"> SUM( O124:V124 )</f>
        <v>0</v>
      </c>
    </row>
    <row r="125" spans="4:16384" ht="15" customHeight="1">
      <c r="D125" s="1" t="str">
        <f>'2.1 Model setup'!K72</f>
        <v>1.3 Øvrige omkostninger til drift, styring og kontrol af elnettet</v>
      </c>
      <c r="F125" s="121"/>
      <c r="G125" s="121"/>
      <c r="H125" s="121"/>
      <c r="I125" s="121"/>
      <c r="J125" s="121"/>
      <c r="K125" s="5" t="str">
        <f t="shared" si="23"/>
        <v>DKKt</v>
      </c>
      <c r="L125" s="231">
        <f t="shared" si="24"/>
        <v>0</v>
      </c>
      <c r="O125" s="1">
        <f t="shared" si="25"/>
        <v>0</v>
      </c>
      <c r="P125" s="1">
        <f t="shared" si="25"/>
        <v>0</v>
      </c>
      <c r="Q125" s="202"/>
      <c r="R125" s="1">
        <f t="shared" si="25"/>
        <v>0</v>
      </c>
      <c r="S125" s="1">
        <f t="shared" si="25"/>
        <v>0</v>
      </c>
      <c r="T125" s="1">
        <f t="shared" si="25"/>
        <v>0</v>
      </c>
      <c r="U125" s="202"/>
      <c r="V125" s="202"/>
      <c r="W125" s="4">
        <f t="shared" si="26"/>
        <v>0</v>
      </c>
    </row>
    <row r="126" spans="4:16384" ht="15" customHeight="1">
      <c r="D126" s="1" t="str">
        <f>'2.1 Model setup'!K73</f>
        <v>1.4 Omkostninger vedrørende 132-150/30-60 kV-stationer</v>
      </c>
      <c r="F126" s="121"/>
      <c r="G126" s="121"/>
      <c r="H126" s="121"/>
      <c r="I126" s="121"/>
      <c r="J126" s="121"/>
      <c r="K126" s="5" t="str">
        <f t="shared" si="23"/>
        <v>DKKt</v>
      </c>
      <c r="L126" s="231">
        <f t="shared" si="24"/>
        <v>0</v>
      </c>
      <c r="O126" s="1">
        <f t="shared" si="25"/>
        <v>0</v>
      </c>
      <c r="P126" s="1">
        <f t="shared" si="25"/>
        <v>0</v>
      </c>
      <c r="Q126" s="202"/>
      <c r="R126" s="1">
        <f t="shared" si="25"/>
        <v>0</v>
      </c>
      <c r="S126" s="1">
        <f t="shared" si="25"/>
        <v>0</v>
      </c>
      <c r="T126" s="1">
        <f t="shared" si="25"/>
        <v>0</v>
      </c>
      <c r="U126" s="202"/>
      <c r="V126" s="202"/>
      <c r="W126" s="4">
        <f t="shared" si="26"/>
        <v>0</v>
      </c>
    </row>
    <row r="127" spans="4:16384" ht="15" customHeight="1">
      <c r="D127" s="1" t="str">
        <f>'2.1 Model setup'!K74</f>
        <v>2.1 Drift og vedligeholdelse af målere</v>
      </c>
      <c r="F127" s="121"/>
      <c r="G127" s="121"/>
      <c r="H127" s="121"/>
      <c r="I127" s="121"/>
      <c r="J127" s="121"/>
      <c r="K127" s="5" t="str">
        <f t="shared" si="23"/>
        <v>DKKt</v>
      </c>
      <c r="L127" s="231">
        <f t="shared" si="24"/>
        <v>0</v>
      </c>
      <c r="O127" s="1">
        <f t="shared" si="25"/>
        <v>0</v>
      </c>
      <c r="P127" s="1">
        <f t="shared" si="25"/>
        <v>0</v>
      </c>
      <c r="Q127" s="202"/>
      <c r="R127" s="1">
        <f t="shared" si="25"/>
        <v>0</v>
      </c>
      <c r="S127" s="1">
        <f t="shared" si="25"/>
        <v>0</v>
      </c>
      <c r="T127" s="1">
        <f t="shared" si="25"/>
        <v>0</v>
      </c>
      <c r="U127" s="202"/>
      <c r="V127" s="202"/>
      <c r="W127" s="4">
        <f t="shared" si="26"/>
        <v>0</v>
      </c>
    </row>
    <row r="128" spans="4:16384" ht="15" customHeight="1">
      <c r="D128" s="1" t="str">
        <f>'2.1 Model setup'!K75</f>
        <v>2.2 Indhentning og validering af målerdata</v>
      </c>
      <c r="F128" s="121"/>
      <c r="G128" s="121"/>
      <c r="H128" s="121"/>
      <c r="I128" s="121"/>
      <c r="J128" s="121"/>
      <c r="K128" s="5" t="str">
        <f t="shared" si="23"/>
        <v>DKKt</v>
      </c>
      <c r="L128" s="231">
        <f t="shared" si="24"/>
        <v>0</v>
      </c>
      <c r="O128" s="1">
        <f t="shared" si="25"/>
        <v>0</v>
      </c>
      <c r="P128" s="1">
        <f t="shared" si="25"/>
        <v>0</v>
      </c>
      <c r="Q128" s="202"/>
      <c r="R128" s="1">
        <f t="shared" si="25"/>
        <v>0</v>
      </c>
      <c r="S128" s="1">
        <f t="shared" si="25"/>
        <v>0</v>
      </c>
      <c r="T128" s="1">
        <f t="shared" si="25"/>
        <v>0</v>
      </c>
      <c r="U128" s="202"/>
      <c r="V128" s="202"/>
      <c r="W128" s="4">
        <f t="shared" si="26"/>
        <v>0</v>
      </c>
    </row>
    <row r="129" spans="4:23" ht="15" customHeight="1">
      <c r="D129" s="1" t="str">
        <f>'2.1 Model setup'!K76</f>
        <v>2.3 Måleradministration og kundehåndtering</v>
      </c>
      <c r="F129" s="121"/>
      <c r="G129" s="121"/>
      <c r="H129" s="121"/>
      <c r="I129" s="121"/>
      <c r="J129" s="121"/>
      <c r="K129" s="5" t="str">
        <f t="shared" si="23"/>
        <v>DKKt</v>
      </c>
      <c r="L129" s="231">
        <f t="shared" si="24"/>
        <v>0</v>
      </c>
      <c r="O129" s="1">
        <f t="shared" si="25"/>
        <v>0</v>
      </c>
      <c r="P129" s="1">
        <f t="shared" si="25"/>
        <v>0</v>
      </c>
      <c r="Q129" s="202"/>
      <c r="R129" s="1">
        <f t="shared" si="25"/>
        <v>0</v>
      </c>
      <c r="S129" s="1">
        <f t="shared" si="25"/>
        <v>0</v>
      </c>
      <c r="T129" s="1">
        <f t="shared" si="25"/>
        <v>0</v>
      </c>
      <c r="U129" s="202"/>
      <c r="V129" s="202"/>
      <c r="W129" s="4">
        <f t="shared" si="26"/>
        <v>0</v>
      </c>
    </row>
    <row r="130" spans="4:23" ht="15" customHeight="1">
      <c r="D130" s="1" t="str">
        <f>'2.1 Model setup'!K77</f>
        <v>3.1 Generel administration</v>
      </c>
      <c r="F130" s="121"/>
      <c r="G130" s="121"/>
      <c r="H130" s="121"/>
      <c r="I130" s="121"/>
      <c r="J130" s="121"/>
      <c r="K130" s="5" t="str">
        <f t="shared" si="23"/>
        <v>DKKt</v>
      </c>
      <c r="L130" s="231">
        <f t="shared" si="24"/>
        <v>0</v>
      </c>
      <c r="O130" s="1">
        <f t="shared" si="25"/>
        <v>0</v>
      </c>
      <c r="P130" s="1">
        <f t="shared" si="25"/>
        <v>0</v>
      </c>
      <c r="Q130" s="202"/>
      <c r="R130" s="1">
        <f t="shared" si="25"/>
        <v>0</v>
      </c>
      <c r="S130" s="1">
        <f t="shared" si="25"/>
        <v>0</v>
      </c>
      <c r="T130" s="1">
        <f t="shared" si="25"/>
        <v>0</v>
      </c>
      <c r="U130" s="202"/>
      <c r="V130" s="202"/>
      <c r="W130" s="4">
        <f t="shared" si="26"/>
        <v>0</v>
      </c>
    </row>
    <row r="131" spans="4:23" ht="15" customHeight="1">
      <c r="D131" s="1" t="str">
        <f>'2.1 Model setup'!K78</f>
        <v>4.1 Omkostninger vedrørende nettab i transformerstationer</v>
      </c>
      <c r="F131" s="121"/>
      <c r="G131" s="121"/>
      <c r="H131" s="121"/>
      <c r="I131" s="121"/>
      <c r="J131" s="121"/>
      <c r="K131" s="5" t="str">
        <f t="shared" si="23"/>
        <v>DKKt</v>
      </c>
      <c r="L131" s="231">
        <f t="shared" si="24"/>
        <v>0</v>
      </c>
      <c r="O131" s="1">
        <f t="shared" si="25"/>
        <v>0</v>
      </c>
      <c r="P131" s="1">
        <f t="shared" si="25"/>
        <v>0</v>
      </c>
      <c r="Q131" s="202"/>
      <c r="R131" s="1">
        <f t="shared" si="25"/>
        <v>0</v>
      </c>
      <c r="S131" s="1">
        <f t="shared" si="25"/>
        <v>0</v>
      </c>
      <c r="T131" s="1">
        <f t="shared" si="25"/>
        <v>0</v>
      </c>
      <c r="U131" s="202"/>
      <c r="V131" s="202"/>
      <c r="W131" s="4">
        <f t="shared" si="26"/>
        <v>0</v>
      </c>
    </row>
    <row r="132" spans="4:23" ht="15" customHeight="1">
      <c r="D132" s="1" t="str">
        <f>'2.1 Model setup'!K79</f>
        <v>4.2 Omkostninger vedrørende nettab i ledningsnettet</v>
      </c>
      <c r="F132" s="121"/>
      <c r="G132" s="121"/>
      <c r="H132" s="121"/>
      <c r="I132" s="121"/>
      <c r="J132" s="121"/>
      <c r="K132" s="5" t="str">
        <f t="shared" si="23"/>
        <v>DKKt</v>
      </c>
      <c r="L132" s="231">
        <f t="shared" si="24"/>
        <v>0</v>
      </c>
      <c r="O132" s="1">
        <f t="shared" si="25"/>
        <v>0</v>
      </c>
      <c r="P132" s="1">
        <f t="shared" si="25"/>
        <v>0</v>
      </c>
      <c r="Q132" s="202"/>
      <c r="R132" s="1">
        <f t="shared" si="25"/>
        <v>0</v>
      </c>
      <c r="S132" s="1">
        <f t="shared" si="25"/>
        <v>0</v>
      </c>
      <c r="T132" s="1">
        <f t="shared" si="25"/>
        <v>0</v>
      </c>
      <c r="U132" s="202"/>
      <c r="V132" s="202"/>
      <c r="W132" s="4">
        <f t="shared" si="26"/>
        <v>0</v>
      </c>
    </row>
    <row r="133" spans="4:23" ht="15" customHeight="1">
      <c r="D133" s="1" t="str">
        <f>'2.1 Model setup'!K88</f>
        <v>5.1 Omkostninger til overliggende net ifm. indfødning</v>
      </c>
      <c r="F133" s="121"/>
      <c r="G133" s="121"/>
      <c r="H133" s="121"/>
      <c r="I133" s="121"/>
      <c r="J133" s="121"/>
      <c r="K133" s="5" t="str">
        <f t="shared" si="23"/>
        <v>DKKt</v>
      </c>
      <c r="L133" s="231">
        <f t="shared" si="24"/>
        <v>0</v>
      </c>
      <c r="O133" s="1">
        <f t="shared" si="25"/>
        <v>0</v>
      </c>
      <c r="P133" s="1">
        <f t="shared" si="25"/>
        <v>0</v>
      </c>
      <c r="Q133" s="202"/>
      <c r="R133" s="1">
        <f t="shared" si="25"/>
        <v>0</v>
      </c>
      <c r="S133" s="1">
        <f t="shared" si="25"/>
        <v>0</v>
      </c>
      <c r="T133" s="549">
        <f t="shared" si="25"/>
        <v>0</v>
      </c>
      <c r="U133" s="564">
        <f t="shared" si="25"/>
        <v>0</v>
      </c>
      <c r="V133" s="549">
        <f t="shared" si="25"/>
        <v>0</v>
      </c>
      <c r="W133" s="4">
        <f t="shared" si="26"/>
        <v>0</v>
      </c>
    </row>
    <row r="134" spans="4:23" ht="15" customHeight="1">
      <c r="D134" s="1" t="str">
        <f>'2.1 Model setup'!K81</f>
        <v>5.2 Øvrige omkostninger</v>
      </c>
      <c r="F134" s="121"/>
      <c r="G134" s="121"/>
      <c r="H134" s="121"/>
      <c r="I134" s="121"/>
      <c r="J134" s="121"/>
      <c r="K134" s="5" t="str">
        <f t="shared" si="23"/>
        <v>DKKt</v>
      </c>
      <c r="L134" s="231">
        <f t="shared" si="24"/>
        <v>0</v>
      </c>
      <c r="O134" s="1">
        <f t="shared" si="25"/>
        <v>0</v>
      </c>
      <c r="P134" s="1">
        <f t="shared" si="25"/>
        <v>0</v>
      </c>
      <c r="Q134" s="202"/>
      <c r="R134" s="1">
        <f t="shared" si="25"/>
        <v>0</v>
      </c>
      <c r="S134" s="1">
        <f t="shared" si="25"/>
        <v>0</v>
      </c>
      <c r="T134" s="1">
        <f t="shared" si="25"/>
        <v>0</v>
      </c>
      <c r="U134" s="202"/>
      <c r="V134" s="202"/>
      <c r="W134" s="4">
        <f t="shared" si="26"/>
        <v>0</v>
      </c>
    </row>
    <row r="135" spans="4:23" ht="15" customHeight="1">
      <c r="D135" s="1" t="str">
        <f>'2.1 Model setup'!K82</f>
        <v>6.1 Afskrivninger på transformerstationer</v>
      </c>
      <c r="F135" s="121"/>
      <c r="G135" s="121"/>
      <c r="H135" s="121"/>
      <c r="I135" s="121"/>
      <c r="J135" s="121"/>
      <c r="K135" s="5" t="str">
        <f t="shared" si="23"/>
        <v>DKKt</v>
      </c>
      <c r="L135" s="231">
        <f t="shared" si="24"/>
        <v>0</v>
      </c>
      <c r="O135" s="1">
        <f t="shared" si="25"/>
        <v>0</v>
      </c>
      <c r="P135" s="1">
        <f t="shared" si="25"/>
        <v>0</v>
      </c>
      <c r="Q135" s="202"/>
      <c r="R135" s="1">
        <f t="shared" si="25"/>
        <v>0</v>
      </c>
      <c r="S135" s="1">
        <f t="shared" si="25"/>
        <v>0</v>
      </c>
      <c r="T135" s="1">
        <f t="shared" si="25"/>
        <v>0</v>
      </c>
      <c r="U135" s="202"/>
      <c r="V135" s="202"/>
      <c r="W135" s="4">
        <f t="shared" si="26"/>
        <v>0</v>
      </c>
    </row>
    <row r="136" spans="4:23" ht="15" customHeight="1">
      <c r="D136" s="1" t="str">
        <f>'2.1 Model setup'!K83</f>
        <v>6.2 Afskrivninger på netaktiver ekskl. målere og transformerstationer</v>
      </c>
      <c r="F136" s="121"/>
      <c r="G136" s="121"/>
      <c r="H136" s="121"/>
      <c r="I136" s="121"/>
      <c r="J136" s="121"/>
      <c r="K136" s="5" t="str">
        <f t="shared" si="23"/>
        <v>DKKt</v>
      </c>
      <c r="L136" s="231">
        <f t="shared" si="24"/>
        <v>0</v>
      </c>
      <c r="O136" s="1">
        <f t="shared" si="25"/>
        <v>0</v>
      </c>
      <c r="P136" s="1">
        <f t="shared" si="25"/>
        <v>0</v>
      </c>
      <c r="Q136" s="202"/>
      <c r="R136" s="1">
        <f t="shared" si="25"/>
        <v>0</v>
      </c>
      <c r="S136" s="1">
        <f t="shared" si="25"/>
        <v>0</v>
      </c>
      <c r="T136" s="1">
        <f t="shared" si="25"/>
        <v>0</v>
      </c>
      <c r="U136" s="202"/>
      <c r="V136" s="202"/>
      <c r="W136" s="4">
        <f t="shared" si="26"/>
        <v>0</v>
      </c>
    </row>
    <row r="137" spans="4:23" ht="15" customHeight="1">
      <c r="D137" s="27" t="str">
        <f>'2.1 Model setup'!K84</f>
        <v>6.3 Afskrivninger på målere</v>
      </c>
      <c r="E137" s="27"/>
      <c r="F137" s="131"/>
      <c r="G137" s="131"/>
      <c r="H137" s="131"/>
      <c r="I137" s="131"/>
      <c r="J137" s="131"/>
      <c r="K137" s="32" t="str">
        <f t="shared" si="23"/>
        <v>DKKt</v>
      </c>
      <c r="L137" s="510">
        <f xml:space="preserve"> -- ( ROUND( W137, 5 ) &lt;&gt; ROUND( W84, 5 ) )</f>
        <v>0</v>
      </c>
      <c r="M137" s="27"/>
      <c r="N137" s="27"/>
      <c r="O137" s="27">
        <f t="shared" si="25"/>
        <v>0</v>
      </c>
      <c r="P137" s="27">
        <f t="shared" si="25"/>
        <v>0</v>
      </c>
      <c r="Q137" s="269"/>
      <c r="R137" s="27">
        <f t="shared" si="25"/>
        <v>0</v>
      </c>
      <c r="S137" s="27">
        <f t="shared" si="25"/>
        <v>0</v>
      </c>
      <c r="T137" s="27">
        <f t="shared" si="25"/>
        <v>0</v>
      </c>
      <c r="U137" s="269"/>
      <c r="V137" s="269"/>
      <c r="W137" s="35">
        <f xml:space="preserve"> SUM( O137:V137 )</f>
        <v>0</v>
      </c>
    </row>
    <row r="138" spans="4:23" ht="15" customHeight="1">
      <c r="D138" s="97" t="s">
        <v>16</v>
      </c>
      <c r="E138" s="27"/>
      <c r="F138" s="104"/>
      <c r="G138" s="104"/>
      <c r="H138" s="104"/>
      <c r="I138" s="104"/>
      <c r="J138" s="104"/>
      <c r="K138" s="127" t="str">
        <f xml:space="preserve"> Model.Units</f>
        <v>DKKt</v>
      </c>
      <c r="L138" s="265">
        <f xml:space="preserve"> -- ( ROUND( W138, 5 ) &lt;&gt; ROUND( W85, 5 ) )</f>
        <v>0</v>
      </c>
      <c r="M138" s="151"/>
      <c r="N138" s="35"/>
      <c r="O138" s="35">
        <f xml:space="preserve"> SUM( O123:O137 )</f>
        <v>0</v>
      </c>
      <c r="P138" s="35">
        <f xml:space="preserve"> SUM( P123:P137 )</f>
        <v>0</v>
      </c>
      <c r="Q138" s="269"/>
      <c r="R138" s="35">
        <f xml:space="preserve"> SUM( R123:R137 )</f>
        <v>0</v>
      </c>
      <c r="S138" s="35">
        <f xml:space="preserve"> SUM( S123:S137 )</f>
        <v>0</v>
      </c>
      <c r="T138" s="35">
        <f xml:space="preserve"> SUM( T123:T137 )</f>
        <v>0</v>
      </c>
      <c r="U138" s="35">
        <f t="shared" ref="U138:V138" si="27" xml:space="preserve"> SUM( U123:U137 )</f>
        <v>0</v>
      </c>
      <c r="V138" s="35">
        <f t="shared" si="27"/>
        <v>0</v>
      </c>
      <c r="W138" s="35">
        <f xml:space="preserve"> SUM( W123:W137 )</f>
        <v>0</v>
      </c>
    </row>
    <row r="139" spans="4:23" ht="15" customHeight="1">
      <c r="L139" s="231"/>
    </row>
    <row r="140" spans="4:23" ht="15" customHeight="1">
      <c r="D140" s="35" t="s">
        <v>286</v>
      </c>
      <c r="E140" s="27"/>
      <c r="F140" s="27"/>
      <c r="G140" s="27"/>
      <c r="H140" s="27"/>
      <c r="I140" s="27"/>
      <c r="J140" s="27"/>
      <c r="K140" s="32"/>
      <c r="L140" s="510"/>
      <c r="M140" s="27"/>
      <c r="N140" s="27"/>
      <c r="O140" s="27"/>
      <c r="P140" s="27"/>
      <c r="Q140" s="27"/>
      <c r="R140" s="27"/>
      <c r="S140" s="27"/>
      <c r="T140" s="27"/>
      <c r="U140" s="27"/>
      <c r="V140" s="27"/>
      <c r="W140" s="185" t="s">
        <v>16</v>
      </c>
    </row>
    <row r="141" spans="4:23" ht="15" customHeight="1">
      <c r="D141" s="15" t="str">
        <f>'2.1 Model setup'!K70</f>
        <v>1.1 Drift og vedligeholdelse af transformerstationer</v>
      </c>
      <c r="E141" s="15"/>
      <c r="F141" s="150"/>
      <c r="G141" s="150"/>
      <c r="H141" s="150"/>
      <c r="I141" s="150"/>
      <c r="J141" s="150"/>
      <c r="K141" s="19" t="str">
        <f t="shared" ref="K141:K156" si="28" xml:space="preserve"> Model.Units</f>
        <v>DKKt</v>
      </c>
      <c r="L141" s="537">
        <f xml:space="preserve"> -- ( ROUND( W141, 5 ) &lt;&gt; ROUND( N70, 5 ) )</f>
        <v>0</v>
      </c>
      <c r="M141" s="15"/>
      <c r="N141" s="15"/>
      <c r="O141" s="15">
        <f xml:space="preserve"> O123 + O105</f>
        <v>0</v>
      </c>
      <c r="P141" s="15">
        <f xml:space="preserve"> P123 + P105</f>
        <v>0</v>
      </c>
      <c r="Q141" s="274"/>
      <c r="R141" s="15">
        <f xml:space="preserve"> R123 + R105</f>
        <v>0</v>
      </c>
      <c r="S141" s="15">
        <f xml:space="preserve"> S123 + S105</f>
        <v>0</v>
      </c>
      <c r="T141" s="15">
        <f xml:space="preserve"> T123 + T105</f>
        <v>0</v>
      </c>
      <c r="U141" s="274"/>
      <c r="V141" s="274"/>
      <c r="W141" s="18">
        <f xml:space="preserve"> SUM( O141:V141 )</f>
        <v>0</v>
      </c>
    </row>
    <row r="142" spans="4:23" ht="15" customHeight="1">
      <c r="D142" s="1" t="str">
        <f>'2.1 Model setup'!K71</f>
        <v>1.2 Drift og vedligeholdelse af ledningsnet</v>
      </c>
      <c r="F142" s="121"/>
      <c r="G142" s="121"/>
      <c r="H142" s="121"/>
      <c r="I142" s="121"/>
      <c r="J142" s="121"/>
      <c r="K142" s="5" t="str">
        <f t="shared" si="28"/>
        <v>DKKt</v>
      </c>
      <c r="L142" s="231">
        <f t="shared" ref="L142:L155" si="29" xml:space="preserve"> -- ( ROUND( W142, 5 ) &lt;&gt; ROUND( N71, 5 ) )</f>
        <v>0</v>
      </c>
      <c r="O142" s="1">
        <f t="shared" ref="O142:T142" si="30" xml:space="preserve"> O124 + O106</f>
        <v>0</v>
      </c>
      <c r="P142" s="1">
        <f t="shared" si="30"/>
        <v>0</v>
      </c>
      <c r="Q142" s="202"/>
      <c r="R142" s="1">
        <f t="shared" si="30"/>
        <v>0</v>
      </c>
      <c r="S142" s="1">
        <f t="shared" si="30"/>
        <v>0</v>
      </c>
      <c r="T142" s="1">
        <f t="shared" si="30"/>
        <v>0</v>
      </c>
      <c r="U142" s="202"/>
      <c r="V142" s="202"/>
      <c r="W142" s="4">
        <f t="shared" ref="W142:W155" si="31" xml:space="preserve"> SUM( O142:V142 )</f>
        <v>0</v>
      </c>
    </row>
    <row r="143" spans="4:23" ht="15" customHeight="1">
      <c r="D143" s="1" t="str">
        <f>'2.1 Model setup'!K72</f>
        <v>1.3 Øvrige omkostninger til drift, styring og kontrol af elnettet</v>
      </c>
      <c r="F143" s="121"/>
      <c r="G143" s="121"/>
      <c r="H143" s="121"/>
      <c r="I143" s="121"/>
      <c r="J143" s="121"/>
      <c r="K143" s="5" t="str">
        <f t="shared" si="28"/>
        <v>DKKt</v>
      </c>
      <c r="L143" s="231">
        <f t="shared" si="29"/>
        <v>0</v>
      </c>
      <c r="O143" s="1">
        <f t="shared" ref="O143:T143" si="32" xml:space="preserve"> O125 + O107</f>
        <v>0</v>
      </c>
      <c r="P143" s="1">
        <f t="shared" si="32"/>
        <v>0</v>
      </c>
      <c r="Q143" s="202"/>
      <c r="R143" s="1">
        <f t="shared" si="32"/>
        <v>0</v>
      </c>
      <c r="S143" s="1">
        <f t="shared" si="32"/>
        <v>0</v>
      </c>
      <c r="T143" s="1">
        <f t="shared" si="32"/>
        <v>0</v>
      </c>
      <c r="U143" s="202"/>
      <c r="V143" s="202"/>
      <c r="W143" s="4">
        <f t="shared" si="31"/>
        <v>0</v>
      </c>
    </row>
    <row r="144" spans="4:23" ht="15" customHeight="1">
      <c r="D144" s="1" t="str">
        <f>'2.1 Model setup'!K73</f>
        <v>1.4 Omkostninger vedrørende 132-150/30-60 kV-stationer</v>
      </c>
      <c r="F144" s="121"/>
      <c r="G144" s="121"/>
      <c r="H144" s="121"/>
      <c r="I144" s="121"/>
      <c r="J144" s="121"/>
      <c r="K144" s="5" t="str">
        <f t="shared" si="28"/>
        <v>DKKt</v>
      </c>
      <c r="L144" s="231">
        <f t="shared" si="29"/>
        <v>0</v>
      </c>
      <c r="O144" s="1">
        <f xml:space="preserve"> O126 + O108</f>
        <v>0</v>
      </c>
      <c r="P144" s="1">
        <f xml:space="preserve"> P126 + P108</f>
        <v>0</v>
      </c>
      <c r="Q144" s="202"/>
      <c r="R144" s="1">
        <f xml:space="preserve"> R126 + R108</f>
        <v>0</v>
      </c>
      <c r="S144" s="1">
        <f xml:space="preserve"> S126 + S108</f>
        <v>0</v>
      </c>
      <c r="T144" s="1">
        <f xml:space="preserve"> T126 + T108</f>
        <v>0</v>
      </c>
      <c r="U144" s="202"/>
      <c r="V144" s="202"/>
      <c r="W144" s="4">
        <f t="shared" si="31"/>
        <v>0</v>
      </c>
    </row>
    <row r="145" spans="2:23" ht="15" customHeight="1">
      <c r="D145" s="1" t="str">
        <f>'2.1 Model setup'!K74</f>
        <v>2.1 Drift og vedligeholdelse af målere</v>
      </c>
      <c r="F145" s="121"/>
      <c r="G145" s="121"/>
      <c r="H145" s="121"/>
      <c r="I145" s="121"/>
      <c r="J145" s="121"/>
      <c r="K145" s="5" t="str">
        <f t="shared" si="28"/>
        <v>DKKt</v>
      </c>
      <c r="L145" s="231">
        <f t="shared" si="29"/>
        <v>0</v>
      </c>
      <c r="O145" s="1">
        <f t="shared" ref="O145:T145" si="33" xml:space="preserve"> O127 + O109</f>
        <v>0</v>
      </c>
      <c r="P145" s="1">
        <f t="shared" si="33"/>
        <v>0</v>
      </c>
      <c r="Q145" s="202"/>
      <c r="R145" s="1">
        <f t="shared" si="33"/>
        <v>0</v>
      </c>
      <c r="S145" s="1">
        <f t="shared" si="33"/>
        <v>0</v>
      </c>
      <c r="T145" s="1">
        <f t="shared" si="33"/>
        <v>0</v>
      </c>
      <c r="U145" s="202"/>
      <c r="V145" s="202"/>
      <c r="W145" s="4">
        <f t="shared" si="31"/>
        <v>0</v>
      </c>
    </row>
    <row r="146" spans="2:23" ht="15" customHeight="1">
      <c r="D146" s="1" t="str">
        <f>'2.1 Model setup'!K75</f>
        <v>2.2 Indhentning og validering af målerdata</v>
      </c>
      <c r="F146" s="121"/>
      <c r="G146" s="121"/>
      <c r="H146" s="121"/>
      <c r="I146" s="121"/>
      <c r="J146" s="121"/>
      <c r="K146" s="5" t="str">
        <f t="shared" si="28"/>
        <v>DKKt</v>
      </c>
      <c r="L146" s="231">
        <f t="shared" si="29"/>
        <v>0</v>
      </c>
      <c r="O146" s="1">
        <f t="shared" ref="O146:T146" si="34" xml:space="preserve"> O128 + O110</f>
        <v>0</v>
      </c>
      <c r="P146" s="1">
        <f t="shared" si="34"/>
        <v>0</v>
      </c>
      <c r="Q146" s="202"/>
      <c r="R146" s="1">
        <f t="shared" si="34"/>
        <v>0</v>
      </c>
      <c r="S146" s="1">
        <f t="shared" si="34"/>
        <v>0</v>
      </c>
      <c r="T146" s="1">
        <f t="shared" si="34"/>
        <v>0</v>
      </c>
      <c r="U146" s="202"/>
      <c r="V146" s="202"/>
      <c r="W146" s="4">
        <f t="shared" si="31"/>
        <v>0</v>
      </c>
    </row>
    <row r="147" spans="2:23" ht="15" customHeight="1">
      <c r="D147" s="1" t="str">
        <f>'2.1 Model setup'!K76</f>
        <v>2.3 Måleradministration og kundehåndtering</v>
      </c>
      <c r="F147" s="121"/>
      <c r="G147" s="121"/>
      <c r="H147" s="121"/>
      <c r="I147" s="121"/>
      <c r="J147" s="121"/>
      <c r="K147" s="5" t="str">
        <f t="shared" si="28"/>
        <v>DKKt</v>
      </c>
      <c r="L147" s="231">
        <f t="shared" si="29"/>
        <v>0</v>
      </c>
      <c r="O147" s="1">
        <f t="shared" ref="O147:T147" si="35" xml:space="preserve"> O129 + O111</f>
        <v>0</v>
      </c>
      <c r="P147" s="1">
        <f t="shared" si="35"/>
        <v>0</v>
      </c>
      <c r="Q147" s="202"/>
      <c r="R147" s="1">
        <f t="shared" si="35"/>
        <v>0</v>
      </c>
      <c r="S147" s="1">
        <f t="shared" si="35"/>
        <v>0</v>
      </c>
      <c r="T147" s="1">
        <f t="shared" si="35"/>
        <v>0</v>
      </c>
      <c r="U147" s="202"/>
      <c r="V147" s="202"/>
      <c r="W147" s="4">
        <f t="shared" si="31"/>
        <v>0</v>
      </c>
    </row>
    <row r="148" spans="2:23" ht="15" customHeight="1">
      <c r="D148" s="1" t="str">
        <f>'2.1 Model setup'!K77</f>
        <v>3.1 Generel administration</v>
      </c>
      <c r="F148" s="121"/>
      <c r="G148" s="121"/>
      <c r="H148" s="121"/>
      <c r="I148" s="121"/>
      <c r="J148" s="121"/>
      <c r="K148" s="5" t="str">
        <f t="shared" si="28"/>
        <v>DKKt</v>
      </c>
      <c r="L148" s="231">
        <f t="shared" si="29"/>
        <v>0</v>
      </c>
      <c r="O148" s="1">
        <f t="shared" ref="O148:T148" si="36" xml:space="preserve"> O130 + O112</f>
        <v>0</v>
      </c>
      <c r="P148" s="1">
        <f t="shared" si="36"/>
        <v>0</v>
      </c>
      <c r="Q148" s="202"/>
      <c r="R148" s="1">
        <f t="shared" si="36"/>
        <v>0</v>
      </c>
      <c r="S148" s="1">
        <f t="shared" si="36"/>
        <v>0</v>
      </c>
      <c r="T148" s="1">
        <f t="shared" si="36"/>
        <v>0</v>
      </c>
      <c r="U148" s="202"/>
      <c r="V148" s="202"/>
      <c r="W148" s="4">
        <f t="shared" si="31"/>
        <v>0</v>
      </c>
    </row>
    <row r="149" spans="2:23" ht="15" customHeight="1">
      <c r="D149" s="1" t="str">
        <f>'2.1 Model setup'!K78</f>
        <v>4.1 Omkostninger vedrørende nettab i transformerstationer</v>
      </c>
      <c r="F149" s="121"/>
      <c r="G149" s="121"/>
      <c r="H149" s="121"/>
      <c r="I149" s="121"/>
      <c r="J149" s="121"/>
      <c r="K149" s="5" t="str">
        <f t="shared" si="28"/>
        <v>DKKt</v>
      </c>
      <c r="L149" s="231">
        <f t="shared" si="29"/>
        <v>0</v>
      </c>
      <c r="O149" s="1">
        <f t="shared" ref="O149:T149" si="37" xml:space="preserve"> O131 + O113</f>
        <v>0</v>
      </c>
      <c r="P149" s="1">
        <f t="shared" si="37"/>
        <v>0</v>
      </c>
      <c r="Q149" s="202"/>
      <c r="R149" s="1">
        <f t="shared" si="37"/>
        <v>0</v>
      </c>
      <c r="S149" s="1">
        <f t="shared" si="37"/>
        <v>0</v>
      </c>
      <c r="T149" s="1">
        <f t="shared" si="37"/>
        <v>0</v>
      </c>
      <c r="U149" s="202"/>
      <c r="V149" s="202"/>
      <c r="W149" s="4">
        <f t="shared" si="31"/>
        <v>0</v>
      </c>
    </row>
    <row r="150" spans="2:23" ht="15" customHeight="1">
      <c r="D150" s="1" t="str">
        <f>'2.1 Model setup'!K79</f>
        <v>4.2 Omkostninger vedrørende nettab i ledningsnettet</v>
      </c>
      <c r="F150" s="121"/>
      <c r="G150" s="121"/>
      <c r="H150" s="121"/>
      <c r="I150" s="121"/>
      <c r="J150" s="121"/>
      <c r="K150" s="5" t="str">
        <f t="shared" si="28"/>
        <v>DKKt</v>
      </c>
      <c r="L150" s="231">
        <f t="shared" si="29"/>
        <v>0</v>
      </c>
      <c r="O150" s="1">
        <f t="shared" ref="O150:T150" si="38" xml:space="preserve"> O132 + O114</f>
        <v>0</v>
      </c>
      <c r="P150" s="1">
        <f t="shared" si="38"/>
        <v>0</v>
      </c>
      <c r="Q150" s="202"/>
      <c r="R150" s="1">
        <f t="shared" si="38"/>
        <v>0</v>
      </c>
      <c r="S150" s="1">
        <f t="shared" si="38"/>
        <v>0</v>
      </c>
      <c r="T150" s="1">
        <f t="shared" si="38"/>
        <v>0</v>
      </c>
      <c r="U150" s="202"/>
      <c r="V150" s="202"/>
      <c r="W150" s="4">
        <f t="shared" si="31"/>
        <v>0</v>
      </c>
    </row>
    <row r="151" spans="2:23" ht="15" customHeight="1">
      <c r="D151" s="1" t="str">
        <f>'2.1 Model setup'!K88</f>
        <v>5.1 Omkostninger til overliggende net ifm. indfødning</v>
      </c>
      <c r="F151" s="121"/>
      <c r="G151" s="121"/>
      <c r="H151" s="121"/>
      <c r="I151" s="121"/>
      <c r="J151" s="121"/>
      <c r="K151" s="5" t="str">
        <f t="shared" si="28"/>
        <v>DKKt</v>
      </c>
      <c r="L151" s="231">
        <f t="shared" si="29"/>
        <v>0</v>
      </c>
      <c r="O151" s="1">
        <f t="shared" ref="O151:V151" si="39" xml:space="preserve"> O133 + O115</f>
        <v>0</v>
      </c>
      <c r="P151" s="1">
        <f t="shared" si="39"/>
        <v>0</v>
      </c>
      <c r="Q151" s="202"/>
      <c r="R151" s="1">
        <f t="shared" si="39"/>
        <v>0</v>
      </c>
      <c r="S151" s="1">
        <f t="shared" si="39"/>
        <v>0</v>
      </c>
      <c r="T151" s="1">
        <f t="shared" si="39"/>
        <v>0</v>
      </c>
      <c r="U151" s="564">
        <f t="shared" si="39"/>
        <v>0</v>
      </c>
      <c r="V151" s="549">
        <f t="shared" si="39"/>
        <v>0</v>
      </c>
      <c r="W151" s="4">
        <f t="shared" si="31"/>
        <v>0</v>
      </c>
    </row>
    <row r="152" spans="2:23" ht="15" customHeight="1">
      <c r="D152" s="1" t="str">
        <f>'2.1 Model setup'!K81</f>
        <v>5.2 Øvrige omkostninger</v>
      </c>
      <c r="F152" s="121"/>
      <c r="G152" s="121"/>
      <c r="H152" s="121"/>
      <c r="I152" s="121"/>
      <c r="J152" s="121"/>
      <c r="K152" s="5" t="str">
        <f t="shared" si="28"/>
        <v>DKKt</v>
      </c>
      <c r="L152" s="231">
        <f t="shared" si="29"/>
        <v>0</v>
      </c>
      <c r="O152" s="1">
        <f t="shared" ref="O152:T152" si="40" xml:space="preserve"> O134 + O116</f>
        <v>0</v>
      </c>
      <c r="P152" s="1">
        <f t="shared" si="40"/>
        <v>0</v>
      </c>
      <c r="Q152" s="202"/>
      <c r="R152" s="1">
        <f t="shared" si="40"/>
        <v>0</v>
      </c>
      <c r="S152" s="1">
        <f t="shared" si="40"/>
        <v>0</v>
      </c>
      <c r="T152" s="1">
        <f t="shared" si="40"/>
        <v>0</v>
      </c>
      <c r="U152" s="202"/>
      <c r="V152" s="202"/>
      <c r="W152" s="4">
        <f t="shared" si="31"/>
        <v>0</v>
      </c>
    </row>
    <row r="153" spans="2:23" ht="15" customHeight="1">
      <c r="D153" s="1" t="str">
        <f>'2.1 Model setup'!K82</f>
        <v>6.1 Afskrivninger på transformerstationer</v>
      </c>
      <c r="F153" s="121"/>
      <c r="G153" s="121"/>
      <c r="H153" s="121"/>
      <c r="I153" s="121"/>
      <c r="J153" s="121"/>
      <c r="K153" s="5" t="str">
        <f t="shared" si="28"/>
        <v>DKKt</v>
      </c>
      <c r="L153" s="231">
        <f t="shared" si="29"/>
        <v>0</v>
      </c>
      <c r="O153" s="1">
        <f t="shared" ref="O153:T153" si="41" xml:space="preserve"> O135 + O117</f>
        <v>0</v>
      </c>
      <c r="P153" s="1">
        <f t="shared" si="41"/>
        <v>0</v>
      </c>
      <c r="Q153" s="202"/>
      <c r="R153" s="1">
        <f t="shared" si="41"/>
        <v>0</v>
      </c>
      <c r="S153" s="1">
        <f t="shared" si="41"/>
        <v>0</v>
      </c>
      <c r="T153" s="1">
        <f t="shared" si="41"/>
        <v>0</v>
      </c>
      <c r="U153" s="202"/>
      <c r="V153" s="202"/>
      <c r="W153" s="4">
        <f t="shared" si="31"/>
        <v>0</v>
      </c>
    </row>
    <row r="154" spans="2:23" ht="15" customHeight="1">
      <c r="D154" s="1" t="str">
        <f>'2.1 Model setup'!K83</f>
        <v>6.2 Afskrivninger på netaktiver ekskl. målere og transformerstationer</v>
      </c>
      <c r="F154" s="121"/>
      <c r="G154" s="121"/>
      <c r="H154" s="121"/>
      <c r="I154" s="121"/>
      <c r="J154" s="121"/>
      <c r="K154" s="5" t="str">
        <f t="shared" si="28"/>
        <v>DKKt</v>
      </c>
      <c r="L154" s="231">
        <f t="shared" si="29"/>
        <v>0</v>
      </c>
      <c r="O154" s="1">
        <f t="shared" ref="O154:T154" si="42" xml:space="preserve"> O136 + O118</f>
        <v>0</v>
      </c>
      <c r="P154" s="1">
        <f t="shared" si="42"/>
        <v>0</v>
      </c>
      <c r="Q154" s="202"/>
      <c r="R154" s="1">
        <f t="shared" si="42"/>
        <v>0</v>
      </c>
      <c r="S154" s="1">
        <f t="shared" si="42"/>
        <v>0</v>
      </c>
      <c r="T154" s="1">
        <f t="shared" si="42"/>
        <v>0</v>
      </c>
      <c r="U154" s="202"/>
      <c r="V154" s="202"/>
      <c r="W154" s="4">
        <f t="shared" si="31"/>
        <v>0</v>
      </c>
    </row>
    <row r="155" spans="2:23" ht="15" customHeight="1">
      <c r="D155" s="27" t="str">
        <f>'2.1 Model setup'!K84</f>
        <v>6.3 Afskrivninger på målere</v>
      </c>
      <c r="E155" s="27"/>
      <c r="F155" s="131"/>
      <c r="G155" s="131"/>
      <c r="H155" s="131"/>
      <c r="I155" s="131"/>
      <c r="J155" s="131"/>
      <c r="K155" s="32" t="str">
        <f t="shared" si="28"/>
        <v>DKKt</v>
      </c>
      <c r="L155" s="510">
        <f t="shared" si="29"/>
        <v>0</v>
      </c>
      <c r="M155" s="27"/>
      <c r="N155" s="27"/>
      <c r="O155" s="27">
        <f t="shared" ref="O155:T155" si="43" xml:space="preserve"> O137 + O119</f>
        <v>0</v>
      </c>
      <c r="P155" s="27">
        <f t="shared" si="43"/>
        <v>0</v>
      </c>
      <c r="Q155" s="269"/>
      <c r="R155" s="27">
        <f t="shared" si="43"/>
        <v>0</v>
      </c>
      <c r="S155" s="27">
        <f t="shared" si="43"/>
        <v>0</v>
      </c>
      <c r="T155" s="27">
        <f t="shared" si="43"/>
        <v>0</v>
      </c>
      <c r="U155" s="269"/>
      <c r="V155" s="269"/>
      <c r="W155" s="35">
        <f t="shared" si="31"/>
        <v>0</v>
      </c>
    </row>
    <row r="156" spans="2:23" ht="15" customHeight="1">
      <c r="D156" s="97" t="s">
        <v>16</v>
      </c>
      <c r="E156" s="27"/>
      <c r="F156" s="104"/>
      <c r="G156" s="104"/>
      <c r="H156" s="104"/>
      <c r="I156" s="104"/>
      <c r="J156" s="104"/>
      <c r="K156" s="127" t="str">
        <f t="shared" si="28"/>
        <v>DKKt</v>
      </c>
      <c r="L156" s="265">
        <f xml:space="preserve"> -- ( ROUND( W156, 5 ) &lt;&gt; ROUND( N85, 5 ) )</f>
        <v>0</v>
      </c>
      <c r="M156" s="151"/>
      <c r="N156" s="35"/>
      <c r="O156" s="35">
        <f xml:space="preserve"> SUM( O141:O155 )</f>
        <v>0</v>
      </c>
      <c r="P156" s="35">
        <f xml:space="preserve"> SUM( P141:P155 )</f>
        <v>0</v>
      </c>
      <c r="Q156" s="269"/>
      <c r="R156" s="35">
        <f xml:space="preserve"> SUM( R141:R155 )</f>
        <v>0</v>
      </c>
      <c r="S156" s="35">
        <f xml:space="preserve"> SUM( S141:S155 )</f>
        <v>0</v>
      </c>
      <c r="T156" s="35">
        <f xml:space="preserve"> SUM( T141:T155 )</f>
        <v>0</v>
      </c>
      <c r="U156" s="35">
        <f t="shared" ref="U156:V156" si="44" xml:space="preserve"> SUM( U141:U155 )</f>
        <v>0</v>
      </c>
      <c r="V156" s="35">
        <f t="shared" si="44"/>
        <v>0</v>
      </c>
      <c r="W156" s="35">
        <f xml:space="preserve"> SUM( W141:W155 )</f>
        <v>0</v>
      </c>
    </row>
    <row r="157" spans="2:23" ht="15" customHeight="1">
      <c r="D157" s="88"/>
      <c r="K157" s="78"/>
      <c r="L157" s="264"/>
      <c r="N157" s="4"/>
      <c r="O157" s="4"/>
      <c r="P157" s="4"/>
      <c r="Q157" s="4"/>
      <c r="R157" s="4"/>
      <c r="S157" s="4"/>
      <c r="T157" s="4"/>
      <c r="U157" s="4"/>
      <c r="V157" s="4"/>
      <c r="W157" s="4"/>
    </row>
    <row r="158" spans="2:23" ht="15" customHeight="1">
      <c r="D158" s="88"/>
      <c r="K158" s="78"/>
      <c r="L158" s="264"/>
      <c r="N158" s="4"/>
      <c r="O158" s="4"/>
      <c r="P158" s="4"/>
      <c r="Q158" s="4"/>
      <c r="R158" s="4"/>
      <c r="S158" s="4"/>
      <c r="T158" s="4"/>
      <c r="U158" s="4"/>
      <c r="V158" s="4"/>
      <c r="W158" s="4"/>
    </row>
    <row r="159" spans="2:23" ht="15" customHeight="1">
      <c r="L159" s="231"/>
    </row>
    <row r="160" spans="2:23" s="475" customFormat="1" ht="15" customHeight="1">
      <c r="B160" s="479" t="str">
        <f xml:space="preserve"> COUNTA(B$10:B159) &amp; ") Allokeringsmæssig differentiering"</f>
        <v>3) Allokeringsmæssig differentiering</v>
      </c>
      <c r="C160" s="477"/>
      <c r="D160" s="478"/>
      <c r="L160" s="471"/>
    </row>
    <row r="161" spans="1:25" customFormat="1" ht="15" customHeight="1">
      <c r="A161" s="1"/>
      <c r="B161" s="1"/>
      <c r="C161" s="2"/>
      <c r="D161" s="85"/>
      <c r="E161" s="1"/>
      <c r="F161" s="107"/>
      <c r="G161" s="107"/>
      <c r="H161" s="107"/>
      <c r="I161" s="107"/>
      <c r="J161" s="107"/>
      <c r="K161" s="87"/>
      <c r="L161" s="264"/>
      <c r="M161" s="85"/>
      <c r="N161" s="107"/>
      <c r="O161" s="107"/>
      <c r="P161" s="107"/>
      <c r="Q161" s="107"/>
      <c r="R161" s="1"/>
      <c r="S161" s="1"/>
      <c r="T161" s="1"/>
      <c r="U161" s="1"/>
      <c r="V161" s="1"/>
      <c r="W161" s="1"/>
      <c r="X161" s="1"/>
      <c r="Y161" s="1"/>
    </row>
    <row r="162" spans="1:25" customFormat="1" ht="15" customHeight="1">
      <c r="A162" s="1"/>
      <c r="B162" s="1"/>
      <c r="C162" s="2"/>
      <c r="D162" s="88" t="s">
        <v>43</v>
      </c>
      <c r="E162" s="1"/>
      <c r="F162" s="107"/>
      <c r="G162" s="107"/>
      <c r="H162" s="107"/>
      <c r="I162" s="107"/>
      <c r="J162" s="107"/>
      <c r="K162" s="87"/>
      <c r="L162" s="264"/>
      <c r="M162" s="85"/>
      <c r="N162" s="107"/>
      <c r="O162" s="107"/>
      <c r="P162" s="107"/>
      <c r="Q162" s="107"/>
      <c r="R162" s="107"/>
      <c r="S162" s="107"/>
      <c r="T162" s="107"/>
      <c r="U162" s="107"/>
      <c r="V162" s="107"/>
      <c r="W162" s="107"/>
      <c r="X162" s="1"/>
      <c r="Y162" s="1"/>
    </row>
    <row r="163" spans="1:25" ht="15" customHeight="1">
      <c r="D163" s="123" t="str">
        <f>'2.1 Model setup'!K70</f>
        <v>1.1 Drift og vedligeholdelse af transformerstationer</v>
      </c>
      <c r="E163" s="15"/>
      <c r="F163" s="15"/>
      <c r="G163" s="15"/>
      <c r="H163" s="15"/>
      <c r="I163" s="15"/>
      <c r="J163" s="15"/>
      <c r="K163" s="190" t="s">
        <v>41</v>
      </c>
      <c r="L163" s="537"/>
      <c r="M163" s="15"/>
      <c r="N163" s="193" t="str">
        <f>'2.2 Generelle input'!N269</f>
        <v>Lav</v>
      </c>
      <c r="O163" s="274"/>
      <c r="P163" s="274"/>
      <c r="Q163" s="274"/>
      <c r="R163" s="274"/>
      <c r="S163" s="274"/>
      <c r="T163" s="274"/>
      <c r="U163" s="274"/>
      <c r="V163" s="274"/>
      <c r="W163" s="274"/>
    </row>
    <row r="164" spans="1:25" ht="15" customHeight="1">
      <c r="D164" s="85" t="str">
        <f>'2.1 Model setup'!K71</f>
        <v>1.2 Drift og vedligeholdelse af ledningsnet</v>
      </c>
      <c r="K164" s="191" t="s">
        <v>41</v>
      </c>
      <c r="L164" s="231"/>
      <c r="N164" s="194" t="str">
        <f>'2.2 Generelle input'!N270</f>
        <v>Høj</v>
      </c>
      <c r="O164" s="202"/>
      <c r="P164" s="202"/>
      <c r="Q164" s="202"/>
      <c r="R164" s="202"/>
      <c r="S164" s="202"/>
      <c r="T164" s="202"/>
      <c r="U164" s="202"/>
      <c r="V164" s="202"/>
      <c r="W164" s="202"/>
    </row>
    <row r="165" spans="1:25" ht="15" customHeight="1">
      <c r="D165" s="85" t="str">
        <f>'2.1 Model setup'!K72</f>
        <v>1.3 Øvrige omkostninger til drift, styring og kontrol af elnettet</v>
      </c>
      <c r="K165" s="191" t="s">
        <v>41</v>
      </c>
      <c r="L165" s="231"/>
      <c r="N165" s="194" t="str">
        <f>'2.2 Generelle input'!N271</f>
        <v>Høj</v>
      </c>
      <c r="O165" s="202"/>
      <c r="P165" s="202"/>
      <c r="Q165" s="202"/>
      <c r="R165" s="202"/>
      <c r="S165" s="202"/>
      <c r="T165" s="202"/>
      <c r="U165" s="202"/>
      <c r="V165" s="202"/>
      <c r="W165" s="202"/>
    </row>
    <row r="166" spans="1:25" ht="15" customHeight="1">
      <c r="D166" s="85" t="str">
        <f>'2.1 Model setup'!K73</f>
        <v>1.4 Omkostninger vedrørende 132-150/30-60 kV-stationer</v>
      </c>
      <c r="K166" s="191" t="s">
        <v>41</v>
      </c>
      <c r="L166" s="231"/>
      <c r="N166" s="194" t="str">
        <f>'2.2 Generelle input'!N272</f>
        <v>Ej relevant</v>
      </c>
      <c r="O166" s="202"/>
      <c r="P166" s="202"/>
      <c r="Q166" s="202"/>
      <c r="R166" s="202"/>
      <c r="S166" s="202"/>
      <c r="T166" s="202"/>
      <c r="U166" s="202"/>
      <c r="V166" s="202"/>
      <c r="W166" s="202"/>
    </row>
    <row r="167" spans="1:25" ht="15" customHeight="1">
      <c r="D167" s="85" t="str">
        <f>'2.1 Model setup'!K74</f>
        <v>2.1 Drift og vedligeholdelse af målere</v>
      </c>
      <c r="K167" s="191" t="s">
        <v>41</v>
      </c>
      <c r="L167" s="231"/>
      <c r="N167" s="194" t="str">
        <f>'2.2 Generelle input'!N273</f>
        <v>Ej relevant</v>
      </c>
      <c r="O167" s="202"/>
      <c r="P167" s="202"/>
      <c r="Q167" s="202"/>
      <c r="R167" s="202"/>
      <c r="S167" s="202"/>
      <c r="T167" s="202"/>
      <c r="U167" s="202"/>
      <c r="V167" s="202"/>
      <c r="W167" s="202"/>
    </row>
    <row r="168" spans="1:25" ht="15" customHeight="1">
      <c r="D168" s="85" t="str">
        <f>'2.1 Model setup'!K75</f>
        <v>2.2 Indhentning og validering af målerdata</v>
      </c>
      <c r="K168" s="191" t="s">
        <v>41</v>
      </c>
      <c r="L168" s="231"/>
      <c r="N168" s="194" t="str">
        <f>'2.2 Generelle input'!N274</f>
        <v>Ej relevant</v>
      </c>
      <c r="O168" s="202"/>
      <c r="P168" s="202"/>
      <c r="Q168" s="202"/>
      <c r="R168" s="202"/>
      <c r="S168" s="202"/>
      <c r="T168" s="202"/>
      <c r="U168" s="202"/>
      <c r="V168" s="202"/>
      <c r="W168" s="202"/>
    </row>
    <row r="169" spans="1:25" ht="15" customHeight="1">
      <c r="D169" s="85" t="str">
        <f>'2.1 Model setup'!K76</f>
        <v>2.3 Måleradministration og kundehåndtering</v>
      </c>
      <c r="K169" s="191" t="s">
        <v>41</v>
      </c>
      <c r="L169" s="231"/>
      <c r="N169" s="194" t="str">
        <f>'2.2 Generelle input'!N275</f>
        <v>Ej relevant</v>
      </c>
      <c r="O169" s="202"/>
      <c r="P169" s="202"/>
      <c r="Q169" s="202"/>
      <c r="R169" s="202"/>
      <c r="S169" s="202"/>
      <c r="T169" s="202"/>
      <c r="U169" s="202"/>
      <c r="V169" s="202"/>
      <c r="W169" s="202"/>
    </row>
    <row r="170" spans="1:25" ht="15" customHeight="1">
      <c r="D170" s="85" t="str">
        <f>'2.1 Model setup'!K77</f>
        <v>3.1 Generel administration</v>
      </c>
      <c r="K170" s="191" t="s">
        <v>41</v>
      </c>
      <c r="L170" s="231"/>
      <c r="N170" s="194" t="str">
        <f>'2.2 Generelle input'!N276</f>
        <v>Ej relevant</v>
      </c>
      <c r="O170" s="202"/>
      <c r="P170" s="202"/>
      <c r="Q170" s="202"/>
      <c r="R170" s="202"/>
      <c r="S170" s="202"/>
      <c r="T170" s="202"/>
      <c r="U170" s="202"/>
      <c r="V170" s="202"/>
      <c r="W170" s="202"/>
    </row>
    <row r="171" spans="1:25" ht="15" customHeight="1">
      <c r="D171" s="85" t="str">
        <f>'2.1 Model setup'!K78</f>
        <v>4.1 Omkostninger vedrørende nettab i transformerstationer</v>
      </c>
      <c r="K171" s="191" t="s">
        <v>41</v>
      </c>
      <c r="L171" s="231"/>
      <c r="N171" s="194" t="str">
        <f>'2.2 Generelle input'!N277</f>
        <v>Lav</v>
      </c>
      <c r="O171" s="202"/>
      <c r="P171" s="202"/>
      <c r="Q171" s="202"/>
      <c r="R171" s="202"/>
      <c r="S171" s="202"/>
      <c r="T171" s="202"/>
      <c r="U171" s="202"/>
      <c r="V171" s="202"/>
      <c r="W171" s="202"/>
    </row>
    <row r="172" spans="1:25" ht="15" customHeight="1">
      <c r="D172" s="85" t="str">
        <f>'2.1 Model setup'!K79</f>
        <v>4.2 Omkostninger vedrørende nettab i ledningsnettet</v>
      </c>
      <c r="K172" s="191" t="s">
        <v>41</v>
      </c>
      <c r="L172" s="231"/>
      <c r="N172" s="194" t="str">
        <f>'2.2 Generelle input'!N278</f>
        <v>Høj</v>
      </c>
      <c r="O172" s="202"/>
      <c r="P172" s="202"/>
      <c r="Q172" s="202"/>
      <c r="R172" s="202"/>
      <c r="S172" s="202"/>
      <c r="T172" s="202"/>
      <c r="U172" s="202"/>
      <c r="V172" s="202"/>
      <c r="W172" s="202"/>
    </row>
    <row r="173" spans="1:25" ht="15" customHeight="1">
      <c r="D173" s="85" t="str">
        <f>'2.1 Model setup'!K88</f>
        <v>5.1 Omkostninger til overliggende net ifm. indfødning</v>
      </c>
      <c r="K173" s="191" t="s">
        <v>41</v>
      </c>
      <c r="L173" s="231"/>
      <c r="N173" s="194" t="str">
        <f>'2.2 Generelle input'!N280</f>
        <v>Høj</v>
      </c>
      <c r="O173" s="202"/>
      <c r="P173" s="202"/>
      <c r="Q173" s="202"/>
      <c r="R173" s="202"/>
      <c r="S173" s="202"/>
      <c r="T173" s="202"/>
      <c r="U173" s="202"/>
      <c r="V173" s="202"/>
      <c r="W173" s="202"/>
    </row>
    <row r="174" spans="1:25" ht="15" customHeight="1">
      <c r="D174" s="85" t="str">
        <f>'2.1 Model setup'!K81</f>
        <v>5.2 Øvrige omkostninger</v>
      </c>
      <c r="K174" s="191" t="s">
        <v>41</v>
      </c>
      <c r="L174" s="231"/>
      <c r="N174" s="194">
        <f>'2.2 Generelle input'!N281</f>
        <v>0</v>
      </c>
      <c r="O174" s="202"/>
      <c r="P174" s="202"/>
      <c r="Q174" s="202"/>
      <c r="R174" s="202"/>
      <c r="S174" s="202"/>
      <c r="T174" s="202"/>
      <c r="U174" s="202"/>
      <c r="V174" s="202"/>
      <c r="W174" s="202"/>
    </row>
    <row r="175" spans="1:25" ht="15" customHeight="1">
      <c r="D175" s="85" t="str">
        <f>'2.1 Model setup'!K82</f>
        <v>6.1 Afskrivninger på transformerstationer</v>
      </c>
      <c r="K175" s="191" t="s">
        <v>41</v>
      </c>
      <c r="L175" s="231"/>
      <c r="N175" s="194" t="str">
        <f>'2.2 Generelle input'!N282</f>
        <v>Lav</v>
      </c>
      <c r="O175" s="202"/>
      <c r="P175" s="202"/>
      <c r="Q175" s="202"/>
      <c r="R175" s="202"/>
      <c r="S175" s="202"/>
      <c r="T175" s="202"/>
      <c r="U175" s="202"/>
      <c r="V175" s="202"/>
      <c r="W175" s="202"/>
    </row>
    <row r="176" spans="1:25" ht="15" customHeight="1">
      <c r="D176" s="85" t="str">
        <f>'2.1 Model setup'!K83</f>
        <v>6.2 Afskrivninger på netaktiver ekskl. målere og transformerstationer</v>
      </c>
      <c r="K176" s="191" t="s">
        <v>41</v>
      </c>
      <c r="L176" s="231"/>
      <c r="N176" s="194" t="str">
        <f>'2.2 Generelle input'!N283</f>
        <v>Høj</v>
      </c>
      <c r="O176" s="202"/>
      <c r="P176" s="202"/>
      <c r="Q176" s="202"/>
      <c r="R176" s="202"/>
      <c r="S176" s="202"/>
      <c r="T176" s="202"/>
      <c r="U176" s="202"/>
      <c r="V176" s="202"/>
      <c r="W176" s="202"/>
    </row>
    <row r="177" spans="1:25" ht="15" customHeight="1">
      <c r="D177" s="99" t="str">
        <f>'2.1 Model setup'!K84</f>
        <v>6.3 Afskrivninger på målere</v>
      </c>
      <c r="E177" s="27"/>
      <c r="F177" s="27"/>
      <c r="G177" s="27"/>
      <c r="H177" s="27"/>
      <c r="I177" s="27"/>
      <c r="J177" s="27"/>
      <c r="K177" s="542" t="s">
        <v>41</v>
      </c>
      <c r="L177" s="510"/>
      <c r="M177" s="27"/>
      <c r="N177" s="195" t="str">
        <f>'2.2 Generelle input'!N284</f>
        <v>Ej relevant</v>
      </c>
      <c r="O177" s="269"/>
      <c r="P177" s="269"/>
      <c r="Q177" s="269"/>
      <c r="R177" s="269"/>
      <c r="S177" s="269"/>
      <c r="T177" s="269"/>
      <c r="U177" s="269"/>
      <c r="V177" s="269"/>
      <c r="W177" s="269"/>
    </row>
    <row r="178" spans="1:25" customFormat="1" ht="15" customHeight="1">
      <c r="A178" s="1"/>
      <c r="B178" s="1"/>
      <c r="C178" s="2"/>
      <c r="D178" s="85"/>
      <c r="E178" s="1"/>
      <c r="F178" s="107"/>
      <c r="G178" s="107"/>
      <c r="H178" s="107"/>
      <c r="I178" s="107"/>
      <c r="J178" s="107"/>
      <c r="K178" s="87"/>
      <c r="L178" s="264"/>
      <c r="M178" s="85"/>
      <c r="N178" s="87"/>
      <c r="O178" s="107"/>
      <c r="P178" s="107"/>
      <c r="Q178" s="107"/>
      <c r="R178" s="107"/>
      <c r="S178" s="107"/>
      <c r="T178" s="107"/>
      <c r="U178" s="107"/>
      <c r="V178" s="107"/>
      <c r="W178" s="107"/>
      <c r="X178" s="1"/>
      <c r="Y178" s="1"/>
    </row>
    <row r="179" spans="1:25" customFormat="1" ht="15" customHeight="1">
      <c r="A179" s="1"/>
      <c r="B179" s="1"/>
      <c r="C179" s="2"/>
      <c r="D179" s="88" t="s">
        <v>295</v>
      </c>
      <c r="E179" s="1"/>
      <c r="F179" s="107"/>
      <c r="G179" s="107"/>
      <c r="H179" s="107"/>
      <c r="I179" s="107"/>
      <c r="J179" s="107"/>
      <c r="K179" s="87"/>
      <c r="L179" s="264"/>
      <c r="M179" s="85"/>
      <c r="N179" s="107"/>
      <c r="O179" s="107"/>
      <c r="P179" s="107"/>
      <c r="Q179" s="107"/>
      <c r="R179" s="107"/>
      <c r="S179" s="107"/>
      <c r="T179" s="107"/>
      <c r="U179" s="107"/>
      <c r="V179" s="107"/>
      <c r="W179" s="107"/>
      <c r="X179" s="1"/>
      <c r="Y179" s="1"/>
    </row>
    <row r="180" spans="1:25" ht="15" customHeight="1">
      <c r="D180" s="123" t="str">
        <f>'2.1 Model setup'!K70</f>
        <v>1.1 Drift og vedligeholdelse af transformerstationer</v>
      </c>
      <c r="E180" s="15"/>
      <c r="F180" s="15"/>
      <c r="G180" s="15"/>
      <c r="H180" s="15"/>
      <c r="I180" s="15"/>
      <c r="J180" s="15"/>
      <c r="K180" s="190" t="s">
        <v>132</v>
      </c>
      <c r="L180" s="537"/>
      <c r="M180" s="15"/>
      <c r="N180" s="193">
        <f xml:space="preserve"> -- (W70 &lt;&gt; 0 )</f>
        <v>0</v>
      </c>
      <c r="O180" s="274"/>
      <c r="P180" s="274"/>
      <c r="Q180" s="274"/>
      <c r="R180" s="274"/>
      <c r="S180" s="274"/>
      <c r="T180" s="274"/>
      <c r="U180" s="274"/>
      <c r="V180" s="274"/>
      <c r="W180" s="274"/>
    </row>
    <row r="181" spans="1:25" ht="15" customHeight="1">
      <c r="D181" s="85" t="str">
        <f>'2.1 Model setup'!K71</f>
        <v>1.2 Drift og vedligeholdelse af ledningsnet</v>
      </c>
      <c r="K181" s="191" t="s">
        <v>132</v>
      </c>
      <c r="L181" s="231"/>
      <c r="N181" s="194">
        <f t="shared" ref="N181:N194" si="45" xml:space="preserve"> -- (W71 &lt;&gt; 0 )</f>
        <v>0</v>
      </c>
      <c r="O181" s="202"/>
      <c r="P181" s="202"/>
      <c r="Q181" s="202"/>
      <c r="R181" s="202"/>
      <c r="S181" s="202"/>
      <c r="T181" s="202"/>
      <c r="U181" s="202"/>
      <c r="V181" s="202"/>
      <c r="W181" s="202"/>
    </row>
    <row r="182" spans="1:25" ht="15" customHeight="1">
      <c r="D182" s="85" t="str">
        <f>'2.1 Model setup'!K72</f>
        <v>1.3 Øvrige omkostninger til drift, styring og kontrol af elnettet</v>
      </c>
      <c r="K182" s="191" t="s">
        <v>132</v>
      </c>
      <c r="L182" s="231"/>
      <c r="N182" s="194">
        <f t="shared" si="45"/>
        <v>0</v>
      </c>
      <c r="O182" s="202"/>
      <c r="P182" s="202"/>
      <c r="Q182" s="202"/>
      <c r="R182" s="202"/>
      <c r="S182" s="202"/>
      <c r="T182" s="202"/>
      <c r="U182" s="202"/>
      <c r="V182" s="202"/>
      <c r="W182" s="202"/>
    </row>
    <row r="183" spans="1:25" ht="15" customHeight="1">
      <c r="D183" s="85" t="str">
        <f>'2.1 Model setup'!K73</f>
        <v>1.4 Omkostninger vedrørende 132-150/30-60 kV-stationer</v>
      </c>
      <c r="K183" s="191" t="s">
        <v>132</v>
      </c>
      <c r="L183" s="231"/>
      <c r="N183" s="194">
        <f t="shared" si="45"/>
        <v>0</v>
      </c>
      <c r="O183" s="202"/>
      <c r="P183" s="202"/>
      <c r="Q183" s="202"/>
      <c r="R183" s="202"/>
      <c r="S183" s="202"/>
      <c r="T183" s="202"/>
      <c r="U183" s="202"/>
      <c r="V183" s="202"/>
      <c r="W183" s="202"/>
    </row>
    <row r="184" spans="1:25" ht="15" customHeight="1">
      <c r="D184" s="85" t="str">
        <f>'2.1 Model setup'!K74</f>
        <v>2.1 Drift og vedligeholdelse af målere</v>
      </c>
      <c r="K184" s="191" t="s">
        <v>132</v>
      </c>
      <c r="L184" s="231"/>
      <c r="N184" s="194">
        <f t="shared" si="45"/>
        <v>0</v>
      </c>
      <c r="O184" s="202"/>
      <c r="P184" s="202"/>
      <c r="Q184" s="202"/>
      <c r="R184" s="202"/>
      <c r="S184" s="202"/>
      <c r="T184" s="202"/>
      <c r="U184" s="202"/>
      <c r="V184" s="202"/>
      <c r="W184" s="202"/>
    </row>
    <row r="185" spans="1:25" ht="15" customHeight="1">
      <c r="D185" s="85" t="str">
        <f>'2.1 Model setup'!K75</f>
        <v>2.2 Indhentning og validering af målerdata</v>
      </c>
      <c r="K185" s="191" t="s">
        <v>132</v>
      </c>
      <c r="L185" s="231"/>
      <c r="N185" s="194">
        <f t="shared" si="45"/>
        <v>0</v>
      </c>
      <c r="O185" s="202"/>
      <c r="P185" s="202"/>
      <c r="Q185" s="202"/>
      <c r="R185" s="202"/>
      <c r="S185" s="202"/>
      <c r="T185" s="202"/>
      <c r="U185" s="202"/>
      <c r="V185" s="202"/>
      <c r="W185" s="202"/>
    </row>
    <row r="186" spans="1:25" ht="15" customHeight="1">
      <c r="D186" s="85" t="str">
        <f>'2.1 Model setup'!K76</f>
        <v>2.3 Måleradministration og kundehåndtering</v>
      </c>
      <c r="K186" s="191" t="s">
        <v>132</v>
      </c>
      <c r="L186" s="231"/>
      <c r="N186" s="194">
        <f t="shared" si="45"/>
        <v>0</v>
      </c>
      <c r="O186" s="202"/>
      <c r="P186" s="202"/>
      <c r="Q186" s="202"/>
      <c r="R186" s="202"/>
      <c r="S186" s="202"/>
      <c r="T186" s="202"/>
      <c r="U186" s="202"/>
      <c r="V186" s="202"/>
      <c r="W186" s="202"/>
    </row>
    <row r="187" spans="1:25" ht="15" customHeight="1">
      <c r="D187" s="85" t="str">
        <f>'2.1 Model setup'!K77</f>
        <v>3.1 Generel administration</v>
      </c>
      <c r="K187" s="191" t="s">
        <v>132</v>
      </c>
      <c r="L187" s="231"/>
      <c r="N187" s="194">
        <f t="shared" si="45"/>
        <v>0</v>
      </c>
      <c r="O187" s="202"/>
      <c r="P187" s="202"/>
      <c r="Q187" s="202"/>
      <c r="R187" s="202"/>
      <c r="S187" s="202"/>
      <c r="T187" s="202"/>
      <c r="U187" s="202"/>
      <c r="V187" s="202"/>
      <c r="W187" s="202"/>
    </row>
    <row r="188" spans="1:25" ht="15" customHeight="1">
      <c r="D188" s="85" t="str">
        <f>'2.1 Model setup'!K78</f>
        <v>4.1 Omkostninger vedrørende nettab i transformerstationer</v>
      </c>
      <c r="K188" s="191" t="s">
        <v>132</v>
      </c>
      <c r="L188" s="231"/>
      <c r="N188" s="194">
        <f t="shared" si="45"/>
        <v>0</v>
      </c>
      <c r="O188" s="202"/>
      <c r="P188" s="202"/>
      <c r="Q188" s="202"/>
      <c r="R188" s="202"/>
      <c r="S188" s="202"/>
      <c r="T188" s="202"/>
      <c r="U188" s="202"/>
      <c r="V188" s="202"/>
      <c r="W188" s="202"/>
    </row>
    <row r="189" spans="1:25" ht="15" customHeight="1">
      <c r="D189" s="85" t="str">
        <f>'2.1 Model setup'!K79</f>
        <v>4.2 Omkostninger vedrørende nettab i ledningsnettet</v>
      </c>
      <c r="K189" s="191" t="s">
        <v>132</v>
      </c>
      <c r="L189" s="231"/>
      <c r="N189" s="194">
        <f t="shared" si="45"/>
        <v>0</v>
      </c>
      <c r="O189" s="202"/>
      <c r="P189" s="202"/>
      <c r="Q189" s="202"/>
      <c r="R189" s="202"/>
      <c r="S189" s="202"/>
      <c r="T189" s="202"/>
      <c r="U189" s="202"/>
      <c r="V189" s="202"/>
      <c r="W189" s="202"/>
    </row>
    <row r="190" spans="1:25" ht="15" customHeight="1">
      <c r="D190" s="85" t="str">
        <f>'2.1 Model setup'!K88</f>
        <v>5.1 Omkostninger til overliggende net ifm. indfødning</v>
      </c>
      <c r="K190" s="191" t="s">
        <v>132</v>
      </c>
      <c r="L190" s="231"/>
      <c r="N190" s="194">
        <f t="shared" si="45"/>
        <v>0</v>
      </c>
      <c r="O190" s="202"/>
      <c r="P190" s="202"/>
      <c r="Q190" s="202"/>
      <c r="R190" s="202"/>
      <c r="S190" s="202"/>
      <c r="T190" s="202"/>
      <c r="U190" s="202"/>
      <c r="V190" s="202"/>
      <c r="W190" s="202"/>
    </row>
    <row r="191" spans="1:25" ht="15" customHeight="1">
      <c r="D191" s="85" t="str">
        <f>'2.1 Model setup'!K81</f>
        <v>5.2 Øvrige omkostninger</v>
      </c>
      <c r="K191" s="191" t="s">
        <v>132</v>
      </c>
      <c r="L191" s="231"/>
      <c r="N191" s="194">
        <f t="shared" si="45"/>
        <v>0</v>
      </c>
      <c r="O191" s="202"/>
      <c r="P191" s="202"/>
      <c r="Q191" s="202"/>
      <c r="R191" s="202"/>
      <c r="S191" s="202"/>
      <c r="T191" s="202"/>
      <c r="U191" s="202"/>
      <c r="V191" s="202"/>
      <c r="W191" s="202"/>
    </row>
    <row r="192" spans="1:25" ht="15" customHeight="1">
      <c r="D192" s="85" t="str">
        <f>'2.1 Model setup'!K82</f>
        <v>6.1 Afskrivninger på transformerstationer</v>
      </c>
      <c r="K192" s="191" t="s">
        <v>132</v>
      </c>
      <c r="L192" s="231"/>
      <c r="N192" s="194">
        <f t="shared" si="45"/>
        <v>0</v>
      </c>
      <c r="O192" s="202"/>
      <c r="P192" s="202"/>
      <c r="Q192" s="202"/>
      <c r="R192" s="202"/>
      <c r="S192" s="202"/>
      <c r="T192" s="202"/>
      <c r="U192" s="202"/>
      <c r="V192" s="202"/>
      <c r="W192" s="202"/>
    </row>
    <row r="193" spans="1:25" ht="15" customHeight="1">
      <c r="D193" s="85" t="str">
        <f>'2.1 Model setup'!K83</f>
        <v>6.2 Afskrivninger på netaktiver ekskl. målere og transformerstationer</v>
      </c>
      <c r="K193" s="191" t="s">
        <v>132</v>
      </c>
      <c r="L193" s="231"/>
      <c r="N193" s="194">
        <f t="shared" si="45"/>
        <v>0</v>
      </c>
      <c r="O193" s="202"/>
      <c r="P193" s="202"/>
      <c r="Q193" s="202"/>
      <c r="R193" s="202"/>
      <c r="S193" s="202"/>
      <c r="T193" s="202"/>
      <c r="U193" s="202"/>
      <c r="V193" s="202"/>
      <c r="W193" s="202"/>
    </row>
    <row r="194" spans="1:25" ht="15" customHeight="1">
      <c r="D194" s="99" t="str">
        <f>'2.1 Model setup'!K84</f>
        <v>6.3 Afskrivninger på målere</v>
      </c>
      <c r="E194" s="27"/>
      <c r="F194" s="27"/>
      <c r="G194" s="27"/>
      <c r="H194" s="27"/>
      <c r="I194" s="27"/>
      <c r="J194" s="27"/>
      <c r="K194" s="542" t="s">
        <v>132</v>
      </c>
      <c r="L194" s="510"/>
      <c r="M194" s="27"/>
      <c r="N194" s="195">
        <f t="shared" si="45"/>
        <v>0</v>
      </c>
      <c r="O194" s="269"/>
      <c r="P194" s="269"/>
      <c r="Q194" s="269"/>
      <c r="R194" s="269"/>
      <c r="S194" s="269"/>
      <c r="T194" s="269"/>
      <c r="U194" s="269"/>
      <c r="V194" s="269"/>
      <c r="W194" s="269"/>
    </row>
    <row r="195" spans="1:25" customFormat="1" ht="15" customHeight="1">
      <c r="A195" s="1"/>
      <c r="B195" s="1"/>
      <c r="C195" s="2"/>
      <c r="D195" s="85"/>
      <c r="E195" s="1"/>
      <c r="F195" s="107"/>
      <c r="G195" s="107"/>
      <c r="H195" s="107"/>
      <c r="I195" s="107"/>
      <c r="J195" s="107"/>
      <c r="K195" s="87"/>
      <c r="L195" s="264"/>
      <c r="M195" s="85"/>
      <c r="N195" s="87"/>
      <c r="O195" s="107"/>
      <c r="P195" s="107"/>
      <c r="Q195" s="107"/>
      <c r="R195" s="107"/>
      <c r="S195" s="107"/>
      <c r="T195" s="107"/>
      <c r="U195" s="107"/>
      <c r="V195" s="107"/>
      <c r="W195" s="107"/>
      <c r="X195" s="1"/>
      <c r="Y195" s="1"/>
    </row>
    <row r="196" spans="1:25" customFormat="1" ht="15" customHeight="1">
      <c r="A196" s="1"/>
      <c r="B196" s="1"/>
      <c r="C196" s="2"/>
      <c r="D196" s="4" t="s">
        <v>588</v>
      </c>
      <c r="E196" s="1"/>
      <c r="F196" s="107"/>
      <c r="G196" s="107"/>
      <c r="H196" s="107"/>
      <c r="I196" s="107"/>
      <c r="J196" s="107"/>
      <c r="K196" s="87"/>
      <c r="L196" s="264"/>
      <c r="M196" s="85"/>
      <c r="N196" s="107"/>
      <c r="O196" s="107"/>
      <c r="P196" s="107"/>
      <c r="Q196" s="107"/>
      <c r="R196" s="1"/>
      <c r="S196" s="1"/>
      <c r="T196" s="1"/>
      <c r="U196" s="1"/>
      <c r="V196" s="1"/>
      <c r="W196" s="89" t="s">
        <v>16</v>
      </c>
      <c r="X196" s="1"/>
      <c r="Y196" s="1"/>
    </row>
    <row r="197" spans="1:25" customFormat="1" ht="15" customHeight="1">
      <c r="A197" s="1"/>
      <c r="B197" s="1"/>
      <c r="C197" s="2"/>
      <c r="D197" s="15" t="str">
        <f>'2.1 Model setup'!K70</f>
        <v>1.1 Drift og vedligeholdelse af transformerstationer</v>
      </c>
      <c r="E197" s="15"/>
      <c r="F197" s="150"/>
      <c r="G197" s="150"/>
      <c r="H197" s="150"/>
      <c r="I197" s="150"/>
      <c r="J197" s="150"/>
      <c r="K197" s="19" t="str">
        <f t="shared" ref="K197:K211" si="46">Model.Units2</f>
        <v>kWh</v>
      </c>
      <c r="L197" s="537"/>
      <c r="M197" s="15"/>
      <c r="N197" s="15"/>
      <c r="O197" s="15">
        <f t="shared" ref="O197:P211" si="47">O32</f>
        <v>0</v>
      </c>
      <c r="P197" s="15">
        <f t="shared" si="47"/>
        <v>0</v>
      </c>
      <c r="Q197" s="536"/>
      <c r="R197" s="15">
        <f t="shared" ref="R197:T211" si="48">R32</f>
        <v>0</v>
      </c>
      <c r="S197" s="15">
        <f t="shared" si="48"/>
        <v>0</v>
      </c>
      <c r="T197" s="15">
        <f t="shared" si="48"/>
        <v>0</v>
      </c>
      <c r="U197" s="536"/>
      <c r="V197" s="536"/>
      <c r="W197" s="18">
        <f xml:space="preserve"> SUM( O197:V197 )</f>
        <v>0</v>
      </c>
      <c r="X197" s="111"/>
      <c r="Y197" s="121"/>
    </row>
    <row r="198" spans="1:25" customFormat="1" ht="15" customHeight="1">
      <c r="A198" s="1"/>
      <c r="B198" s="1"/>
      <c r="C198" s="2"/>
      <c r="D198" s="1" t="str">
        <f>'2.1 Model setup'!K71</f>
        <v>1.2 Drift og vedligeholdelse af ledningsnet</v>
      </c>
      <c r="E198" s="1"/>
      <c r="F198" s="121"/>
      <c r="G198" s="121"/>
      <c r="H198" s="121"/>
      <c r="I198" s="121"/>
      <c r="J198" s="121"/>
      <c r="K198" s="5" t="str">
        <f t="shared" si="46"/>
        <v>kWh</v>
      </c>
      <c r="L198" s="231"/>
      <c r="M198" s="1"/>
      <c r="N198" s="1"/>
      <c r="O198" s="1">
        <f t="shared" si="47"/>
        <v>0</v>
      </c>
      <c r="P198" s="1">
        <f t="shared" si="47"/>
        <v>0</v>
      </c>
      <c r="Q198" s="344"/>
      <c r="R198" s="1">
        <f t="shared" si="48"/>
        <v>0</v>
      </c>
      <c r="S198" s="1">
        <f t="shared" si="48"/>
        <v>0</v>
      </c>
      <c r="T198" s="1">
        <f t="shared" si="48"/>
        <v>0</v>
      </c>
      <c r="U198" s="344"/>
      <c r="V198" s="344"/>
      <c r="W198" s="4">
        <f t="shared" ref="W198:W209" si="49" xml:space="preserve"> SUM( O198:V198 )</f>
        <v>0</v>
      </c>
      <c r="X198" s="111"/>
      <c r="Y198" s="121"/>
    </row>
    <row r="199" spans="1:25" customFormat="1" ht="15" customHeight="1">
      <c r="A199" s="1"/>
      <c r="B199" s="1"/>
      <c r="C199" s="2"/>
      <c r="D199" s="1" t="str">
        <f>'2.1 Model setup'!K72</f>
        <v>1.3 Øvrige omkostninger til drift, styring og kontrol af elnettet</v>
      </c>
      <c r="E199" s="1"/>
      <c r="F199" s="121"/>
      <c r="G199" s="121"/>
      <c r="H199" s="121"/>
      <c r="I199" s="121"/>
      <c r="J199" s="121"/>
      <c r="K199" s="5" t="str">
        <f t="shared" si="46"/>
        <v>kWh</v>
      </c>
      <c r="L199" s="231"/>
      <c r="M199" s="1"/>
      <c r="N199" s="1"/>
      <c r="O199" s="1">
        <f t="shared" si="47"/>
        <v>0</v>
      </c>
      <c r="P199" s="1">
        <f t="shared" si="47"/>
        <v>0</v>
      </c>
      <c r="Q199" s="344"/>
      <c r="R199" s="1">
        <f t="shared" si="48"/>
        <v>0</v>
      </c>
      <c r="S199" s="1">
        <f t="shared" si="48"/>
        <v>0</v>
      </c>
      <c r="T199" s="1">
        <f t="shared" si="48"/>
        <v>0</v>
      </c>
      <c r="U199" s="344"/>
      <c r="V199" s="344"/>
      <c r="W199" s="4">
        <f t="shared" si="49"/>
        <v>0</v>
      </c>
      <c r="X199" s="111"/>
      <c r="Y199" s="121"/>
    </row>
    <row r="200" spans="1:25" customFormat="1" ht="15" customHeight="1">
      <c r="A200" s="1"/>
      <c r="B200" s="1"/>
      <c r="C200" s="2"/>
      <c r="D200" s="1" t="str">
        <f>'2.1 Model setup'!K73</f>
        <v>1.4 Omkostninger vedrørende 132-150/30-60 kV-stationer</v>
      </c>
      <c r="E200" s="1"/>
      <c r="F200" s="121"/>
      <c r="G200" s="121"/>
      <c r="H200" s="121"/>
      <c r="I200" s="121"/>
      <c r="J200" s="121"/>
      <c r="K200" s="5" t="str">
        <f t="shared" si="46"/>
        <v>kWh</v>
      </c>
      <c r="L200" s="231"/>
      <c r="M200" s="1"/>
      <c r="N200" s="1"/>
      <c r="O200" s="1">
        <f t="shared" si="47"/>
        <v>0</v>
      </c>
      <c r="P200" s="1">
        <f t="shared" si="47"/>
        <v>0</v>
      </c>
      <c r="Q200" s="344"/>
      <c r="R200" s="1">
        <f t="shared" si="48"/>
        <v>0</v>
      </c>
      <c r="S200" s="1">
        <f t="shared" si="48"/>
        <v>0</v>
      </c>
      <c r="T200" s="1">
        <f t="shared" si="48"/>
        <v>0</v>
      </c>
      <c r="U200" s="344"/>
      <c r="V200" s="344"/>
      <c r="W200" s="4">
        <f t="shared" si="49"/>
        <v>0</v>
      </c>
      <c r="X200" s="111"/>
      <c r="Y200" s="121"/>
    </row>
    <row r="201" spans="1:25" customFormat="1" ht="15" customHeight="1">
      <c r="A201" s="1"/>
      <c r="B201" s="1"/>
      <c r="C201" s="2"/>
      <c r="D201" s="1" t="str">
        <f>'2.1 Model setup'!K74</f>
        <v>2.1 Drift og vedligeholdelse af målere</v>
      </c>
      <c r="E201" s="1"/>
      <c r="F201" s="121"/>
      <c r="G201" s="121"/>
      <c r="H201" s="121"/>
      <c r="I201" s="121"/>
      <c r="J201" s="121"/>
      <c r="K201" s="5" t="str">
        <f t="shared" si="46"/>
        <v>kWh</v>
      </c>
      <c r="L201" s="231"/>
      <c r="M201" s="1"/>
      <c r="N201" s="1"/>
      <c r="O201" s="1">
        <f t="shared" si="47"/>
        <v>0</v>
      </c>
      <c r="P201" s="1">
        <f t="shared" si="47"/>
        <v>0</v>
      </c>
      <c r="Q201" s="344"/>
      <c r="R201" s="1">
        <f t="shared" si="48"/>
        <v>0</v>
      </c>
      <c r="S201" s="1">
        <f t="shared" si="48"/>
        <v>0</v>
      </c>
      <c r="T201" s="1">
        <f t="shared" si="48"/>
        <v>0</v>
      </c>
      <c r="U201" s="344"/>
      <c r="V201" s="344"/>
      <c r="W201" s="4">
        <f t="shared" si="49"/>
        <v>0</v>
      </c>
      <c r="X201" s="111"/>
      <c r="Y201" s="121"/>
    </row>
    <row r="202" spans="1:25" customFormat="1" ht="15" customHeight="1">
      <c r="A202" s="1"/>
      <c r="B202" s="1"/>
      <c r="C202" s="2"/>
      <c r="D202" s="1" t="str">
        <f>'2.1 Model setup'!K75</f>
        <v>2.2 Indhentning og validering af målerdata</v>
      </c>
      <c r="E202" s="1"/>
      <c r="F202" s="121"/>
      <c r="G202" s="121"/>
      <c r="H202" s="121"/>
      <c r="I202" s="121"/>
      <c r="J202" s="121"/>
      <c r="K202" s="5" t="str">
        <f t="shared" si="46"/>
        <v>kWh</v>
      </c>
      <c r="L202" s="231"/>
      <c r="M202" s="1"/>
      <c r="N202" s="1"/>
      <c r="O202" s="1">
        <f t="shared" si="47"/>
        <v>0</v>
      </c>
      <c r="P202" s="1">
        <f t="shared" si="47"/>
        <v>0</v>
      </c>
      <c r="Q202" s="344"/>
      <c r="R202" s="1">
        <f t="shared" si="48"/>
        <v>0</v>
      </c>
      <c r="S202" s="1">
        <f t="shared" si="48"/>
        <v>0</v>
      </c>
      <c r="T202" s="1">
        <f t="shared" si="48"/>
        <v>0</v>
      </c>
      <c r="U202" s="344"/>
      <c r="V202" s="344"/>
      <c r="W202" s="4">
        <f t="shared" si="49"/>
        <v>0</v>
      </c>
      <c r="X202" s="111"/>
      <c r="Y202" s="121"/>
    </row>
    <row r="203" spans="1:25" customFormat="1" ht="15" customHeight="1">
      <c r="A203" s="1"/>
      <c r="B203" s="1"/>
      <c r="C203" s="2"/>
      <c r="D203" s="1" t="str">
        <f>'2.1 Model setup'!K76</f>
        <v>2.3 Måleradministration og kundehåndtering</v>
      </c>
      <c r="E203" s="1"/>
      <c r="F203" s="121"/>
      <c r="G203" s="121"/>
      <c r="H203" s="121"/>
      <c r="I203" s="121"/>
      <c r="J203" s="121"/>
      <c r="K203" s="5" t="str">
        <f t="shared" si="46"/>
        <v>kWh</v>
      </c>
      <c r="L203" s="231"/>
      <c r="M203" s="1"/>
      <c r="N203" s="1"/>
      <c r="O203" s="1">
        <f t="shared" si="47"/>
        <v>0</v>
      </c>
      <c r="P203" s="1">
        <f t="shared" si="47"/>
        <v>0</v>
      </c>
      <c r="Q203" s="344"/>
      <c r="R203" s="1">
        <f t="shared" si="48"/>
        <v>0</v>
      </c>
      <c r="S203" s="1">
        <f t="shared" si="48"/>
        <v>0</v>
      </c>
      <c r="T203" s="1">
        <f t="shared" si="48"/>
        <v>0</v>
      </c>
      <c r="U203" s="344"/>
      <c r="V203" s="344"/>
      <c r="W203" s="4">
        <f t="shared" si="49"/>
        <v>0</v>
      </c>
      <c r="X203" s="111"/>
      <c r="Y203" s="121"/>
    </row>
    <row r="204" spans="1:25" customFormat="1" ht="15" customHeight="1">
      <c r="A204" s="1"/>
      <c r="B204" s="1"/>
      <c r="C204" s="2"/>
      <c r="D204" s="1" t="str">
        <f>'2.1 Model setup'!K77</f>
        <v>3.1 Generel administration</v>
      </c>
      <c r="E204" s="1"/>
      <c r="F204" s="121"/>
      <c r="G204" s="121"/>
      <c r="H204" s="121"/>
      <c r="I204" s="121"/>
      <c r="J204" s="121"/>
      <c r="K204" s="5" t="str">
        <f t="shared" si="46"/>
        <v>kWh</v>
      </c>
      <c r="L204" s="231"/>
      <c r="M204" s="1"/>
      <c r="N204" s="1"/>
      <c r="O204" s="1">
        <f t="shared" si="47"/>
        <v>0</v>
      </c>
      <c r="P204" s="1">
        <f t="shared" si="47"/>
        <v>0</v>
      </c>
      <c r="Q204" s="344"/>
      <c r="R204" s="1">
        <f t="shared" si="48"/>
        <v>0</v>
      </c>
      <c r="S204" s="1">
        <f t="shared" si="48"/>
        <v>0</v>
      </c>
      <c r="T204" s="1">
        <f t="shared" si="48"/>
        <v>0</v>
      </c>
      <c r="U204" s="344"/>
      <c r="V204" s="344"/>
      <c r="W204" s="4">
        <f t="shared" si="49"/>
        <v>0</v>
      </c>
      <c r="X204" s="111"/>
      <c r="Y204" s="121"/>
    </row>
    <row r="205" spans="1:25" customFormat="1" ht="15" customHeight="1">
      <c r="A205" s="1"/>
      <c r="B205" s="1"/>
      <c r="C205" s="2"/>
      <c r="D205" s="1" t="str">
        <f>'2.1 Model setup'!K78</f>
        <v>4.1 Omkostninger vedrørende nettab i transformerstationer</v>
      </c>
      <c r="E205" s="1"/>
      <c r="F205" s="121"/>
      <c r="G205" s="121"/>
      <c r="H205" s="121"/>
      <c r="I205" s="121"/>
      <c r="J205" s="121"/>
      <c r="K205" s="5" t="str">
        <f t="shared" si="46"/>
        <v>kWh</v>
      </c>
      <c r="L205" s="231"/>
      <c r="M205" s="1"/>
      <c r="N205" s="1"/>
      <c r="O205" s="1">
        <f t="shared" si="47"/>
        <v>0</v>
      </c>
      <c r="P205" s="1">
        <f t="shared" si="47"/>
        <v>0</v>
      </c>
      <c r="Q205" s="344"/>
      <c r="R205" s="1">
        <f t="shared" si="48"/>
        <v>0</v>
      </c>
      <c r="S205" s="1">
        <f t="shared" si="48"/>
        <v>0</v>
      </c>
      <c r="T205" s="1">
        <f t="shared" si="48"/>
        <v>0</v>
      </c>
      <c r="U205" s="344"/>
      <c r="V205" s="344"/>
      <c r="W205" s="4">
        <f t="shared" si="49"/>
        <v>0</v>
      </c>
      <c r="X205" s="111"/>
      <c r="Y205" s="121"/>
    </row>
    <row r="206" spans="1:25" customFormat="1" ht="15" customHeight="1">
      <c r="A206" s="1"/>
      <c r="B206" s="1"/>
      <c r="C206" s="2"/>
      <c r="D206" s="1" t="str">
        <f>'2.1 Model setup'!K79</f>
        <v>4.2 Omkostninger vedrørende nettab i ledningsnettet</v>
      </c>
      <c r="E206" s="1"/>
      <c r="F206" s="121"/>
      <c r="G206" s="121"/>
      <c r="H206" s="121"/>
      <c r="I206" s="121"/>
      <c r="J206" s="121"/>
      <c r="K206" s="5" t="str">
        <f t="shared" si="46"/>
        <v>kWh</v>
      </c>
      <c r="L206" s="231"/>
      <c r="M206" s="1"/>
      <c r="N206" s="1"/>
      <c r="O206" s="1">
        <f t="shared" si="47"/>
        <v>0</v>
      </c>
      <c r="P206" s="1">
        <f t="shared" si="47"/>
        <v>0</v>
      </c>
      <c r="Q206" s="344"/>
      <c r="R206" s="1">
        <f t="shared" si="48"/>
        <v>0</v>
      </c>
      <c r="S206" s="1">
        <f t="shared" si="48"/>
        <v>0</v>
      </c>
      <c r="T206" s="1">
        <f t="shared" si="48"/>
        <v>0</v>
      </c>
      <c r="U206" s="344"/>
      <c r="V206" s="344"/>
      <c r="W206" s="4">
        <f t="shared" si="49"/>
        <v>0</v>
      </c>
      <c r="X206" s="111"/>
      <c r="Y206" s="121"/>
    </row>
    <row r="207" spans="1:25" customFormat="1" ht="15" customHeight="1">
      <c r="A207" s="1"/>
      <c r="B207" s="1"/>
      <c r="C207" s="2"/>
      <c r="D207" s="1" t="str">
        <f>'2.1 Model setup'!K88</f>
        <v>5.1 Omkostninger til overliggende net ifm. indfødning</v>
      </c>
      <c r="E207" s="1"/>
      <c r="F207" s="121"/>
      <c r="G207" s="121"/>
      <c r="H207" s="121"/>
      <c r="I207" s="121"/>
      <c r="J207" s="121"/>
      <c r="K207" s="5" t="str">
        <f t="shared" si="46"/>
        <v>kWh</v>
      </c>
      <c r="L207" s="231"/>
      <c r="M207" s="1"/>
      <c r="N207" s="1"/>
      <c r="O207" s="1">
        <f t="shared" si="47"/>
        <v>0</v>
      </c>
      <c r="P207" s="1">
        <f t="shared" si="47"/>
        <v>0</v>
      </c>
      <c r="Q207" s="344"/>
      <c r="R207" s="1">
        <f t="shared" si="48"/>
        <v>0</v>
      </c>
      <c r="S207" s="1">
        <f t="shared" si="48"/>
        <v>0</v>
      </c>
      <c r="T207" s="1">
        <f t="shared" si="48"/>
        <v>0</v>
      </c>
      <c r="U207" s="344"/>
      <c r="V207" s="344"/>
      <c r="W207" s="4">
        <f t="shared" si="49"/>
        <v>0</v>
      </c>
      <c r="X207" s="111"/>
      <c r="Y207" s="121"/>
    </row>
    <row r="208" spans="1:25" customFormat="1" ht="15" customHeight="1">
      <c r="A208" s="1"/>
      <c r="B208" s="1"/>
      <c r="C208" s="2"/>
      <c r="D208" s="1" t="str">
        <f>'2.1 Model setup'!K81</f>
        <v>5.2 Øvrige omkostninger</v>
      </c>
      <c r="E208" s="1"/>
      <c r="F208" s="121"/>
      <c r="G208" s="121"/>
      <c r="H208" s="121"/>
      <c r="I208" s="121"/>
      <c r="J208" s="121"/>
      <c r="K208" s="5" t="str">
        <f t="shared" si="46"/>
        <v>kWh</v>
      </c>
      <c r="L208" s="231"/>
      <c r="M208" s="1"/>
      <c r="N208" s="1"/>
      <c r="O208" s="1">
        <f t="shared" si="47"/>
        <v>0</v>
      </c>
      <c r="P208" s="1">
        <f t="shared" si="47"/>
        <v>0</v>
      </c>
      <c r="Q208" s="344"/>
      <c r="R208" s="1">
        <f t="shared" si="48"/>
        <v>0</v>
      </c>
      <c r="S208" s="1">
        <f t="shared" si="48"/>
        <v>0</v>
      </c>
      <c r="T208" s="1">
        <f t="shared" si="48"/>
        <v>0</v>
      </c>
      <c r="U208" s="344"/>
      <c r="V208" s="344"/>
      <c r="W208" s="4">
        <f t="shared" si="49"/>
        <v>0</v>
      </c>
      <c r="X208" s="111"/>
      <c r="Y208" s="121"/>
    </row>
    <row r="209" spans="1:25" customFormat="1" ht="15" customHeight="1">
      <c r="A209" s="1"/>
      <c r="B209" s="1"/>
      <c r="C209" s="2"/>
      <c r="D209" s="1" t="str">
        <f>'2.1 Model setup'!K82</f>
        <v>6.1 Afskrivninger på transformerstationer</v>
      </c>
      <c r="E209" s="1"/>
      <c r="F209" s="121"/>
      <c r="G209" s="121"/>
      <c r="H209" s="121"/>
      <c r="I209" s="121"/>
      <c r="J209" s="121"/>
      <c r="K209" s="5" t="str">
        <f t="shared" si="46"/>
        <v>kWh</v>
      </c>
      <c r="L209" s="231"/>
      <c r="M209" s="1"/>
      <c r="N209" s="1"/>
      <c r="O209" s="1">
        <f t="shared" si="47"/>
        <v>0</v>
      </c>
      <c r="P209" s="1">
        <f t="shared" si="47"/>
        <v>0</v>
      </c>
      <c r="Q209" s="344"/>
      <c r="R209" s="1">
        <f t="shared" si="48"/>
        <v>0</v>
      </c>
      <c r="S209" s="1">
        <f t="shared" si="48"/>
        <v>0</v>
      </c>
      <c r="T209" s="1">
        <f t="shared" si="48"/>
        <v>0</v>
      </c>
      <c r="U209" s="344"/>
      <c r="V209" s="344"/>
      <c r="W209" s="4">
        <f t="shared" si="49"/>
        <v>0</v>
      </c>
      <c r="X209" s="111"/>
      <c r="Y209" s="121"/>
    </row>
    <row r="210" spans="1:25" customFormat="1" ht="15" customHeight="1">
      <c r="A210" s="1"/>
      <c r="B210" s="1"/>
      <c r="C210" s="2"/>
      <c r="D210" s="1" t="str">
        <f>'2.1 Model setup'!K83</f>
        <v>6.2 Afskrivninger på netaktiver ekskl. målere og transformerstationer</v>
      </c>
      <c r="E210" s="1"/>
      <c r="F210" s="121"/>
      <c r="G210" s="121"/>
      <c r="H210" s="121"/>
      <c r="I210" s="121"/>
      <c r="J210" s="121"/>
      <c r="K210" s="5" t="str">
        <f t="shared" si="46"/>
        <v>kWh</v>
      </c>
      <c r="L210" s="231"/>
      <c r="M210" s="1"/>
      <c r="N210" s="1"/>
      <c r="O210" s="1">
        <f t="shared" si="47"/>
        <v>0</v>
      </c>
      <c r="P210" s="1">
        <f t="shared" si="47"/>
        <v>0</v>
      </c>
      <c r="Q210" s="344"/>
      <c r="R210" s="1">
        <f t="shared" si="48"/>
        <v>0</v>
      </c>
      <c r="S210" s="1">
        <f t="shared" si="48"/>
        <v>0</v>
      </c>
      <c r="T210" s="1">
        <f t="shared" si="48"/>
        <v>0</v>
      </c>
      <c r="U210" s="344"/>
      <c r="V210" s="344"/>
      <c r="W210" s="4">
        <f xml:space="preserve"> SUM( O210:V210 )</f>
        <v>0</v>
      </c>
      <c r="X210" s="111"/>
      <c r="Y210" s="121"/>
    </row>
    <row r="211" spans="1:25" customFormat="1" ht="15" customHeight="1">
      <c r="A211" s="1"/>
      <c r="B211" s="1"/>
      <c r="C211" s="2"/>
      <c r="D211" s="27" t="str">
        <f>'2.1 Model setup'!K84</f>
        <v>6.3 Afskrivninger på målere</v>
      </c>
      <c r="E211" s="27"/>
      <c r="F211" s="131"/>
      <c r="G211" s="131"/>
      <c r="H211" s="131"/>
      <c r="I211" s="131"/>
      <c r="J211" s="131"/>
      <c r="K211" s="32" t="str">
        <f t="shared" si="46"/>
        <v>kWh</v>
      </c>
      <c r="L211" s="510"/>
      <c r="M211" s="27"/>
      <c r="N211" s="27"/>
      <c r="O211" s="27">
        <f t="shared" si="47"/>
        <v>0</v>
      </c>
      <c r="P211" s="27">
        <f t="shared" si="47"/>
        <v>0</v>
      </c>
      <c r="Q211" s="395"/>
      <c r="R211" s="27">
        <f t="shared" si="48"/>
        <v>0</v>
      </c>
      <c r="S211" s="27">
        <f t="shared" si="48"/>
        <v>0</v>
      </c>
      <c r="T211" s="27">
        <f t="shared" si="48"/>
        <v>0</v>
      </c>
      <c r="U211" s="395"/>
      <c r="V211" s="395"/>
      <c r="W211" s="35">
        <f xml:space="preserve"> SUM( O211:V211 )</f>
        <v>0</v>
      </c>
      <c r="X211" s="111"/>
      <c r="Y211" s="121"/>
    </row>
    <row r="212" spans="1:25" customFormat="1" ht="15" customHeight="1">
      <c r="A212" s="1"/>
      <c r="B212" s="1"/>
      <c r="C212" s="2"/>
      <c r="D212" s="85"/>
      <c r="E212" s="1"/>
      <c r="F212" s="107"/>
      <c r="G212" s="107"/>
      <c r="H212" s="107"/>
      <c r="I212" s="107"/>
      <c r="J212" s="107"/>
      <c r="K212" s="87"/>
      <c r="L212" s="558"/>
      <c r="M212" s="181"/>
      <c r="N212" s="181"/>
      <c r="O212" s="515"/>
      <c r="P212" s="515"/>
      <c r="Q212" s="515"/>
      <c r="R212" s="515"/>
      <c r="S212" s="515"/>
      <c r="T212" s="515"/>
      <c r="U212" s="515"/>
      <c r="V212" s="515"/>
      <c r="W212" s="107"/>
      <c r="X212" s="111"/>
      <c r="Y212" s="121"/>
    </row>
    <row r="213" spans="1:25" customFormat="1" ht="15" customHeight="1">
      <c r="A213" s="1"/>
      <c r="B213" s="1"/>
      <c r="C213" s="2"/>
      <c r="D213" s="88" t="s">
        <v>133</v>
      </c>
      <c r="E213" s="1"/>
      <c r="F213" s="107"/>
      <c r="G213" s="107"/>
      <c r="H213" s="107"/>
      <c r="I213" s="107"/>
      <c r="J213" s="107"/>
      <c r="K213" s="87"/>
      <c r="L213" s="264"/>
      <c r="M213" s="85"/>
      <c r="N213" s="107"/>
      <c r="O213" s="107"/>
      <c r="P213" s="107"/>
      <c r="Q213" s="107"/>
      <c r="R213" s="1"/>
      <c r="S213" s="1">
        <f xml:space="preserve"> IFERROR( IF( OR( S$10 = $S$10, S$10 = $U$10 ), IF( $S$110 = 0, 0, IF( $U$110 = 0, 1, SUM( S88:$V88 ) / ( SUM( $S88:$V88 ) + SUM( $U88:$V88 ) ) ) ), 0 ), 0 )</f>
        <v>0</v>
      </c>
      <c r="T213" s="1"/>
      <c r="U213" s="1"/>
      <c r="V213" s="1"/>
      <c r="W213" s="89" t="s">
        <v>16</v>
      </c>
      <c r="X213" s="1"/>
      <c r="Y213" s="1"/>
    </row>
    <row r="214" spans="1:25" customFormat="1" ht="15" customHeight="1">
      <c r="A214" s="1"/>
      <c r="B214" s="1"/>
      <c r="C214" s="2"/>
      <c r="D214" s="15" t="str">
        <f>'2.1 Model setup'!K70</f>
        <v>1.1 Drift og vedligeholdelse af transformerstationer</v>
      </c>
      <c r="E214" s="15"/>
      <c r="F214" s="150"/>
      <c r="G214" s="150"/>
      <c r="H214" s="150"/>
      <c r="I214" s="150"/>
      <c r="J214" s="150"/>
      <c r="K214" s="19" t="s">
        <v>4</v>
      </c>
      <c r="L214" s="263">
        <f xml:space="preserve"> -- ( IF( W214 = 0, 0, ROUND( SUM( O214:V214 ), 5 ) &lt;&gt; 100% ) )</f>
        <v>0</v>
      </c>
      <c r="M214" s="180"/>
      <c r="N214" s="180"/>
      <c r="O214" s="180">
        <f xml:space="preserve"> IFERROR( IF( O$10 = $S$10, IF($S197 = 0, 0, SUM( O197:$T197 ) / SUM( $S197:$T197 ) ), 0 ), 0 )</f>
        <v>0</v>
      </c>
      <c r="P214" s="180">
        <f xml:space="preserve"> IFERROR( IF( P$10 = $S$10, IF($S197 = 0, 0, SUM( P197:$T197 ) / SUM( $S197:$T197 ) ), 0 ), 0 )</f>
        <v>0</v>
      </c>
      <c r="Q214" s="536"/>
      <c r="R214" s="180">
        <f xml:space="preserve"> IFERROR( IF( R$10 = $S$10, IF($S197 = 0, 0, SUM( R197:$T197 ) / SUM( $S197:$T197 ) ), 0 ), 0 )</f>
        <v>0</v>
      </c>
      <c r="S214" s="180">
        <f xml:space="preserve"> IFERROR( IF( S$10 = $S$10, IF($S197 = 0, 0, SUM( S197:$T197 ) / SUM( $S197:$T197 ) ), 0 ), 0 )</f>
        <v>0</v>
      </c>
      <c r="T214" s="180">
        <f xml:space="preserve"> IFERROR( IF( T$10 = $S$10, IF($S197 = 0, 0, SUM( T197:$T197 ) / SUM( $S197:$T197 ) ), 0 ), 0 )</f>
        <v>0</v>
      </c>
      <c r="U214" s="279"/>
      <c r="V214" s="279"/>
      <c r="W214" s="354">
        <f xml:space="preserve"> SUM( O214:V214 )</f>
        <v>0</v>
      </c>
      <c r="X214" s="111"/>
      <c r="Y214" s="121"/>
    </row>
    <row r="215" spans="1:25" customFormat="1" ht="15" customHeight="1">
      <c r="A215" s="1"/>
      <c r="B215" s="1"/>
      <c r="C215" s="2"/>
      <c r="D215" s="1" t="str">
        <f>'2.1 Model setup'!K71</f>
        <v>1.2 Drift og vedligeholdelse af ledningsnet</v>
      </c>
      <c r="E215" s="1"/>
      <c r="F215" s="121"/>
      <c r="G215" s="121"/>
      <c r="H215" s="121"/>
      <c r="I215" s="121"/>
      <c r="J215" s="121"/>
      <c r="K215" s="5" t="s">
        <v>4</v>
      </c>
      <c r="L215" s="264">
        <f t="shared" ref="L215:L228" si="50" xml:space="preserve"> -- ( IF( W215 = 0, 0, ROUND( SUM( O215:V215 ), 5 ) &lt;&gt; 100% ) )</f>
        <v>0</v>
      </c>
      <c r="M215" s="181"/>
      <c r="N215" s="181"/>
      <c r="O215" s="181">
        <f xml:space="preserve"> IFERROR( IF( O$10 = $S$10, IF($S198 = 0, 0, SUM( O198:$T198 ) / SUM( $S198:$T198 ) ), 0 ), 0 )</f>
        <v>0</v>
      </c>
      <c r="P215" s="181">
        <f xml:space="preserve"> IFERROR( IF( P$10 = $S$10, IF($S198 = 0, 0, SUM( P198:$T198 ) / SUM( $S198:$T198 ) ), 0 ), 0 )</f>
        <v>0</v>
      </c>
      <c r="Q215" s="344"/>
      <c r="R215" s="181">
        <f xml:space="preserve"> IFERROR( IF( R$10 = $S$10, IF($S198 = 0, 0, SUM( R198:$T198 ) / SUM( $S198:$T198 ) ), 0 ), 0 )</f>
        <v>0</v>
      </c>
      <c r="S215" s="181">
        <f xml:space="preserve"> IFERROR( IF( S$10 = $S$10, IF($S198 = 0, 0, SUM( S198:$T198 ) / SUM( $S198:$T198 ) ), 0 ), 0 )</f>
        <v>0</v>
      </c>
      <c r="T215" s="181">
        <f xml:space="preserve"> IFERROR( IF( T$10 = $S$10, IF($S198 = 0, 0, SUM( T198:$T198 ) / SUM( $S198:$T198 ) ), 0 ), 0 )</f>
        <v>0</v>
      </c>
      <c r="U215" s="280"/>
      <c r="V215" s="280"/>
      <c r="W215" s="198">
        <f t="shared" ref="W215:W225" si="51" xml:space="preserve"> SUM( O215:V215 )</f>
        <v>0</v>
      </c>
      <c r="X215" s="111"/>
      <c r="Y215" s="121"/>
    </row>
    <row r="216" spans="1:25" customFormat="1" ht="15" customHeight="1">
      <c r="A216" s="1"/>
      <c r="B216" s="1"/>
      <c r="C216" s="2"/>
      <c r="D216" s="1" t="str">
        <f>'2.1 Model setup'!K72</f>
        <v>1.3 Øvrige omkostninger til drift, styring og kontrol af elnettet</v>
      </c>
      <c r="E216" s="1"/>
      <c r="F216" s="121"/>
      <c r="G216" s="121"/>
      <c r="H216" s="121"/>
      <c r="I216" s="121"/>
      <c r="J216" s="121"/>
      <c r="K216" s="5" t="s">
        <v>4</v>
      </c>
      <c r="L216" s="264">
        <f t="shared" si="50"/>
        <v>0</v>
      </c>
      <c r="M216" s="181"/>
      <c r="N216" s="181"/>
      <c r="O216" s="181">
        <f xml:space="preserve"> IFERROR( IF( O$10 = $S$10, IF($S199 = 0, 0, SUM( O199:$T199 ) / SUM( $S199:$T199 ) ), 0 ), 0 )</f>
        <v>0</v>
      </c>
      <c r="P216" s="181">
        <f xml:space="preserve"> IFERROR( IF( P$10 = $S$10, IF($S199 = 0, 0, SUM( P199:$T199 ) / SUM( $S199:$T199 ) ), 0 ), 0 )</f>
        <v>0</v>
      </c>
      <c r="Q216" s="344"/>
      <c r="R216" s="181">
        <f xml:space="preserve"> IFERROR( IF( R$10 = $S$10, IF($S199 = 0, 0, SUM( R199:$T199 ) / SUM( $S199:$T199 ) ), 0 ), 0 )</f>
        <v>0</v>
      </c>
      <c r="S216" s="181">
        <f xml:space="preserve"> IFERROR( IF( S$10 = $S$10, IF($S199 = 0, 0, SUM( S199:$T199 ) / SUM( $S199:$T199 ) ), 0 ), 0 )</f>
        <v>0</v>
      </c>
      <c r="T216" s="181">
        <f xml:space="preserve"> IFERROR( IF( T$10 = $S$10, IF($S199 = 0, 0, SUM( T199:$T199 ) / SUM( $S199:$T199 ) ), 0 ), 0 )</f>
        <v>0</v>
      </c>
      <c r="U216" s="280"/>
      <c r="V216" s="280"/>
      <c r="W216" s="198">
        <f t="shared" si="51"/>
        <v>0</v>
      </c>
      <c r="X216" s="111"/>
      <c r="Y216" s="121"/>
    </row>
    <row r="217" spans="1:25" customFormat="1" ht="15" customHeight="1">
      <c r="A217" s="1"/>
      <c r="B217" s="1"/>
      <c r="C217" s="2"/>
      <c r="D217" s="1" t="str">
        <f>'2.1 Model setup'!K73</f>
        <v>1.4 Omkostninger vedrørende 132-150/30-60 kV-stationer</v>
      </c>
      <c r="E217" s="1"/>
      <c r="F217" s="121"/>
      <c r="G217" s="121"/>
      <c r="H217" s="121"/>
      <c r="I217" s="121"/>
      <c r="J217" s="121"/>
      <c r="K217" s="5" t="s">
        <v>4</v>
      </c>
      <c r="L217" s="264">
        <f t="shared" si="50"/>
        <v>0</v>
      </c>
      <c r="M217" s="181"/>
      <c r="N217" s="181"/>
      <c r="O217" s="181">
        <f xml:space="preserve"> IFERROR( IF( O$10 = $S$10, IF($S200 = 0, 0, SUM( O200:$T200 ) / SUM( $S200:$T200 ) ), 0 ), 0 )</f>
        <v>0</v>
      </c>
      <c r="P217" s="181">
        <f xml:space="preserve"> IFERROR( IF( P$10 = $S$10, IF($S200 = 0, 0, SUM( P200:$T200 ) / SUM( $S200:$T200 ) ), 0 ), 0 )</f>
        <v>0</v>
      </c>
      <c r="Q217" s="344"/>
      <c r="R217" s="181">
        <f xml:space="preserve"> IFERROR( IF( R$10 = $S$10, IF($S200 = 0, 0, SUM( R200:$T200 ) / SUM( $S200:$T200 ) ), 0 ), 0 )</f>
        <v>0</v>
      </c>
      <c r="S217" s="181">
        <f xml:space="preserve"> IFERROR( IF( S$10 = $S$10, IF($S200 = 0, 0, SUM( S200:$T200 ) / SUM( $S200:$T200 ) ), 0 ), 0 )</f>
        <v>0</v>
      </c>
      <c r="T217" s="181">
        <f xml:space="preserve"> IFERROR( IF( T$10 = $S$10, IF($S200 = 0, 0, SUM( T200:$T200 ) / SUM( $S200:$T200 ) ), 0 ), 0 )</f>
        <v>0</v>
      </c>
      <c r="U217" s="280"/>
      <c r="V217" s="280"/>
      <c r="W217" s="198">
        <f t="shared" si="51"/>
        <v>0</v>
      </c>
      <c r="X217" s="111"/>
      <c r="Y217" s="121"/>
    </row>
    <row r="218" spans="1:25" customFormat="1" ht="15" customHeight="1">
      <c r="A218" s="1"/>
      <c r="B218" s="1"/>
      <c r="C218" s="2"/>
      <c r="D218" s="1" t="str">
        <f>'2.1 Model setup'!K74</f>
        <v>2.1 Drift og vedligeholdelse af målere</v>
      </c>
      <c r="E218" s="1"/>
      <c r="F218" s="121"/>
      <c r="G218" s="121"/>
      <c r="H218" s="121"/>
      <c r="I218" s="121"/>
      <c r="J218" s="121"/>
      <c r="K218" s="5" t="s">
        <v>4</v>
      </c>
      <c r="L218" s="264">
        <f t="shared" si="50"/>
        <v>0</v>
      </c>
      <c r="M218" s="181"/>
      <c r="N218" s="181"/>
      <c r="O218" s="181">
        <f xml:space="preserve"> IFERROR( IF( O$10 = $S$10, IF($S201 = 0, 0, SUM( O201:$T201 ) / SUM( $S201:$T201 ) ), 0 ), 0 )</f>
        <v>0</v>
      </c>
      <c r="P218" s="181">
        <f xml:space="preserve"> IFERROR( IF( P$10 = $S$10, IF($S201 = 0, 0, SUM( P201:$T201 ) / SUM( $S201:$T201 ) ), 0 ), 0 )</f>
        <v>0</v>
      </c>
      <c r="Q218" s="344"/>
      <c r="R218" s="181">
        <f xml:space="preserve"> IFERROR( IF( R$10 = $S$10, IF($S201 = 0, 0, SUM( R201:$T201 ) / SUM( $S201:$T201 ) ), 0 ), 0 )</f>
        <v>0</v>
      </c>
      <c r="S218" s="181">
        <f xml:space="preserve"> IFERROR( IF( S$10 = $S$10, IF($S201 = 0, 0, SUM( S201:$T201 ) / SUM( $S201:$T201 ) ), 0 ), 0 )</f>
        <v>0</v>
      </c>
      <c r="T218" s="181">
        <f xml:space="preserve"> IFERROR( IF( T$10 = $S$10, IF($S201 = 0, 0, SUM( T201:$T201 ) / SUM( $S201:$T201 ) ), 0 ), 0 )</f>
        <v>0</v>
      </c>
      <c r="U218" s="280"/>
      <c r="V218" s="280"/>
      <c r="W218" s="198">
        <f t="shared" si="51"/>
        <v>0</v>
      </c>
      <c r="X218" s="111"/>
      <c r="Y218" s="121"/>
    </row>
    <row r="219" spans="1:25" customFormat="1" ht="15" customHeight="1">
      <c r="A219" s="1"/>
      <c r="B219" s="1"/>
      <c r="C219" s="2"/>
      <c r="D219" s="1" t="str">
        <f>'2.1 Model setup'!K75</f>
        <v>2.2 Indhentning og validering af målerdata</v>
      </c>
      <c r="E219" s="1"/>
      <c r="F219" s="121"/>
      <c r="G219" s="121"/>
      <c r="H219" s="121"/>
      <c r="I219" s="121"/>
      <c r="J219" s="121"/>
      <c r="K219" s="5" t="s">
        <v>4</v>
      </c>
      <c r="L219" s="264">
        <f t="shared" si="50"/>
        <v>0</v>
      </c>
      <c r="M219" s="181"/>
      <c r="N219" s="181"/>
      <c r="O219" s="181">
        <f xml:space="preserve"> IFERROR( IF( O$10 = $S$10, IF($S202 = 0, 0, SUM( O202:$T202 ) / SUM( $S202:$T202 ) ), 0 ), 0 )</f>
        <v>0</v>
      </c>
      <c r="P219" s="181">
        <f xml:space="preserve"> IFERROR( IF( P$10 = $S$10, IF($S202 = 0, 0, SUM( P202:$T202 ) / SUM( $S202:$T202 ) ), 0 ), 0 )</f>
        <v>0</v>
      </c>
      <c r="Q219" s="344"/>
      <c r="R219" s="181">
        <f xml:space="preserve"> IFERROR( IF( R$10 = $S$10, IF($S202 = 0, 0, SUM( R202:$T202 ) / SUM( $S202:$T202 ) ), 0 ), 0 )</f>
        <v>0</v>
      </c>
      <c r="S219" s="181">
        <f xml:space="preserve"> IFERROR( IF( S$10 = $S$10, IF($S202 = 0, 0, SUM( S202:$T202 ) / SUM( $S202:$T202 ) ), 0 ), 0 )</f>
        <v>0</v>
      </c>
      <c r="T219" s="181">
        <f xml:space="preserve"> IFERROR( IF( T$10 = $S$10, IF($S202 = 0, 0, SUM( T202:$T202 ) / SUM( $S202:$T202 ) ), 0 ), 0 )</f>
        <v>0</v>
      </c>
      <c r="U219" s="280"/>
      <c r="V219" s="280"/>
      <c r="W219" s="198">
        <f t="shared" si="51"/>
        <v>0</v>
      </c>
      <c r="X219" s="111"/>
      <c r="Y219" s="121"/>
    </row>
    <row r="220" spans="1:25" customFormat="1" ht="15" customHeight="1">
      <c r="A220" s="1"/>
      <c r="B220" s="1"/>
      <c r="C220" s="2"/>
      <c r="D220" s="1" t="str">
        <f>'2.1 Model setup'!K76</f>
        <v>2.3 Måleradministration og kundehåndtering</v>
      </c>
      <c r="E220" s="1"/>
      <c r="F220" s="121"/>
      <c r="G220" s="121"/>
      <c r="H220" s="121"/>
      <c r="I220" s="121"/>
      <c r="J220" s="121"/>
      <c r="K220" s="5" t="s">
        <v>4</v>
      </c>
      <c r="L220" s="264">
        <f t="shared" si="50"/>
        <v>0</v>
      </c>
      <c r="M220" s="181"/>
      <c r="N220" s="181"/>
      <c r="O220" s="181">
        <f xml:space="preserve"> IFERROR( IF( O$10 = $S$10, IF($S203 = 0, 0, SUM( O203:$T203 ) / SUM( $S203:$T203 ) ), 0 ), 0 )</f>
        <v>0</v>
      </c>
      <c r="P220" s="181">
        <f xml:space="preserve"> IFERROR( IF( P$10 = $S$10, IF($S203 = 0, 0, SUM( P203:$T203 ) / SUM( $S203:$T203 ) ), 0 ), 0 )</f>
        <v>0</v>
      </c>
      <c r="Q220" s="344"/>
      <c r="R220" s="181">
        <f xml:space="preserve"> IFERROR( IF( R$10 = $S$10, IF($S203 = 0, 0, SUM( R203:$T203 ) / SUM( $S203:$T203 ) ), 0 ), 0 )</f>
        <v>0</v>
      </c>
      <c r="S220" s="181">
        <f xml:space="preserve"> IFERROR( IF( S$10 = $S$10, IF($S203 = 0, 0, SUM( S203:$T203 ) / SUM( $S203:$T203 ) ), 0 ), 0 )</f>
        <v>0</v>
      </c>
      <c r="T220" s="181">
        <f xml:space="preserve"> IFERROR( IF( T$10 = $S$10, IF($S203 = 0, 0, SUM( T203:$T203 ) / SUM( $S203:$T203 ) ), 0 ), 0 )</f>
        <v>0</v>
      </c>
      <c r="U220" s="280"/>
      <c r="V220" s="280"/>
      <c r="W220" s="198">
        <f t="shared" si="51"/>
        <v>0</v>
      </c>
      <c r="X220" s="111"/>
      <c r="Y220" s="121"/>
    </row>
    <row r="221" spans="1:25" customFormat="1" ht="15" customHeight="1">
      <c r="A221" s="1"/>
      <c r="B221" s="1"/>
      <c r="C221" s="2"/>
      <c r="D221" s="1" t="str">
        <f>'2.1 Model setup'!K77</f>
        <v>3.1 Generel administration</v>
      </c>
      <c r="E221" s="1"/>
      <c r="F221" s="121"/>
      <c r="G221" s="121"/>
      <c r="H221" s="121"/>
      <c r="I221" s="121"/>
      <c r="J221" s="121"/>
      <c r="K221" s="5" t="s">
        <v>4</v>
      </c>
      <c r="L221" s="264">
        <f t="shared" si="50"/>
        <v>0</v>
      </c>
      <c r="M221" s="181"/>
      <c r="N221" s="181"/>
      <c r="O221" s="181">
        <f xml:space="preserve"> IFERROR( IF( O$10 = $S$10, IF($S204 = 0, 0, SUM( O204:$T204 ) / SUM( $S204:$T204 ) ), 0 ), 0 )</f>
        <v>0</v>
      </c>
      <c r="P221" s="181">
        <f xml:space="preserve"> IFERROR( IF( P$10 = $S$10, IF($S204 = 0, 0, SUM( P204:$T204 ) / SUM( $S204:$T204 ) ), 0 ), 0 )</f>
        <v>0</v>
      </c>
      <c r="Q221" s="344"/>
      <c r="R221" s="181">
        <f xml:space="preserve"> IFERROR( IF( R$10 = $S$10, IF($S204 = 0, 0, SUM( R204:$T204 ) / SUM( $S204:$T204 ) ), 0 ), 0 )</f>
        <v>0</v>
      </c>
      <c r="S221" s="181">
        <f xml:space="preserve"> IFERROR( IF( S$10 = $S$10, IF($S204 = 0, 0, SUM( S204:$T204 ) / SUM( $S204:$T204 ) ), 0 ), 0 )</f>
        <v>0</v>
      </c>
      <c r="T221" s="181">
        <f xml:space="preserve"> IFERROR( IF( T$10 = $S$10, IF($S204 = 0, 0, SUM( T204:$T204 ) / SUM( $S204:$T204 ) ), 0 ), 0 )</f>
        <v>0</v>
      </c>
      <c r="U221" s="280"/>
      <c r="V221" s="280"/>
      <c r="W221" s="198">
        <f t="shared" si="51"/>
        <v>0</v>
      </c>
      <c r="X221" s="111"/>
      <c r="Y221" s="121"/>
    </row>
    <row r="222" spans="1:25" customFormat="1" ht="15" customHeight="1">
      <c r="A222" s="1"/>
      <c r="B222" s="1"/>
      <c r="C222" s="2"/>
      <c r="D222" s="1" t="str">
        <f>'2.1 Model setup'!K78</f>
        <v>4.1 Omkostninger vedrørende nettab i transformerstationer</v>
      </c>
      <c r="E222" s="1"/>
      <c r="F222" s="121"/>
      <c r="G222" s="121"/>
      <c r="H222" s="121"/>
      <c r="I222" s="121"/>
      <c r="J222" s="121"/>
      <c r="K222" s="5" t="s">
        <v>4</v>
      </c>
      <c r="L222" s="264">
        <f t="shared" si="50"/>
        <v>0</v>
      </c>
      <c r="M222" s="181"/>
      <c r="N222" s="181"/>
      <c r="O222" s="181">
        <f xml:space="preserve"> IFERROR( IF( O$10 = $S$10, IF($S205 = 0, 0, SUM( O205:$T205 ) / SUM( $S205:$T205 ) ), 0 ), 0 )</f>
        <v>0</v>
      </c>
      <c r="P222" s="181">
        <f xml:space="preserve"> IFERROR( IF( P$10 = $S$10, IF($S205 = 0, 0, SUM( P205:$T205 ) / SUM( $S205:$T205 ) ), 0 ), 0 )</f>
        <v>0</v>
      </c>
      <c r="Q222" s="344"/>
      <c r="R222" s="181">
        <f xml:space="preserve"> IFERROR( IF( R$10 = $S$10, IF($S205 = 0, 0, SUM( R205:$T205 ) / SUM( $S205:$T205 ) ), 0 ), 0 )</f>
        <v>0</v>
      </c>
      <c r="S222" s="181">
        <f xml:space="preserve"> IFERROR( IF( S$10 = $S$10, IF($S205 = 0, 0, SUM( S205:$T205 ) / SUM( $S205:$T205 ) ), 0 ), 0 )</f>
        <v>0</v>
      </c>
      <c r="T222" s="181">
        <f xml:space="preserve"> IFERROR( IF( T$10 = $S$10, IF($S205 = 0, 0, SUM( T205:$T205 ) / SUM( $S205:$T205 ) ), 0 ), 0 )</f>
        <v>0</v>
      </c>
      <c r="U222" s="280"/>
      <c r="V222" s="280"/>
      <c r="W222" s="198">
        <f t="shared" si="51"/>
        <v>0</v>
      </c>
      <c r="X222" s="111"/>
      <c r="Y222" s="121"/>
    </row>
    <row r="223" spans="1:25" customFormat="1" ht="15" customHeight="1">
      <c r="A223" s="1"/>
      <c r="B223" s="1"/>
      <c r="C223" s="2"/>
      <c r="D223" s="1" t="str">
        <f>'2.1 Model setup'!K79</f>
        <v>4.2 Omkostninger vedrørende nettab i ledningsnettet</v>
      </c>
      <c r="E223" s="1"/>
      <c r="F223" s="121"/>
      <c r="G223" s="121"/>
      <c r="H223" s="121"/>
      <c r="I223" s="121"/>
      <c r="J223" s="121"/>
      <c r="K223" s="5" t="s">
        <v>4</v>
      </c>
      <c r="L223" s="264">
        <f t="shared" si="50"/>
        <v>0</v>
      </c>
      <c r="M223" s="181"/>
      <c r="N223" s="181"/>
      <c r="O223" s="181">
        <f xml:space="preserve"> IFERROR( IF( O$10 = $S$10, IF($S206 = 0, 0, SUM( O206:$T206 ) / SUM( $S206:$T206 ) ), 0 ), 0 )</f>
        <v>0</v>
      </c>
      <c r="P223" s="181">
        <f xml:space="preserve"> IFERROR( IF( P$10 = $S$10, IF($S206 = 0, 0, SUM( P206:$T206 ) / SUM( $S206:$T206 ) ), 0 ), 0 )</f>
        <v>0</v>
      </c>
      <c r="Q223" s="344"/>
      <c r="R223" s="181">
        <f xml:space="preserve"> IFERROR( IF( R$10 = $S$10, IF($S206 = 0, 0, SUM( R206:$T206 ) / SUM( $S206:$T206 ) ), 0 ), 0 )</f>
        <v>0</v>
      </c>
      <c r="S223" s="181">
        <f xml:space="preserve"> IFERROR( IF( S$10 = $S$10, IF($S206 = 0, 0, SUM( S206:$T206 ) / SUM( $S206:$T206 ) ), 0 ), 0 )</f>
        <v>0</v>
      </c>
      <c r="T223" s="181">
        <f xml:space="preserve"> IFERROR( IF( T$10 = $S$10, IF($S206 = 0, 0, SUM( T206:$T206 ) / SUM( $S206:$T206 ) ), 0 ), 0 )</f>
        <v>0</v>
      </c>
      <c r="U223" s="280"/>
      <c r="V223" s="280"/>
      <c r="W223" s="198">
        <f t="shared" si="51"/>
        <v>0</v>
      </c>
      <c r="X223" s="111"/>
      <c r="Y223" s="121"/>
    </row>
    <row r="224" spans="1:25" customFormat="1" ht="15" customHeight="1">
      <c r="A224" s="1"/>
      <c r="B224" s="1"/>
      <c r="C224" s="2"/>
      <c r="D224" s="1" t="str">
        <f>'2.1 Model setup'!K88</f>
        <v>5.1 Omkostninger til overliggende net ifm. indfødning</v>
      </c>
      <c r="E224" s="1"/>
      <c r="F224" s="121"/>
      <c r="G224" s="121"/>
      <c r="H224" s="121"/>
      <c r="I224" s="121"/>
      <c r="J224" s="121"/>
      <c r="K224" s="5" t="s">
        <v>4</v>
      </c>
      <c r="L224" s="264">
        <f t="shared" si="50"/>
        <v>0</v>
      </c>
      <c r="M224" s="181"/>
      <c r="N224" s="181"/>
      <c r="O224" s="181">
        <f xml:space="preserve"> IFERROR( IF( O$10 = $S$10, IF($S207 = 0, 0, SUM( O207:$T207 ) / SUM( $S207:$T207 ) ), 0 ), 0 )</f>
        <v>0</v>
      </c>
      <c r="P224" s="181">
        <f xml:space="preserve"> IFERROR( IF( P$10 = $S$10, IF($S207 = 0, 0, SUM( P207:$T207 ) / SUM( $S207:$T207 ) ), 0 ), 0 )</f>
        <v>0</v>
      </c>
      <c r="Q224" s="344"/>
      <c r="R224" s="181">
        <f xml:space="preserve"> IFERROR( IF( R$10 = $S$10, IF($S207 = 0, 0, SUM( R207:$T207 ) / SUM( $S207:$T207 ) ), 0 ), 0 )</f>
        <v>0</v>
      </c>
      <c r="S224" s="181">
        <f xml:space="preserve"> IFERROR( IF( S$10 = $S$10, IF($S207 = 0, 0, SUM( S207:$T207 ) / SUM( $S207:$T207 ) ), 0 ), 0 )</f>
        <v>0</v>
      </c>
      <c r="T224" s="181">
        <f xml:space="preserve"> IFERROR( IF( T$10 = $S$10, IF($S207 = 0, 0, SUM( T207:$T207 ) / SUM( $S207:$T207 ) ), 0 ), 0 )</f>
        <v>0</v>
      </c>
      <c r="U224" s="280"/>
      <c r="V224" s="280"/>
      <c r="W224" s="198">
        <f t="shared" si="51"/>
        <v>0</v>
      </c>
      <c r="X224" s="111"/>
      <c r="Y224" s="121"/>
    </row>
    <row r="225" spans="1:25" customFormat="1" ht="15" customHeight="1">
      <c r="A225" s="1"/>
      <c r="B225" s="1"/>
      <c r="C225" s="2"/>
      <c r="D225" s="1" t="str">
        <f>'2.1 Model setup'!K81</f>
        <v>5.2 Øvrige omkostninger</v>
      </c>
      <c r="E225" s="1"/>
      <c r="F225" s="121"/>
      <c r="G225" s="121"/>
      <c r="H225" s="121"/>
      <c r="I225" s="121"/>
      <c r="J225" s="121"/>
      <c r="K225" s="5" t="s">
        <v>4</v>
      </c>
      <c r="L225" s="264">
        <f t="shared" si="50"/>
        <v>0</v>
      </c>
      <c r="M225" s="181"/>
      <c r="N225" s="181"/>
      <c r="O225" s="181">
        <f xml:space="preserve"> IFERROR( IF( O$10 = $S$10, IF($S208 = 0, 0, SUM( O208:$T208 ) / SUM( $S208:$T208 ) ), 0 ), 0 )</f>
        <v>0</v>
      </c>
      <c r="P225" s="181">
        <f xml:space="preserve"> IFERROR( IF( P$10 = $S$10, IF($S208 = 0, 0, SUM( P208:$T208 ) / SUM( $S208:$T208 ) ), 0 ), 0 )</f>
        <v>0</v>
      </c>
      <c r="Q225" s="344"/>
      <c r="R225" s="181">
        <f xml:space="preserve"> IFERROR( IF( R$10 = $S$10, IF($S208 = 0, 0, SUM( R208:$T208 ) / SUM( $S208:$T208 ) ), 0 ), 0 )</f>
        <v>0</v>
      </c>
      <c r="S225" s="181">
        <f xml:space="preserve"> IFERROR( IF( S$10 = $S$10, IF($S208 = 0, 0, SUM( S208:$T208 ) / SUM( $S208:$T208 ) ), 0 ), 0 )</f>
        <v>0</v>
      </c>
      <c r="T225" s="181">
        <f xml:space="preserve"> IFERROR( IF( T$10 = $S$10, IF($S208 = 0, 0, SUM( T208:$T208 ) / SUM( $S208:$T208 ) ), 0 ), 0 )</f>
        <v>0</v>
      </c>
      <c r="U225" s="280"/>
      <c r="V225" s="280"/>
      <c r="W225" s="198">
        <f t="shared" si="51"/>
        <v>0</v>
      </c>
      <c r="X225" s="111"/>
      <c r="Y225" s="121"/>
    </row>
    <row r="226" spans="1:25" customFormat="1" ht="15" customHeight="1">
      <c r="A226" s="1"/>
      <c r="B226" s="1"/>
      <c r="C226" s="2"/>
      <c r="D226" s="1" t="str">
        <f>'2.1 Model setup'!K82</f>
        <v>6.1 Afskrivninger på transformerstationer</v>
      </c>
      <c r="E226" s="1"/>
      <c r="F226" s="121"/>
      <c r="G226" s="121"/>
      <c r="H226" s="121"/>
      <c r="I226" s="121"/>
      <c r="J226" s="121"/>
      <c r="K226" s="5" t="s">
        <v>4</v>
      </c>
      <c r="L226" s="264">
        <f t="shared" si="50"/>
        <v>0</v>
      </c>
      <c r="M226" s="181"/>
      <c r="N226" s="181"/>
      <c r="O226" s="181">
        <f xml:space="preserve"> IFERROR( IF( O$10 = $S$10, IF($S209 = 0, 0, SUM( O209:$T209 ) / SUM( $S209:$T209 ) ), 0 ), 0 )</f>
        <v>0</v>
      </c>
      <c r="P226" s="181">
        <f xml:space="preserve"> IFERROR( IF( P$10 = $S$10, IF($S209 = 0, 0, SUM( P209:$T209 ) / SUM( $S209:$T209 ) ), 0 ), 0 )</f>
        <v>0</v>
      </c>
      <c r="Q226" s="344"/>
      <c r="R226" s="181">
        <f xml:space="preserve"> IFERROR( IF( R$10 = $S$10, IF($S209 = 0, 0, SUM( R209:$T209 ) / SUM( $S209:$T209 ) ), 0 ), 0 )</f>
        <v>0</v>
      </c>
      <c r="S226" s="181">
        <f xml:space="preserve"> IFERROR( IF( S$10 = $S$10, IF($S209 = 0, 0, SUM( S209:$T209 ) / SUM( $S209:$T209 ) ), 0 ), 0 )</f>
        <v>0</v>
      </c>
      <c r="T226" s="181">
        <f xml:space="preserve"> IFERROR( IF( T$10 = $S$10, IF($S209 = 0, 0, SUM( T209:$T209 ) / SUM( $S209:$T209 ) ), 0 ), 0 )</f>
        <v>0</v>
      </c>
      <c r="U226" s="280"/>
      <c r="V226" s="280"/>
      <c r="W226" s="198">
        <f xml:space="preserve"> SUM( O226:V226 )</f>
        <v>0</v>
      </c>
      <c r="X226" s="111"/>
      <c r="Y226" s="121"/>
    </row>
    <row r="227" spans="1:25" customFormat="1" ht="15" customHeight="1">
      <c r="A227" s="1"/>
      <c r="B227" s="1"/>
      <c r="C227" s="2"/>
      <c r="D227" s="1" t="str">
        <f>'2.1 Model setup'!K83</f>
        <v>6.2 Afskrivninger på netaktiver ekskl. målere og transformerstationer</v>
      </c>
      <c r="E227" s="1"/>
      <c r="F227" s="121"/>
      <c r="G227" s="121"/>
      <c r="H227" s="121"/>
      <c r="I227" s="121"/>
      <c r="J227" s="121"/>
      <c r="K227" s="5" t="s">
        <v>4</v>
      </c>
      <c r="L227" s="264">
        <f t="shared" si="50"/>
        <v>0</v>
      </c>
      <c r="M227" s="181"/>
      <c r="N227" s="181"/>
      <c r="O227" s="181">
        <f xml:space="preserve"> IFERROR( IF( O$10 = $S$10, IF($S210 = 0, 0, SUM( O210:$T210 ) / SUM( $S210:$T210 ) ), 0 ), 0 )</f>
        <v>0</v>
      </c>
      <c r="P227" s="181">
        <f xml:space="preserve"> IFERROR( IF( P$10 = $S$10, IF($S210 = 0, 0, SUM( P210:$T210 ) / SUM( $S210:$T210 ) ), 0 ), 0 )</f>
        <v>0</v>
      </c>
      <c r="Q227" s="344"/>
      <c r="R227" s="181">
        <f xml:space="preserve"> IFERROR( IF( R$10 = $S$10, IF($S210 = 0, 0, SUM( R210:$T210 ) / SUM( $S210:$T210 ) ), 0 ), 0 )</f>
        <v>0</v>
      </c>
      <c r="S227" s="181">
        <f xml:space="preserve"> IFERROR( IF( S$10 = $S$10, IF($S210 = 0, 0, SUM( S210:$T210 ) / SUM( $S210:$T210 ) ), 0 ), 0 )</f>
        <v>0</v>
      </c>
      <c r="T227" s="181">
        <f xml:space="preserve"> IFERROR( IF( T$10 = $S$10, IF($S210 = 0, 0, SUM( T210:$T210 ) / SUM( $S210:$T210 ) ), 0 ), 0 )</f>
        <v>0</v>
      </c>
      <c r="U227" s="280"/>
      <c r="V227" s="280"/>
      <c r="W227" s="198">
        <f xml:space="preserve"> SUM( O227:V227 )</f>
        <v>0</v>
      </c>
      <c r="X227" s="111"/>
      <c r="Y227" s="121"/>
    </row>
    <row r="228" spans="1:25" customFormat="1" ht="15" customHeight="1">
      <c r="A228" s="1"/>
      <c r="B228" s="1"/>
      <c r="C228" s="2"/>
      <c r="D228" s="27" t="str">
        <f>'2.1 Model setup'!K84</f>
        <v>6.3 Afskrivninger på målere</v>
      </c>
      <c r="E228" s="27"/>
      <c r="F228" s="131"/>
      <c r="G228" s="131"/>
      <c r="H228" s="131"/>
      <c r="I228" s="131"/>
      <c r="J228" s="131"/>
      <c r="K228" s="32" t="s">
        <v>4</v>
      </c>
      <c r="L228" s="265">
        <f t="shared" si="50"/>
        <v>0</v>
      </c>
      <c r="M228" s="182"/>
      <c r="N228" s="182"/>
      <c r="O228" s="182">
        <f xml:space="preserve"> IFERROR( IF( O$10 = $S$10, IF($S211 = 0, 0, SUM( O211:$T211 ) / SUM( $S211:$T211 ) ), 0 ), 0 )</f>
        <v>0</v>
      </c>
      <c r="P228" s="182">
        <f xml:space="preserve"> IFERROR( IF( P$10 = $S$10, IF($S211 = 0, 0, SUM( P211:$T211 ) / SUM( $S211:$T211 ) ), 0 ), 0 )</f>
        <v>0</v>
      </c>
      <c r="Q228" s="395"/>
      <c r="R228" s="182">
        <f xml:space="preserve"> IFERROR( IF( R$10 = $S$10, IF($S211 = 0, 0, SUM( R211:$T211 ) / SUM( $S211:$T211 ) ), 0 ), 0 )</f>
        <v>0</v>
      </c>
      <c r="S228" s="182">
        <f xml:space="preserve"> IFERROR( IF( S$10 = $S$10, IF($S211 = 0, 0, SUM( S211:$T211 ) / SUM( $S211:$T211 ) ), 0 ), 0 )</f>
        <v>0</v>
      </c>
      <c r="T228" s="182">
        <f xml:space="preserve"> IFERROR( IF( T$10 = $S$10, IF($S211 = 0, 0, SUM( T211:$T211 ) / SUM( $S211:$T211 ) ), 0 ), 0 )</f>
        <v>0</v>
      </c>
      <c r="U228" s="541"/>
      <c r="V228" s="541"/>
      <c r="W228" s="199">
        <f xml:space="preserve"> SUM( O228:V228 )</f>
        <v>0</v>
      </c>
      <c r="X228" s="111"/>
      <c r="Y228" s="121"/>
    </row>
    <row r="229" spans="1:25" customFormat="1" ht="15" customHeight="1">
      <c r="A229" s="1"/>
      <c r="B229" s="1"/>
      <c r="C229" s="2"/>
      <c r="D229" s="85"/>
      <c r="E229" s="1"/>
      <c r="F229" s="107"/>
      <c r="G229" s="107"/>
      <c r="H229" s="107"/>
      <c r="I229" s="107"/>
      <c r="J229" s="107"/>
      <c r="K229" s="87"/>
      <c r="L229" s="264"/>
      <c r="M229" s="85"/>
      <c r="N229" s="87"/>
      <c r="O229" s="107"/>
      <c r="P229" s="107"/>
      <c r="Q229" s="107"/>
      <c r="R229" s="107"/>
      <c r="S229" s="107"/>
      <c r="T229" s="107"/>
      <c r="U229" s="107"/>
      <c r="V229" s="107"/>
      <c r="W229" s="107"/>
      <c r="X229" s="1"/>
      <c r="Y229" s="1"/>
    </row>
    <row r="230" spans="1:25" customFormat="1" ht="15" customHeight="1">
      <c r="A230" s="1"/>
      <c r="B230" s="1"/>
      <c r="C230" s="2"/>
      <c r="D230" s="88" t="s">
        <v>568</v>
      </c>
      <c r="E230" s="1"/>
      <c r="F230" s="107"/>
      <c r="G230" s="107"/>
      <c r="H230" s="107"/>
      <c r="I230" s="107"/>
      <c r="J230" s="107"/>
      <c r="K230" s="87"/>
      <c r="L230" s="264"/>
      <c r="M230" s="85"/>
      <c r="N230" s="107"/>
      <c r="O230" s="107"/>
      <c r="P230" s="107"/>
      <c r="Q230" s="107"/>
      <c r="R230" s="1"/>
      <c r="S230" s="1"/>
      <c r="T230" s="1"/>
      <c r="U230" s="1"/>
      <c r="V230" s="1"/>
      <c r="W230" s="89" t="s">
        <v>16</v>
      </c>
      <c r="X230" s="1"/>
      <c r="Y230" s="1"/>
    </row>
    <row r="231" spans="1:25" customFormat="1" ht="15" customHeight="1">
      <c r="A231" s="1"/>
      <c r="B231" s="1"/>
      <c r="C231" s="2"/>
      <c r="D231" s="15" t="str">
        <f>'2.1 Model setup'!K70</f>
        <v>1.1 Drift og vedligeholdelse af transformerstationer</v>
      </c>
      <c r="E231" s="15"/>
      <c r="F231" s="150"/>
      <c r="G231" s="150"/>
      <c r="H231" s="150"/>
      <c r="I231" s="150"/>
      <c r="J231" s="150"/>
      <c r="K231" s="19" t="str">
        <f t="shared" ref="K231:K245" si="52">Model.Units</f>
        <v>DKKt</v>
      </c>
      <c r="L231" s="537">
        <f xml:space="preserve"> -- ( OR( O231 &lt;&gt; 0, P231 &lt;&gt; 0, R231 &lt;&gt; 0, T231 &lt;&gt; 0) )</f>
        <v>0</v>
      </c>
      <c r="M231" s="15"/>
      <c r="N231" s="15"/>
      <c r="O231" s="15">
        <f xml:space="preserve"> IF( ( $N163 = '2.1 Model setup'!$K$51 ) * ( $N180 = 1 ), O214 * $W123, O123 )</f>
        <v>0</v>
      </c>
      <c r="P231" s="15">
        <f xml:space="preserve"> IF( ( $N163 = '2.1 Model setup'!$K$51 ) * ( $N180 = 1 ), P214 * $W123, P123 )</f>
        <v>0</v>
      </c>
      <c r="Q231" s="536"/>
      <c r="R231" s="15">
        <f xml:space="preserve"> IF( ( $N163 = '2.1 Model setup'!$K$51 ) * ( $N180 = 1 ), R214 * $W123, R123 )</f>
        <v>0</v>
      </c>
      <c r="S231" s="15">
        <f xml:space="preserve"> IF( ( $N163 = '2.1 Model setup'!$K$51 ) * ( $N180 = 1 ), S214 * $W123, S123 )</f>
        <v>0</v>
      </c>
      <c r="T231" s="15">
        <f xml:space="preserve"> IF( ( $N163 = '2.1 Model setup'!$K$51 ) * ( $N180 = 1 ), T214 * $W123, T123 )</f>
        <v>0</v>
      </c>
      <c r="U231" s="536"/>
      <c r="V231" s="536"/>
      <c r="W231" s="18">
        <f xml:space="preserve"> SUM( O231:V231 )</f>
        <v>0</v>
      </c>
      <c r="X231" s="1"/>
      <c r="Y231" s="1"/>
    </row>
    <row r="232" spans="1:25" customFormat="1" ht="15" customHeight="1">
      <c r="A232" s="1"/>
      <c r="B232" s="1"/>
      <c r="C232" s="2"/>
      <c r="D232" s="1" t="str">
        <f>'2.1 Model setup'!K71</f>
        <v>1.2 Drift og vedligeholdelse af ledningsnet</v>
      </c>
      <c r="E232" s="1"/>
      <c r="F232" s="121"/>
      <c r="G232" s="121"/>
      <c r="H232" s="121"/>
      <c r="I232" s="121"/>
      <c r="J232" s="121"/>
      <c r="K232" s="5" t="str">
        <f t="shared" si="52"/>
        <v>DKKt</v>
      </c>
      <c r="L232" s="231"/>
      <c r="M232" s="1"/>
      <c r="N232" s="1"/>
      <c r="O232" s="1">
        <f xml:space="preserve"> IF( ( $N164 = '2.1 Model setup'!$K$51 ) * ( $N181 = 1 ), O215 * $W124, O124 )</f>
        <v>0</v>
      </c>
      <c r="P232" s="1">
        <f xml:space="preserve"> IF( ( $N164 = '2.1 Model setup'!$K$51 ) * ( $N181 = 1 ), P215 * $W124, P124 )</f>
        <v>0</v>
      </c>
      <c r="Q232" s="344"/>
      <c r="R232" s="1">
        <f xml:space="preserve"> IF( ( $N164 = '2.1 Model setup'!$K$51 ) * ( $N181 = 1 ), R215 * $W124, R124 )</f>
        <v>0</v>
      </c>
      <c r="S232" s="1">
        <f xml:space="preserve"> IF( ( $N164 = '2.1 Model setup'!$K$51 ) * ( $N181 = 1 ), S215 * $W124, S124 )</f>
        <v>0</v>
      </c>
      <c r="T232" s="1">
        <f xml:space="preserve"> IF( ( $N164 = '2.1 Model setup'!$K$51 ) * ( $N181 = 1 ), T215 * $W124, T124 )</f>
        <v>0</v>
      </c>
      <c r="U232" s="344"/>
      <c r="V232" s="344"/>
      <c r="W232" s="4">
        <f t="shared" ref="W232:W243" si="53" xml:space="preserve"> SUM( O232:V232 )</f>
        <v>0</v>
      </c>
      <c r="X232" s="1"/>
      <c r="Y232" s="1"/>
    </row>
    <row r="233" spans="1:25" customFormat="1" ht="15" customHeight="1">
      <c r="A233" s="1"/>
      <c r="B233" s="1"/>
      <c r="C233" s="2"/>
      <c r="D233" s="1" t="str">
        <f>'2.1 Model setup'!K72</f>
        <v>1.3 Øvrige omkostninger til drift, styring og kontrol af elnettet</v>
      </c>
      <c r="E233" s="1"/>
      <c r="F233" s="121"/>
      <c r="G233" s="121"/>
      <c r="H233" s="121"/>
      <c r="I233" s="121"/>
      <c r="J233" s="121"/>
      <c r="K233" s="5" t="str">
        <f t="shared" si="52"/>
        <v>DKKt</v>
      </c>
      <c r="L233" s="231"/>
      <c r="M233" s="1"/>
      <c r="N233" s="1"/>
      <c r="O233" s="1">
        <f xml:space="preserve"> IF( ( $N165 = '2.1 Model setup'!$K$51 ) * ( $N182 = 1 ), O216 * $W125, O125 )</f>
        <v>0</v>
      </c>
      <c r="P233" s="1">
        <f xml:space="preserve"> IF( ( $N165 = '2.1 Model setup'!$K$51 ) * ( $N182 = 1 ), P216 * $W125, P125 )</f>
        <v>0</v>
      </c>
      <c r="Q233" s="344"/>
      <c r="R233" s="1">
        <f xml:space="preserve"> IF( ( $N165 = '2.1 Model setup'!$K$51 ) * ( $N182 = 1 ), R216 * $W125, R125 )</f>
        <v>0</v>
      </c>
      <c r="S233" s="1">
        <f xml:space="preserve"> IF( ( $N165 = '2.1 Model setup'!$K$51 ) * ( $N182 = 1 ), S216 * $W125, S125 )</f>
        <v>0</v>
      </c>
      <c r="T233" s="1">
        <f xml:space="preserve"> IF( ( $N165 = '2.1 Model setup'!$K$51 ) * ( $N182 = 1 ), T216 * $W125, T125 )</f>
        <v>0</v>
      </c>
      <c r="U233" s="344"/>
      <c r="V233" s="344"/>
      <c r="W233" s="4">
        <f t="shared" si="53"/>
        <v>0</v>
      </c>
      <c r="X233" s="1"/>
      <c r="Y233" s="1"/>
    </row>
    <row r="234" spans="1:25" customFormat="1" ht="15" customHeight="1">
      <c r="A234" s="1"/>
      <c r="B234" s="1"/>
      <c r="C234" s="2"/>
      <c r="D234" s="1" t="str">
        <f>'2.1 Model setup'!K73</f>
        <v>1.4 Omkostninger vedrørende 132-150/30-60 kV-stationer</v>
      </c>
      <c r="E234" s="1"/>
      <c r="F234" s="121"/>
      <c r="G234" s="121"/>
      <c r="H234" s="121"/>
      <c r="I234" s="121"/>
      <c r="J234" s="121"/>
      <c r="K234" s="5" t="str">
        <f t="shared" si="52"/>
        <v>DKKt</v>
      </c>
      <c r="L234" s="231"/>
      <c r="M234" s="1"/>
      <c r="N234" s="1"/>
      <c r="O234" s="1">
        <f xml:space="preserve"> IF( ( $N166 = '2.1 Model setup'!$K$51 ) * ( $N183 = 1 ), O217 * $W126, O126 )</f>
        <v>0</v>
      </c>
      <c r="P234" s="1">
        <f xml:space="preserve"> IF( ( $N166 = '2.1 Model setup'!$K$51 ) * ( $N183 = 1 ), P217 * $W126, P126 )</f>
        <v>0</v>
      </c>
      <c r="Q234" s="344"/>
      <c r="R234" s="1">
        <f xml:space="preserve"> IF( ( $N166 = '2.1 Model setup'!$K$51 ) * ( $N183 = 1 ), R217 * $W126, R126 )</f>
        <v>0</v>
      </c>
      <c r="S234" s="1">
        <f xml:space="preserve"> IF( ( $N166 = '2.1 Model setup'!$K$51 ) * ( $N183 = 1 ), S217 * $W126, S126 )</f>
        <v>0</v>
      </c>
      <c r="T234" s="1">
        <f xml:space="preserve"> IF( ( $N166 = '2.1 Model setup'!$K$51 ) * ( $N183 = 1 ), T217 * $W126, T126 )</f>
        <v>0</v>
      </c>
      <c r="U234" s="344"/>
      <c r="V234" s="344"/>
      <c r="W234" s="4">
        <f t="shared" si="53"/>
        <v>0</v>
      </c>
      <c r="X234" s="1"/>
      <c r="Y234" s="1"/>
    </row>
    <row r="235" spans="1:25" customFormat="1" ht="15" customHeight="1">
      <c r="A235" s="1"/>
      <c r="B235" s="1"/>
      <c r="C235" s="2"/>
      <c r="D235" s="1" t="str">
        <f>'2.1 Model setup'!K74</f>
        <v>2.1 Drift og vedligeholdelse af målere</v>
      </c>
      <c r="E235" s="1"/>
      <c r="F235" s="121"/>
      <c r="G235" s="121"/>
      <c r="H235" s="121"/>
      <c r="I235" s="121"/>
      <c r="J235" s="121"/>
      <c r="K235" s="5" t="str">
        <f t="shared" si="52"/>
        <v>DKKt</v>
      </c>
      <c r="L235" s="231"/>
      <c r="M235" s="1"/>
      <c r="N235" s="1"/>
      <c r="O235" s="1">
        <f xml:space="preserve"> IF( ( $N167 = '2.1 Model setup'!$K$51 ) * ( $N184 = 1 ), O218 * $W127, O127 )</f>
        <v>0</v>
      </c>
      <c r="P235" s="1">
        <f xml:space="preserve"> IF( ( $N167 = '2.1 Model setup'!$K$51 ) * ( $N184 = 1 ), P218 * $W127, P127 )</f>
        <v>0</v>
      </c>
      <c r="Q235" s="344"/>
      <c r="R235" s="1">
        <f xml:space="preserve"> IF( ( $N167 = '2.1 Model setup'!$K$51 ) * ( $N184 = 1 ), R218 * $W127, R127 )</f>
        <v>0</v>
      </c>
      <c r="S235" s="1">
        <f xml:space="preserve"> IF( ( $N167 = '2.1 Model setup'!$K$51 ) * ( $N184 = 1 ), S218 * $W127, S127 )</f>
        <v>0</v>
      </c>
      <c r="T235" s="1">
        <f xml:space="preserve"> IF( ( $N167 = '2.1 Model setup'!$K$51 ) * ( $N184 = 1 ), T218 * $W127, T127 )</f>
        <v>0</v>
      </c>
      <c r="U235" s="344"/>
      <c r="V235" s="344"/>
      <c r="W235" s="4">
        <f t="shared" si="53"/>
        <v>0</v>
      </c>
      <c r="X235" s="1"/>
      <c r="Y235" s="1"/>
    </row>
    <row r="236" spans="1:25" customFormat="1" ht="15" customHeight="1">
      <c r="A236" s="1"/>
      <c r="B236" s="1"/>
      <c r="C236" s="2"/>
      <c r="D236" s="1" t="str">
        <f>'2.1 Model setup'!K75</f>
        <v>2.2 Indhentning og validering af målerdata</v>
      </c>
      <c r="E236" s="1"/>
      <c r="F236" s="121"/>
      <c r="G236" s="121"/>
      <c r="H236" s="121"/>
      <c r="I236" s="121"/>
      <c r="J236" s="121"/>
      <c r="K236" s="5" t="str">
        <f t="shared" si="52"/>
        <v>DKKt</v>
      </c>
      <c r="L236" s="231"/>
      <c r="M236" s="1"/>
      <c r="N236" s="1"/>
      <c r="O236" s="1">
        <f xml:space="preserve"> IF( ( $N168 = '2.1 Model setup'!$K$51 ) * ( $N185 = 1 ), O219 * $W128, O128 )</f>
        <v>0</v>
      </c>
      <c r="P236" s="1">
        <f xml:space="preserve"> IF( ( $N168 = '2.1 Model setup'!$K$51 ) * ( $N185 = 1 ), P219 * $W128, P128 )</f>
        <v>0</v>
      </c>
      <c r="Q236" s="344"/>
      <c r="R236" s="1">
        <f xml:space="preserve"> IF( ( $N168 = '2.1 Model setup'!$K$51 ) * ( $N185 = 1 ), R219 * $W128, R128 )</f>
        <v>0</v>
      </c>
      <c r="S236" s="1">
        <f xml:space="preserve"> IF( ( $N168 = '2.1 Model setup'!$K$51 ) * ( $N185 = 1 ), S219 * $W128, S128 )</f>
        <v>0</v>
      </c>
      <c r="T236" s="1">
        <f xml:space="preserve"> IF( ( $N168 = '2.1 Model setup'!$K$51 ) * ( $N185 = 1 ), T219 * $W128, T128 )</f>
        <v>0</v>
      </c>
      <c r="U236" s="344"/>
      <c r="V236" s="344"/>
      <c r="W236" s="4">
        <f t="shared" si="53"/>
        <v>0</v>
      </c>
      <c r="X236" s="1"/>
      <c r="Y236" s="1"/>
    </row>
    <row r="237" spans="1:25" customFormat="1" ht="15" customHeight="1">
      <c r="A237" s="1"/>
      <c r="B237" s="1"/>
      <c r="C237" s="2"/>
      <c r="D237" s="1" t="str">
        <f>'2.1 Model setup'!K76</f>
        <v>2.3 Måleradministration og kundehåndtering</v>
      </c>
      <c r="E237" s="1"/>
      <c r="F237" s="121"/>
      <c r="G237" s="121"/>
      <c r="H237" s="121"/>
      <c r="I237" s="121"/>
      <c r="J237" s="121"/>
      <c r="K237" s="5" t="str">
        <f t="shared" si="52"/>
        <v>DKKt</v>
      </c>
      <c r="L237" s="231"/>
      <c r="M237" s="1"/>
      <c r="N237" s="1"/>
      <c r="O237" s="1">
        <f xml:space="preserve"> IF( ( $N169 = '2.1 Model setup'!$K$51 ) * ( $N186 = 1 ), O220 * $W129, O129 )</f>
        <v>0</v>
      </c>
      <c r="P237" s="1">
        <f xml:space="preserve"> IF( ( $N169 = '2.1 Model setup'!$K$51 ) * ( $N186 = 1 ), P220 * $W129, P129 )</f>
        <v>0</v>
      </c>
      <c r="Q237" s="344"/>
      <c r="R237" s="1">
        <f xml:space="preserve"> IF( ( $N169 = '2.1 Model setup'!$K$51 ) * ( $N186 = 1 ), R220 * $W129, R129 )</f>
        <v>0</v>
      </c>
      <c r="S237" s="1">
        <f xml:space="preserve"> IF( ( $N169 = '2.1 Model setup'!$K$51 ) * ( $N186 = 1 ), S220 * $W129, S129 )</f>
        <v>0</v>
      </c>
      <c r="T237" s="1">
        <f xml:space="preserve"> IF( ( $N169 = '2.1 Model setup'!$K$51 ) * ( $N186 = 1 ), T220 * $W129, T129 )</f>
        <v>0</v>
      </c>
      <c r="U237" s="344"/>
      <c r="V237" s="344"/>
      <c r="W237" s="4">
        <f t="shared" si="53"/>
        <v>0</v>
      </c>
      <c r="X237" s="1"/>
      <c r="Y237" s="1"/>
    </row>
    <row r="238" spans="1:25" customFormat="1" ht="15" customHeight="1">
      <c r="A238" s="1"/>
      <c r="B238" s="1"/>
      <c r="C238" s="2"/>
      <c r="D238" s="1" t="str">
        <f>'2.1 Model setup'!K77</f>
        <v>3.1 Generel administration</v>
      </c>
      <c r="E238" s="1"/>
      <c r="F238" s="121"/>
      <c r="G238" s="121"/>
      <c r="H238" s="121"/>
      <c r="I238" s="121"/>
      <c r="J238" s="121"/>
      <c r="K238" s="5" t="str">
        <f t="shared" si="52"/>
        <v>DKKt</v>
      </c>
      <c r="L238" s="231"/>
      <c r="M238" s="1"/>
      <c r="N238" s="1"/>
      <c r="O238" s="1">
        <f xml:space="preserve"> IF( ( $N170 = '2.1 Model setup'!$K$51 ) * ( $N187 = 1 ), O221 * $W130, O130 )</f>
        <v>0</v>
      </c>
      <c r="P238" s="1">
        <f xml:space="preserve"> IF( ( $N170 = '2.1 Model setup'!$K$51 ) * ( $N187 = 1 ), P221 * $W130, P130 )</f>
        <v>0</v>
      </c>
      <c r="Q238" s="344"/>
      <c r="R238" s="1">
        <f xml:space="preserve"> IF( ( $N170 = '2.1 Model setup'!$K$51 ) * ( $N187 = 1 ), R221 * $W130, R130 )</f>
        <v>0</v>
      </c>
      <c r="S238" s="1">
        <f xml:space="preserve"> IF( ( $N170 = '2.1 Model setup'!$K$51 ) * ( $N187 = 1 ), S221 * $W130, S130 )</f>
        <v>0</v>
      </c>
      <c r="T238" s="1">
        <f xml:space="preserve"> IF( ( $N170 = '2.1 Model setup'!$K$51 ) * ( $N187 = 1 ), T221 * $W130, T130 )</f>
        <v>0</v>
      </c>
      <c r="U238" s="344"/>
      <c r="V238" s="344"/>
      <c r="W238" s="4">
        <f t="shared" si="53"/>
        <v>0</v>
      </c>
      <c r="X238" s="1"/>
      <c r="Y238" s="1"/>
    </row>
    <row r="239" spans="1:25" customFormat="1" ht="15" customHeight="1">
      <c r="A239" s="1"/>
      <c r="B239" s="1"/>
      <c r="C239" s="2"/>
      <c r="D239" s="1" t="str">
        <f>'2.1 Model setup'!K78</f>
        <v>4.1 Omkostninger vedrørende nettab i transformerstationer</v>
      </c>
      <c r="E239" s="1"/>
      <c r="F239" s="121"/>
      <c r="G239" s="121"/>
      <c r="H239" s="121"/>
      <c r="I239" s="121"/>
      <c r="J239" s="121"/>
      <c r="K239" s="5" t="str">
        <f t="shared" si="52"/>
        <v>DKKt</v>
      </c>
      <c r="L239" s="231">
        <f xml:space="preserve"> -- ( OR( O239 &lt;&gt; 0, P239 &lt;&gt; 0, R239 &lt;&gt; 0, T239 &lt;&gt; 0) )</f>
        <v>0</v>
      </c>
      <c r="M239" s="1"/>
      <c r="N239" s="1"/>
      <c r="O239" s="1">
        <f xml:space="preserve"> IF( ( $N171 = '2.1 Model setup'!$K$51 ) * ( $N188 = 1 ), O222 * $W131, O131 )</f>
        <v>0</v>
      </c>
      <c r="P239" s="1">
        <f xml:space="preserve"> IF( ( $N171 = '2.1 Model setup'!$K$51 ) * ( $N188 = 1 ), P222 * $W131, P131 )</f>
        <v>0</v>
      </c>
      <c r="Q239" s="344"/>
      <c r="R239" s="1">
        <f xml:space="preserve"> IF( ( $N171 = '2.1 Model setup'!$K$51 ) * ( $N188 = 1 ), R222 * $W131, R131 )</f>
        <v>0</v>
      </c>
      <c r="S239" s="1">
        <f xml:space="preserve"> IF( ( $N171 = '2.1 Model setup'!$K$51 ) * ( $N188 = 1 ), S222 * $W131, S131 )</f>
        <v>0</v>
      </c>
      <c r="T239" s="1">
        <f xml:space="preserve"> IF( ( $N171 = '2.1 Model setup'!$K$51 ) * ( $N188 = 1 ), T222 * $W131, T131 )</f>
        <v>0</v>
      </c>
      <c r="U239" s="344"/>
      <c r="V239" s="344"/>
      <c r="W239" s="4">
        <f t="shared" si="53"/>
        <v>0</v>
      </c>
      <c r="X239" s="1"/>
      <c r="Y239" s="1"/>
    </row>
    <row r="240" spans="1:25" customFormat="1" ht="15" customHeight="1">
      <c r="A240" s="1"/>
      <c r="B240" s="1"/>
      <c r="C240" s="2"/>
      <c r="D240" s="1" t="str">
        <f>'2.1 Model setup'!K79</f>
        <v>4.2 Omkostninger vedrørende nettab i ledningsnettet</v>
      </c>
      <c r="E240" s="1"/>
      <c r="F240" s="121"/>
      <c r="G240" s="121"/>
      <c r="H240" s="121"/>
      <c r="I240" s="121"/>
      <c r="J240" s="121"/>
      <c r="K240" s="5" t="str">
        <f t="shared" si="52"/>
        <v>DKKt</v>
      </c>
      <c r="L240" s="231"/>
      <c r="M240" s="1"/>
      <c r="N240" s="1"/>
      <c r="O240" s="1">
        <f xml:space="preserve"> IF( ( $N172 = '2.1 Model setup'!$K$51 ) * ( $N189 = 1 ), O223 * $W132, O132 )</f>
        <v>0</v>
      </c>
      <c r="P240" s="1">
        <f xml:space="preserve"> IF( ( $N172 = '2.1 Model setup'!$K$51 ) * ( $N189 = 1 ), P223 * $W132, P132 )</f>
        <v>0</v>
      </c>
      <c r="Q240" s="344"/>
      <c r="R240" s="1">
        <f xml:space="preserve"> IF( ( $N172 = '2.1 Model setup'!$K$51 ) * ( $N189 = 1 ), R223 * $W132, R132 )</f>
        <v>0</v>
      </c>
      <c r="S240" s="1">
        <f xml:space="preserve"> IF( ( $N172 = '2.1 Model setup'!$K$51 ) * ( $N189 = 1 ), S223 * $W132, S132 )</f>
        <v>0</v>
      </c>
      <c r="T240" s="1">
        <f xml:space="preserve"> IF( ( $N172 = '2.1 Model setup'!$K$51 ) * ( $N189 = 1 ), T223 * $W132, T132 )</f>
        <v>0</v>
      </c>
      <c r="U240" s="344"/>
      <c r="V240" s="344"/>
      <c r="W240" s="4">
        <f t="shared" si="53"/>
        <v>0</v>
      </c>
      <c r="X240" s="1"/>
      <c r="Y240" s="1"/>
    </row>
    <row r="241" spans="1:25" customFormat="1" ht="15" customHeight="1">
      <c r="A241" s="1"/>
      <c r="B241" s="1"/>
      <c r="C241" s="2"/>
      <c r="D241" s="1" t="str">
        <f>'2.1 Model setup'!K88</f>
        <v>5.1 Omkostninger til overliggende net ifm. indfødning</v>
      </c>
      <c r="E241" s="1"/>
      <c r="F241" s="121"/>
      <c r="G241" s="121"/>
      <c r="H241" s="121"/>
      <c r="I241" s="121"/>
      <c r="J241" s="121"/>
      <c r="K241" s="5" t="str">
        <f t="shared" si="52"/>
        <v>DKKt</v>
      </c>
      <c r="L241" s="231"/>
      <c r="M241" s="1"/>
      <c r="N241" s="1"/>
      <c r="O241" s="1">
        <f xml:space="preserve"> IF( ( $N173 = '2.1 Model setup'!$K$51 ) * ( $N190 = 1 ), O224 * $W133, O133 )</f>
        <v>0</v>
      </c>
      <c r="P241" s="1">
        <f xml:space="preserve"> IF( ( $N173 = '2.1 Model setup'!$K$51 ) * ( $N190 = 1 ), P224 * $W133, P133 )</f>
        <v>0</v>
      </c>
      <c r="Q241" s="344"/>
      <c r="R241" s="1">
        <f xml:space="preserve"> IF( ( $N173 = '2.1 Model setup'!$K$51 ) * ( $N190 = 1 ), R224 * $W133, R133 )</f>
        <v>0</v>
      </c>
      <c r="S241" s="1">
        <f xml:space="preserve"> IF( ( $N173 = '2.1 Model setup'!$K$51 ) * ( $N190 = 1 ), S224 * $W133, S133 )</f>
        <v>0</v>
      </c>
      <c r="T241" s="1">
        <f xml:space="preserve"> IF( ( $N173 = '2.1 Model setup'!$K$51 ) * ( $N190 = 1 ), T224 * $W133, T133 )</f>
        <v>0</v>
      </c>
      <c r="U241" s="549">
        <f xml:space="preserve"> IF( ( $N173 = '2.1 Model setup'!$K$51 ) * ( $N190 = 1 ), U224 * $W133, U133 )</f>
        <v>0</v>
      </c>
      <c r="V241" s="549">
        <f xml:space="preserve"> IF( ( $N173 = '2.1 Model setup'!$K$51 ) * ( $N190 = 1 ), V224 * $W133, V133 )</f>
        <v>0</v>
      </c>
      <c r="W241" s="4">
        <f t="shared" si="53"/>
        <v>0</v>
      </c>
      <c r="X241" s="1"/>
      <c r="Y241" s="1"/>
    </row>
    <row r="242" spans="1:25" customFormat="1" ht="15" customHeight="1">
      <c r="A242" s="1"/>
      <c r="B242" s="1"/>
      <c r="C242" s="2"/>
      <c r="D242" s="1" t="str">
        <f>'2.1 Model setup'!K81</f>
        <v>5.2 Øvrige omkostninger</v>
      </c>
      <c r="E242" s="1"/>
      <c r="F242" s="121"/>
      <c r="G242" s="121"/>
      <c r="H242" s="121"/>
      <c r="I242" s="121"/>
      <c r="J242" s="121"/>
      <c r="K242" s="5" t="str">
        <f t="shared" si="52"/>
        <v>DKKt</v>
      </c>
      <c r="L242" s="231"/>
      <c r="M242" s="1"/>
      <c r="N242" s="1"/>
      <c r="O242" s="1">
        <f xml:space="preserve"> IF( ( $N174 = '2.1 Model setup'!$K$51 ) * ( $N191 = 1 ), O225 * $W134, O134 )</f>
        <v>0</v>
      </c>
      <c r="P242" s="1">
        <f xml:space="preserve"> IF( ( $N174 = '2.1 Model setup'!$K$51 ) * ( $N191 = 1 ), P225 * $W134, P134 )</f>
        <v>0</v>
      </c>
      <c r="Q242" s="344"/>
      <c r="R242" s="1">
        <f xml:space="preserve"> IF( ( $N174 = '2.1 Model setup'!$K$51 ) * ( $N191 = 1 ), R225 * $W134, R134 )</f>
        <v>0</v>
      </c>
      <c r="S242" s="1">
        <f xml:space="preserve"> IF( ( $N174 = '2.1 Model setup'!$K$51 ) * ( $N191 = 1 ), S225 * $W134, S134 )</f>
        <v>0</v>
      </c>
      <c r="T242" s="1">
        <f xml:space="preserve"> IF( ( $N174 = '2.1 Model setup'!$K$51 ) * ( $N191 = 1 ), T225 * $W134, T134 )</f>
        <v>0</v>
      </c>
      <c r="U242" s="344"/>
      <c r="V242" s="344"/>
      <c r="W242" s="4">
        <f t="shared" si="53"/>
        <v>0</v>
      </c>
      <c r="X242" s="1"/>
      <c r="Y242" s="1"/>
    </row>
    <row r="243" spans="1:25" customFormat="1" ht="15" customHeight="1">
      <c r="A243" s="1"/>
      <c r="B243" s="1"/>
      <c r="C243" s="2"/>
      <c r="D243" s="1" t="str">
        <f>'2.1 Model setup'!K82</f>
        <v>6.1 Afskrivninger på transformerstationer</v>
      </c>
      <c r="E243" s="1"/>
      <c r="F243" s="121"/>
      <c r="G243" s="121"/>
      <c r="H243" s="121"/>
      <c r="I243" s="121"/>
      <c r="J243" s="121"/>
      <c r="K243" s="5" t="str">
        <f t="shared" si="52"/>
        <v>DKKt</v>
      </c>
      <c r="L243" s="231"/>
      <c r="M243" s="1"/>
      <c r="N243" s="1"/>
      <c r="O243" s="1">
        <f xml:space="preserve"> IF( ( $N175 = '2.1 Model setup'!$K$51 ) * ( $N192 = 1 ), O226 * $W135, O135 )</f>
        <v>0</v>
      </c>
      <c r="P243" s="1">
        <f xml:space="preserve"> IF( ( $N175 = '2.1 Model setup'!$K$51 ) * ( $N192 = 1 ), P226 * $W135, P135 )</f>
        <v>0</v>
      </c>
      <c r="Q243" s="344"/>
      <c r="R243" s="1">
        <f xml:space="preserve"> IF( ( $N175 = '2.1 Model setup'!$K$51 ) * ( $N192 = 1 ), R226 * $W135, R135 )</f>
        <v>0</v>
      </c>
      <c r="S243" s="1">
        <f xml:space="preserve"> IF( ( $N175 = '2.1 Model setup'!$K$51 ) * ( $N192 = 1 ), S226 * $W135, S135 )</f>
        <v>0</v>
      </c>
      <c r="T243" s="1">
        <f xml:space="preserve"> IF( ( $N175 = '2.1 Model setup'!$K$51 ) * ( $N192 = 1 ), T226 * $W135, T135 )</f>
        <v>0</v>
      </c>
      <c r="U243" s="344"/>
      <c r="V243" s="344"/>
      <c r="W243" s="4">
        <f t="shared" si="53"/>
        <v>0</v>
      </c>
      <c r="X243" s="1"/>
      <c r="Y243" s="1"/>
    </row>
    <row r="244" spans="1:25" customFormat="1" ht="15" customHeight="1">
      <c r="A244" s="1"/>
      <c r="B244" s="1"/>
      <c r="C244" s="2"/>
      <c r="D244" s="1" t="str">
        <f>'2.1 Model setup'!K83</f>
        <v>6.2 Afskrivninger på netaktiver ekskl. målere og transformerstationer</v>
      </c>
      <c r="E244" s="1"/>
      <c r="F244" s="121"/>
      <c r="G244" s="121"/>
      <c r="H244" s="121"/>
      <c r="I244" s="121"/>
      <c r="J244" s="121"/>
      <c r="K244" s="5" t="str">
        <f t="shared" si="52"/>
        <v>DKKt</v>
      </c>
      <c r="L244" s="231"/>
      <c r="M244" s="1"/>
      <c r="N244" s="1"/>
      <c r="O244" s="1">
        <f xml:space="preserve"> IF( ( $N176 = '2.1 Model setup'!$K$51 ) * ( $N193 = 1 ), O227 * $W136, O136 )</f>
        <v>0</v>
      </c>
      <c r="P244" s="1">
        <f xml:space="preserve"> IF( ( $N176 = '2.1 Model setup'!$K$51 ) * ( $N193 = 1 ), P227 * $W136, P136 )</f>
        <v>0</v>
      </c>
      <c r="Q244" s="344"/>
      <c r="R244" s="1">
        <f xml:space="preserve"> IF( ( $N176 = '2.1 Model setup'!$K$51 ) * ( $N193 = 1 ), R227 * $W136, R136 )</f>
        <v>0</v>
      </c>
      <c r="S244" s="1">
        <f xml:space="preserve"> IF( ( $N176 = '2.1 Model setup'!$K$51 ) * ( $N193 = 1 ), S227 * $W136, S136 )</f>
        <v>0</v>
      </c>
      <c r="T244" s="1">
        <f xml:space="preserve"> IF( ( $N176 = '2.1 Model setup'!$K$51 ) * ( $N193 = 1 ), T227 * $W136, T136 )</f>
        <v>0</v>
      </c>
      <c r="U244" s="344"/>
      <c r="V244" s="344"/>
      <c r="W244" s="4">
        <f xml:space="preserve"> SUM( O244:V244 )</f>
        <v>0</v>
      </c>
      <c r="X244" s="1"/>
      <c r="Y244" s="1"/>
    </row>
    <row r="245" spans="1:25" customFormat="1" ht="15" customHeight="1">
      <c r="A245" s="1"/>
      <c r="B245" s="1"/>
      <c r="C245" s="2"/>
      <c r="D245" s="27" t="str">
        <f>'2.1 Model setup'!K84</f>
        <v>6.3 Afskrivninger på målere</v>
      </c>
      <c r="E245" s="27"/>
      <c r="F245" s="131"/>
      <c r="G245" s="131"/>
      <c r="H245" s="131"/>
      <c r="I245" s="131"/>
      <c r="J245" s="131"/>
      <c r="K245" s="32" t="str">
        <f t="shared" si="52"/>
        <v>DKKt</v>
      </c>
      <c r="L245" s="510"/>
      <c r="M245" s="27"/>
      <c r="N245" s="27"/>
      <c r="O245" s="27">
        <f xml:space="preserve"> IF( ( $N177 = '2.1 Model setup'!$K$51 ) * ( $N194 = 1 ), O228 * $W137, O137 )</f>
        <v>0</v>
      </c>
      <c r="P245" s="27">
        <f xml:space="preserve"> IF( ( $N177 = '2.1 Model setup'!$K$51 ) * ( $N194 = 1 ), P228 * $W137, P137 )</f>
        <v>0</v>
      </c>
      <c r="Q245" s="395"/>
      <c r="R245" s="27">
        <f xml:space="preserve"> IF( ( $N177 = '2.1 Model setup'!$K$51 ) * ( $N194 = 1 ), R228 * $W137, R137 )</f>
        <v>0</v>
      </c>
      <c r="S245" s="27">
        <f xml:space="preserve"> IF( ( $N177 = '2.1 Model setup'!$K$51 ) * ( $N194 = 1 ), S228 * $W137, S137 )</f>
        <v>0</v>
      </c>
      <c r="T245" s="27">
        <f xml:space="preserve"> IF( ( $N177 = '2.1 Model setup'!$K$51 ) * ( $N194 = 1 ), T228 * $W137, T137 )</f>
        <v>0</v>
      </c>
      <c r="U245" s="395"/>
      <c r="V245" s="395"/>
      <c r="W245" s="35">
        <f xml:space="preserve"> SUM( O245:V245 )</f>
        <v>0</v>
      </c>
      <c r="X245" s="1"/>
      <c r="Y245" s="1"/>
    </row>
    <row r="246" spans="1:25" customFormat="1" ht="15" customHeight="1">
      <c r="A246" s="1"/>
      <c r="B246" s="1"/>
      <c r="C246" s="2"/>
      <c r="D246" s="97" t="s">
        <v>16</v>
      </c>
      <c r="E246" s="27"/>
      <c r="F246" s="104"/>
      <c r="G246" s="104"/>
      <c r="H246" s="104"/>
      <c r="I246" s="104"/>
      <c r="J246" s="104"/>
      <c r="K246" s="127" t="str">
        <f xml:space="preserve"> Model.Units</f>
        <v>DKKt</v>
      </c>
      <c r="L246" s="265">
        <f xml:space="preserve"> -- ( ROUND( W246, 5 ) &lt;&gt; ROUND(W85, 5 ))</f>
        <v>0</v>
      </c>
      <c r="M246" s="151"/>
      <c r="N246" s="315"/>
      <c r="O246" s="539">
        <f xml:space="preserve"> SUM( O231:O245 )</f>
        <v>0</v>
      </c>
      <c r="P246" s="539">
        <f xml:space="preserve"> SUM( P231:P245 )</f>
        <v>0</v>
      </c>
      <c r="Q246" s="395"/>
      <c r="R246" s="539">
        <f xml:space="preserve"> SUM( R231:R245 )</f>
        <v>0</v>
      </c>
      <c r="S246" s="539">
        <f xml:space="preserve"> SUM( S231:S245 )</f>
        <v>0</v>
      </c>
      <c r="T246" s="539">
        <f xml:space="preserve"> SUM( T231:T245 )</f>
        <v>0</v>
      </c>
      <c r="U246" s="539">
        <f t="shared" ref="U246:V246" si="54" xml:space="preserve"> SUM( U231:U245 )</f>
        <v>0</v>
      </c>
      <c r="V246" s="539">
        <f t="shared" si="54"/>
        <v>0</v>
      </c>
      <c r="W246" s="539">
        <f xml:space="preserve"> SUM( W231:W245 )</f>
        <v>0</v>
      </c>
      <c r="X246" s="111"/>
      <c r="Y246" s="121"/>
    </row>
    <row r="247" spans="1:25" customFormat="1" ht="15" customHeight="1">
      <c r="A247" s="1"/>
      <c r="B247" s="1"/>
      <c r="C247" s="2"/>
      <c r="D247" s="85"/>
      <c r="E247" s="1"/>
      <c r="F247" s="107"/>
      <c r="G247" s="107"/>
      <c r="H247" s="107"/>
      <c r="I247" s="107"/>
      <c r="J247" s="107"/>
      <c r="K247" s="87"/>
      <c r="L247" s="264"/>
      <c r="M247" s="85"/>
      <c r="N247" s="107"/>
      <c r="O247" s="107"/>
      <c r="P247" s="107"/>
      <c r="Q247" s="107"/>
      <c r="R247" s="107"/>
      <c r="S247" s="107"/>
      <c r="T247" s="107"/>
      <c r="U247" s="107"/>
      <c r="V247" s="107"/>
      <c r="W247" s="107"/>
      <c r="X247" s="1"/>
      <c r="Y247" s="1"/>
    </row>
    <row r="248" spans="1:25" customFormat="1" ht="15" customHeight="1">
      <c r="A248" s="1"/>
      <c r="B248" s="1"/>
      <c r="C248" s="2"/>
      <c r="D248" s="88" t="s">
        <v>569</v>
      </c>
      <c r="E248" s="1"/>
      <c r="F248" s="107"/>
      <c r="G248" s="107"/>
      <c r="H248" s="107"/>
      <c r="I248" s="107"/>
      <c r="J248" s="107"/>
      <c r="K248" s="87"/>
      <c r="L248" s="264"/>
      <c r="M248" s="85"/>
      <c r="N248" s="107"/>
      <c r="O248" s="107"/>
      <c r="P248" s="107"/>
      <c r="Q248" s="107"/>
      <c r="R248" s="1"/>
      <c r="S248" s="1"/>
      <c r="T248" s="1"/>
      <c r="U248" s="1"/>
      <c r="V248" s="1"/>
      <c r="W248" s="89" t="s">
        <v>16</v>
      </c>
      <c r="X248" s="1"/>
      <c r="Y248" s="1"/>
    </row>
    <row r="249" spans="1:25" customFormat="1" ht="15" customHeight="1">
      <c r="A249" s="1"/>
      <c r="B249" s="1"/>
      <c r="C249" s="2"/>
      <c r="D249" s="15" t="str">
        <f>'2.1 Model setup'!K70</f>
        <v>1.1 Drift og vedligeholdelse af transformerstationer</v>
      </c>
      <c r="E249" s="15"/>
      <c r="F249" s="150"/>
      <c r="G249" s="150"/>
      <c r="H249" s="150"/>
      <c r="I249" s="150"/>
      <c r="J249" s="150"/>
      <c r="K249" s="19" t="str">
        <f t="shared" ref="K249:K263" si="55">Model.Units</f>
        <v>DKKt</v>
      </c>
      <c r="L249" s="537">
        <f xml:space="preserve"> -- ( OR( O249 &lt;&gt; 0, P249 &lt;&gt; 0, R249 &lt;&gt; 0, T249 &lt;&gt; 0) )</f>
        <v>0</v>
      </c>
      <c r="M249" s="15"/>
      <c r="N249" s="15"/>
      <c r="O249" s="15">
        <f t="shared" ref="O249:P263" si="56">O105+O231</f>
        <v>0</v>
      </c>
      <c r="P249" s="15">
        <f t="shared" si="56"/>
        <v>0</v>
      </c>
      <c r="Q249" s="536"/>
      <c r="R249" s="15">
        <f t="shared" ref="R249:V263" si="57">R105+R231</f>
        <v>0</v>
      </c>
      <c r="S249" s="15">
        <f t="shared" si="57"/>
        <v>0</v>
      </c>
      <c r="T249" s="15">
        <f t="shared" si="57"/>
        <v>0</v>
      </c>
      <c r="U249" s="536"/>
      <c r="V249" s="536"/>
      <c r="W249" s="18">
        <f xml:space="preserve"> SUM( O249:V249 )</f>
        <v>0</v>
      </c>
      <c r="X249" s="1"/>
      <c r="Y249" s="1"/>
    </row>
    <row r="250" spans="1:25" customFormat="1" ht="15" customHeight="1">
      <c r="A250" s="1"/>
      <c r="B250" s="1"/>
      <c r="C250" s="2"/>
      <c r="D250" s="1" t="str">
        <f>'2.1 Model setup'!K71</f>
        <v>1.2 Drift og vedligeholdelse af ledningsnet</v>
      </c>
      <c r="E250" s="1"/>
      <c r="F250" s="121"/>
      <c r="G250" s="121"/>
      <c r="H250" s="121"/>
      <c r="I250" s="121"/>
      <c r="J250" s="121"/>
      <c r="K250" s="5" t="str">
        <f t="shared" si="55"/>
        <v>DKKt</v>
      </c>
      <c r="L250" s="231"/>
      <c r="M250" s="1"/>
      <c r="N250" s="1"/>
      <c r="O250" s="1">
        <f t="shared" si="56"/>
        <v>0</v>
      </c>
      <c r="P250" s="1">
        <f t="shared" si="56"/>
        <v>0</v>
      </c>
      <c r="Q250" s="344"/>
      <c r="R250" s="1">
        <f t="shared" si="57"/>
        <v>0</v>
      </c>
      <c r="S250" s="1">
        <f t="shared" si="57"/>
        <v>0</v>
      </c>
      <c r="T250" s="1">
        <f t="shared" si="57"/>
        <v>0</v>
      </c>
      <c r="U250" s="344"/>
      <c r="V250" s="344"/>
      <c r="W250" s="4">
        <f t="shared" ref="W250:W258" si="58" xml:space="preserve"> SUM( O250:V250 )</f>
        <v>0</v>
      </c>
      <c r="X250" s="1"/>
      <c r="Y250" s="1"/>
    </row>
    <row r="251" spans="1:25" customFormat="1" ht="15" customHeight="1">
      <c r="A251" s="1"/>
      <c r="B251" s="1"/>
      <c r="C251" s="2"/>
      <c r="D251" s="1" t="str">
        <f>'2.1 Model setup'!K72</f>
        <v>1.3 Øvrige omkostninger til drift, styring og kontrol af elnettet</v>
      </c>
      <c r="E251" s="1"/>
      <c r="F251" s="121"/>
      <c r="G251" s="121"/>
      <c r="H251" s="121"/>
      <c r="I251" s="121"/>
      <c r="J251" s="121"/>
      <c r="K251" s="5" t="str">
        <f t="shared" si="55"/>
        <v>DKKt</v>
      </c>
      <c r="L251" s="231"/>
      <c r="M251" s="1"/>
      <c r="N251" s="1"/>
      <c r="O251" s="1">
        <f t="shared" si="56"/>
        <v>0</v>
      </c>
      <c r="P251" s="1">
        <f t="shared" si="56"/>
        <v>0</v>
      </c>
      <c r="Q251" s="344"/>
      <c r="R251" s="1">
        <f t="shared" si="57"/>
        <v>0</v>
      </c>
      <c r="S251" s="1">
        <f t="shared" si="57"/>
        <v>0</v>
      </c>
      <c r="T251" s="1">
        <f t="shared" si="57"/>
        <v>0</v>
      </c>
      <c r="U251" s="344"/>
      <c r="V251" s="344"/>
      <c r="W251" s="4">
        <f t="shared" si="58"/>
        <v>0</v>
      </c>
      <c r="X251" s="1"/>
      <c r="Y251" s="1"/>
    </row>
    <row r="252" spans="1:25" customFormat="1" ht="15" customHeight="1">
      <c r="A252" s="1"/>
      <c r="B252" s="1"/>
      <c r="C252" s="2"/>
      <c r="D252" s="1" t="str">
        <f>'2.1 Model setup'!K73</f>
        <v>1.4 Omkostninger vedrørende 132-150/30-60 kV-stationer</v>
      </c>
      <c r="E252" s="1"/>
      <c r="F252" s="121"/>
      <c r="G252" s="121"/>
      <c r="H252" s="121"/>
      <c r="I252" s="121"/>
      <c r="J252" s="121"/>
      <c r="K252" s="5" t="str">
        <f t="shared" si="55"/>
        <v>DKKt</v>
      </c>
      <c r="L252" s="231"/>
      <c r="M252" s="1"/>
      <c r="N252" s="1"/>
      <c r="O252" s="1">
        <f t="shared" si="56"/>
        <v>0</v>
      </c>
      <c r="P252" s="1">
        <f t="shared" si="56"/>
        <v>0</v>
      </c>
      <c r="Q252" s="344"/>
      <c r="R252" s="1">
        <f t="shared" si="57"/>
        <v>0</v>
      </c>
      <c r="S252" s="1">
        <f t="shared" si="57"/>
        <v>0</v>
      </c>
      <c r="T252" s="1">
        <f t="shared" si="57"/>
        <v>0</v>
      </c>
      <c r="U252" s="344"/>
      <c r="V252" s="344"/>
      <c r="W252" s="4">
        <f t="shared" si="58"/>
        <v>0</v>
      </c>
      <c r="X252" s="1"/>
      <c r="Y252" s="1"/>
    </row>
    <row r="253" spans="1:25" customFormat="1" ht="15" customHeight="1">
      <c r="A253" s="1"/>
      <c r="B253" s="1"/>
      <c r="C253" s="2"/>
      <c r="D253" s="1" t="str">
        <f>'2.1 Model setup'!K74</f>
        <v>2.1 Drift og vedligeholdelse af målere</v>
      </c>
      <c r="E253" s="1"/>
      <c r="F253" s="121"/>
      <c r="G253" s="121"/>
      <c r="H253" s="121"/>
      <c r="I253" s="121"/>
      <c r="J253" s="121"/>
      <c r="K253" s="5" t="str">
        <f t="shared" si="55"/>
        <v>DKKt</v>
      </c>
      <c r="L253" s="231"/>
      <c r="M253" s="1"/>
      <c r="N253" s="1"/>
      <c r="O253" s="1">
        <f t="shared" si="56"/>
        <v>0</v>
      </c>
      <c r="P253" s="1">
        <f t="shared" si="56"/>
        <v>0</v>
      </c>
      <c r="Q253" s="344"/>
      <c r="R253" s="1">
        <f t="shared" si="57"/>
        <v>0</v>
      </c>
      <c r="S253" s="1">
        <f t="shared" si="57"/>
        <v>0</v>
      </c>
      <c r="T253" s="1">
        <f t="shared" si="57"/>
        <v>0</v>
      </c>
      <c r="U253" s="344"/>
      <c r="V253" s="344"/>
      <c r="W253" s="4">
        <f t="shared" si="58"/>
        <v>0</v>
      </c>
      <c r="X253" s="1"/>
      <c r="Y253" s="1"/>
    </row>
    <row r="254" spans="1:25" customFormat="1" ht="15" customHeight="1">
      <c r="A254" s="1"/>
      <c r="B254" s="1"/>
      <c r="C254" s="2"/>
      <c r="D254" s="1" t="str">
        <f>'2.1 Model setup'!K75</f>
        <v>2.2 Indhentning og validering af målerdata</v>
      </c>
      <c r="E254" s="1"/>
      <c r="F254" s="121"/>
      <c r="G254" s="121"/>
      <c r="H254" s="121"/>
      <c r="I254" s="121"/>
      <c r="J254" s="121"/>
      <c r="K254" s="5" t="str">
        <f t="shared" si="55"/>
        <v>DKKt</v>
      </c>
      <c r="L254" s="231"/>
      <c r="M254" s="1"/>
      <c r="N254" s="1"/>
      <c r="O254" s="1">
        <f t="shared" si="56"/>
        <v>0</v>
      </c>
      <c r="P254" s="1">
        <f t="shared" si="56"/>
        <v>0</v>
      </c>
      <c r="Q254" s="344"/>
      <c r="R254" s="1">
        <f t="shared" si="57"/>
        <v>0</v>
      </c>
      <c r="S254" s="1">
        <f t="shared" si="57"/>
        <v>0</v>
      </c>
      <c r="T254" s="1">
        <f t="shared" si="57"/>
        <v>0</v>
      </c>
      <c r="U254" s="344"/>
      <c r="V254" s="344"/>
      <c r="W254" s="4">
        <f t="shared" si="58"/>
        <v>0</v>
      </c>
      <c r="X254" s="1"/>
      <c r="Y254" s="1"/>
    </row>
    <row r="255" spans="1:25" customFormat="1" ht="15" customHeight="1">
      <c r="A255" s="1"/>
      <c r="B255" s="1"/>
      <c r="C255" s="2"/>
      <c r="D255" s="1" t="str">
        <f>'2.1 Model setup'!K76</f>
        <v>2.3 Måleradministration og kundehåndtering</v>
      </c>
      <c r="E255" s="1"/>
      <c r="F255" s="121"/>
      <c r="G255" s="121"/>
      <c r="H255" s="121"/>
      <c r="I255" s="121"/>
      <c r="J255" s="121"/>
      <c r="K255" s="5" t="str">
        <f t="shared" si="55"/>
        <v>DKKt</v>
      </c>
      <c r="L255" s="231"/>
      <c r="M255" s="1"/>
      <c r="N255" s="1"/>
      <c r="O255" s="1">
        <f t="shared" si="56"/>
        <v>0</v>
      </c>
      <c r="P255" s="1">
        <f t="shared" si="56"/>
        <v>0</v>
      </c>
      <c r="Q255" s="344"/>
      <c r="R255" s="1">
        <f t="shared" si="57"/>
        <v>0</v>
      </c>
      <c r="S255" s="1">
        <f t="shared" si="57"/>
        <v>0</v>
      </c>
      <c r="T255" s="1">
        <f t="shared" si="57"/>
        <v>0</v>
      </c>
      <c r="U255" s="344"/>
      <c r="V255" s="344"/>
      <c r="W255" s="4">
        <f t="shared" si="58"/>
        <v>0</v>
      </c>
      <c r="X255" s="1"/>
      <c r="Y255" s="1"/>
    </row>
    <row r="256" spans="1:25" customFormat="1" ht="15" customHeight="1">
      <c r="A256" s="1"/>
      <c r="B256" s="1"/>
      <c r="C256" s="2"/>
      <c r="D256" s="1" t="str">
        <f>'2.1 Model setup'!K77</f>
        <v>3.1 Generel administration</v>
      </c>
      <c r="E256" s="1"/>
      <c r="F256" s="121"/>
      <c r="G256" s="121"/>
      <c r="H256" s="121"/>
      <c r="I256" s="121"/>
      <c r="J256" s="121"/>
      <c r="K256" s="5" t="str">
        <f t="shared" si="55"/>
        <v>DKKt</v>
      </c>
      <c r="L256" s="231"/>
      <c r="M256" s="1"/>
      <c r="N256" s="1"/>
      <c r="O256" s="1">
        <f t="shared" si="56"/>
        <v>0</v>
      </c>
      <c r="P256" s="1">
        <f t="shared" si="56"/>
        <v>0</v>
      </c>
      <c r="Q256" s="344"/>
      <c r="R256" s="1">
        <f t="shared" si="57"/>
        <v>0</v>
      </c>
      <c r="S256" s="1">
        <f t="shared" si="57"/>
        <v>0</v>
      </c>
      <c r="T256" s="1">
        <f t="shared" si="57"/>
        <v>0</v>
      </c>
      <c r="U256" s="344"/>
      <c r="V256" s="344"/>
      <c r="W256" s="4">
        <f t="shared" si="58"/>
        <v>0</v>
      </c>
      <c r="X256" s="1"/>
      <c r="Y256" s="1"/>
    </row>
    <row r="257" spans="1:25" customFormat="1" ht="15" customHeight="1">
      <c r="A257" s="1"/>
      <c r="B257" s="1"/>
      <c r="C257" s="2"/>
      <c r="D257" s="1" t="str">
        <f>'2.1 Model setup'!K78</f>
        <v>4.1 Omkostninger vedrørende nettab i transformerstationer</v>
      </c>
      <c r="E257" s="1"/>
      <c r="F257" s="121"/>
      <c r="G257" s="121"/>
      <c r="H257" s="121"/>
      <c r="I257" s="121"/>
      <c r="J257" s="121"/>
      <c r="K257" s="5" t="str">
        <f t="shared" si="55"/>
        <v>DKKt</v>
      </c>
      <c r="L257" s="231">
        <f xml:space="preserve"> -- ( OR( O257 &lt;&gt; 0, P257 &lt;&gt; 0, R257 &lt;&gt; 0, T257 &lt;&gt; 0) )</f>
        <v>0</v>
      </c>
      <c r="M257" s="1"/>
      <c r="N257" s="1"/>
      <c r="O257" s="1">
        <f t="shared" si="56"/>
        <v>0</v>
      </c>
      <c r="P257" s="1">
        <f t="shared" si="56"/>
        <v>0</v>
      </c>
      <c r="Q257" s="344"/>
      <c r="R257" s="1">
        <f t="shared" si="57"/>
        <v>0</v>
      </c>
      <c r="S257" s="1">
        <f t="shared" si="57"/>
        <v>0</v>
      </c>
      <c r="T257" s="1">
        <f t="shared" si="57"/>
        <v>0</v>
      </c>
      <c r="U257" s="344"/>
      <c r="V257" s="344"/>
      <c r="W257" s="4">
        <f t="shared" si="58"/>
        <v>0</v>
      </c>
      <c r="X257" s="1"/>
      <c r="Y257" s="1"/>
    </row>
    <row r="258" spans="1:25" customFormat="1" ht="15" customHeight="1">
      <c r="A258" s="1"/>
      <c r="B258" s="1"/>
      <c r="C258" s="2"/>
      <c r="D258" s="1" t="str">
        <f>'2.1 Model setup'!K79</f>
        <v>4.2 Omkostninger vedrørende nettab i ledningsnettet</v>
      </c>
      <c r="E258" s="1"/>
      <c r="F258" s="121"/>
      <c r="G258" s="121"/>
      <c r="H258" s="121"/>
      <c r="I258" s="121"/>
      <c r="J258" s="121"/>
      <c r="K258" s="5" t="str">
        <f t="shared" si="55"/>
        <v>DKKt</v>
      </c>
      <c r="L258" s="231"/>
      <c r="M258" s="1"/>
      <c r="N258" s="1"/>
      <c r="O258" s="1">
        <f t="shared" si="56"/>
        <v>0</v>
      </c>
      <c r="P258" s="1">
        <f t="shared" si="56"/>
        <v>0</v>
      </c>
      <c r="Q258" s="344"/>
      <c r="R258" s="1">
        <f t="shared" si="57"/>
        <v>0</v>
      </c>
      <c r="S258" s="1">
        <f t="shared" si="57"/>
        <v>0</v>
      </c>
      <c r="T258" s="1">
        <f t="shared" si="57"/>
        <v>0</v>
      </c>
      <c r="U258" s="344"/>
      <c r="V258" s="344"/>
      <c r="W258" s="4">
        <f t="shared" si="58"/>
        <v>0</v>
      </c>
      <c r="X258" s="1"/>
      <c r="Y258" s="1"/>
    </row>
    <row r="259" spans="1:25" customFormat="1" ht="15" customHeight="1">
      <c r="A259" s="1"/>
      <c r="B259" s="1"/>
      <c r="C259" s="2"/>
      <c r="D259" s="1" t="str">
        <f>'2.1 Model setup'!K88</f>
        <v>5.1 Omkostninger til overliggende net ifm. indfødning</v>
      </c>
      <c r="E259" s="1"/>
      <c r="F259" s="121"/>
      <c r="G259" s="121"/>
      <c r="H259" s="121"/>
      <c r="I259" s="121"/>
      <c r="J259" s="121"/>
      <c r="K259" s="5" t="str">
        <f t="shared" si="55"/>
        <v>DKKt</v>
      </c>
      <c r="L259" s="231"/>
      <c r="M259" s="1"/>
      <c r="N259" s="1"/>
      <c r="O259" s="1">
        <f t="shared" si="56"/>
        <v>0</v>
      </c>
      <c r="P259" s="1">
        <f t="shared" si="56"/>
        <v>0</v>
      </c>
      <c r="Q259" s="344"/>
      <c r="R259" s="1">
        <f t="shared" si="57"/>
        <v>0</v>
      </c>
      <c r="S259" s="1">
        <f t="shared" si="57"/>
        <v>0</v>
      </c>
      <c r="T259" s="1">
        <f t="shared" si="57"/>
        <v>0</v>
      </c>
      <c r="U259" s="549">
        <f t="shared" si="57"/>
        <v>0</v>
      </c>
      <c r="V259" s="549">
        <f t="shared" si="57"/>
        <v>0</v>
      </c>
      <c r="W259" s="4">
        <f xml:space="preserve"> SUM( O259:V259 )</f>
        <v>0</v>
      </c>
      <c r="X259" s="1"/>
      <c r="Y259" s="1"/>
    </row>
    <row r="260" spans="1:25" customFormat="1" ht="15" customHeight="1">
      <c r="A260" s="1"/>
      <c r="B260" s="1"/>
      <c r="C260" s="2"/>
      <c r="D260" s="1" t="str">
        <f>'2.1 Model setup'!K81</f>
        <v>5.2 Øvrige omkostninger</v>
      </c>
      <c r="E260" s="1"/>
      <c r="F260" s="121"/>
      <c r="G260" s="121"/>
      <c r="H260" s="121"/>
      <c r="I260" s="121"/>
      <c r="J260" s="121"/>
      <c r="K260" s="5" t="str">
        <f t="shared" si="55"/>
        <v>DKKt</v>
      </c>
      <c r="L260" s="231"/>
      <c r="M260" s="1"/>
      <c r="N260" s="1"/>
      <c r="O260" s="1">
        <f t="shared" si="56"/>
        <v>0</v>
      </c>
      <c r="P260" s="1">
        <f t="shared" si="56"/>
        <v>0</v>
      </c>
      <c r="Q260" s="344"/>
      <c r="R260" s="1">
        <f t="shared" si="57"/>
        <v>0</v>
      </c>
      <c r="S260" s="1">
        <f t="shared" si="57"/>
        <v>0</v>
      </c>
      <c r="T260" s="1">
        <f t="shared" si="57"/>
        <v>0</v>
      </c>
      <c r="U260" s="344"/>
      <c r="V260" s="344"/>
      <c r="W260" s="4">
        <f xml:space="preserve"> SUM( O260:V260 )</f>
        <v>0</v>
      </c>
      <c r="X260" s="1"/>
      <c r="Y260" s="1"/>
    </row>
    <row r="261" spans="1:25" customFormat="1" ht="15" customHeight="1">
      <c r="A261" s="1"/>
      <c r="B261" s="1"/>
      <c r="C261" s="2"/>
      <c r="D261" s="1" t="str">
        <f>'2.1 Model setup'!K82</f>
        <v>6.1 Afskrivninger på transformerstationer</v>
      </c>
      <c r="E261" s="1"/>
      <c r="F261" s="121"/>
      <c r="G261" s="121"/>
      <c r="H261" s="121"/>
      <c r="I261" s="121"/>
      <c r="J261" s="121"/>
      <c r="K261" s="5" t="str">
        <f t="shared" si="55"/>
        <v>DKKt</v>
      </c>
      <c r="L261" s="231"/>
      <c r="M261" s="1"/>
      <c r="N261" s="1"/>
      <c r="O261" s="1">
        <f t="shared" si="56"/>
        <v>0</v>
      </c>
      <c r="P261" s="1">
        <f t="shared" si="56"/>
        <v>0</v>
      </c>
      <c r="Q261" s="344"/>
      <c r="R261" s="1">
        <f t="shared" si="57"/>
        <v>0</v>
      </c>
      <c r="S261" s="1">
        <f t="shared" si="57"/>
        <v>0</v>
      </c>
      <c r="T261" s="1">
        <f t="shared" si="57"/>
        <v>0</v>
      </c>
      <c r="U261" s="344"/>
      <c r="V261" s="344"/>
      <c r="W261" s="4">
        <f xml:space="preserve"> SUM( O261:V261 )</f>
        <v>0</v>
      </c>
      <c r="X261" s="1"/>
      <c r="Y261" s="1"/>
    </row>
    <row r="262" spans="1:25" customFormat="1" ht="15" customHeight="1">
      <c r="A262" s="1"/>
      <c r="B262" s="1"/>
      <c r="C262" s="2"/>
      <c r="D262" s="1" t="str">
        <f>'2.1 Model setup'!K83</f>
        <v>6.2 Afskrivninger på netaktiver ekskl. målere og transformerstationer</v>
      </c>
      <c r="E262" s="1"/>
      <c r="F262" s="121"/>
      <c r="G262" s="121"/>
      <c r="H262" s="121"/>
      <c r="I262" s="121"/>
      <c r="J262" s="121"/>
      <c r="K262" s="5" t="str">
        <f t="shared" si="55"/>
        <v>DKKt</v>
      </c>
      <c r="L262" s="231"/>
      <c r="M262" s="1"/>
      <c r="N262" s="1"/>
      <c r="O262" s="1">
        <f t="shared" si="56"/>
        <v>0</v>
      </c>
      <c r="P262" s="1">
        <f t="shared" si="56"/>
        <v>0</v>
      </c>
      <c r="Q262" s="344"/>
      <c r="R262" s="1">
        <f t="shared" si="57"/>
        <v>0</v>
      </c>
      <c r="S262" s="1">
        <f t="shared" si="57"/>
        <v>0</v>
      </c>
      <c r="T262" s="1">
        <f t="shared" si="57"/>
        <v>0</v>
      </c>
      <c r="U262" s="344"/>
      <c r="V262" s="344"/>
      <c r="W262" s="4">
        <f xml:space="preserve"> SUM( O262:V262 )</f>
        <v>0</v>
      </c>
      <c r="X262" s="1"/>
      <c r="Y262" s="1"/>
    </row>
    <row r="263" spans="1:25" customFormat="1" ht="15" customHeight="1">
      <c r="A263" s="1"/>
      <c r="B263" s="1"/>
      <c r="C263" s="2"/>
      <c r="D263" s="27" t="str">
        <f>'2.1 Model setup'!K84</f>
        <v>6.3 Afskrivninger på målere</v>
      </c>
      <c r="E263" s="27"/>
      <c r="F263" s="131"/>
      <c r="G263" s="131"/>
      <c r="H263" s="131"/>
      <c r="I263" s="131"/>
      <c r="J263" s="131"/>
      <c r="K263" s="32" t="str">
        <f t="shared" si="55"/>
        <v>DKKt</v>
      </c>
      <c r="L263" s="510"/>
      <c r="M263" s="27"/>
      <c r="N263" s="27"/>
      <c r="O263" s="27">
        <f t="shared" si="56"/>
        <v>0</v>
      </c>
      <c r="P263" s="27">
        <f t="shared" si="56"/>
        <v>0</v>
      </c>
      <c r="Q263" s="395"/>
      <c r="R263" s="27">
        <f t="shared" si="57"/>
        <v>0</v>
      </c>
      <c r="S263" s="27">
        <f t="shared" si="57"/>
        <v>0</v>
      </c>
      <c r="T263" s="27">
        <f t="shared" si="57"/>
        <v>0</v>
      </c>
      <c r="U263" s="395"/>
      <c r="V263" s="395"/>
      <c r="W263" s="35">
        <f xml:space="preserve"> SUM( O263:V263 )</f>
        <v>0</v>
      </c>
      <c r="X263" s="1"/>
      <c r="Y263" s="1"/>
    </row>
    <row r="264" spans="1:25" customFormat="1" ht="15" customHeight="1">
      <c r="A264" s="1"/>
      <c r="B264" s="1"/>
      <c r="C264" s="2"/>
      <c r="D264" s="97" t="s">
        <v>16</v>
      </c>
      <c r="E264" s="27"/>
      <c r="F264" s="104"/>
      <c r="G264" s="104"/>
      <c r="H264" s="104"/>
      <c r="I264" s="104"/>
      <c r="J264" s="104"/>
      <c r="K264" s="127" t="str">
        <f xml:space="preserve"> Model.Units</f>
        <v>DKKt</v>
      </c>
      <c r="L264" s="265">
        <f xml:space="preserve"> -- ( ROUND( W264, 5 ) &lt;&gt; ROUND(N85, 5 ))</f>
        <v>0</v>
      </c>
      <c r="M264" s="151"/>
      <c r="N264" s="315"/>
      <c r="O264" s="539">
        <f t="shared" ref="O264:V264" si="59" xml:space="preserve"> SUM( O249:O263 )</f>
        <v>0</v>
      </c>
      <c r="P264" s="539">
        <f t="shared" si="59"/>
        <v>0</v>
      </c>
      <c r="Q264" s="395"/>
      <c r="R264" s="539">
        <f t="shared" si="59"/>
        <v>0</v>
      </c>
      <c r="S264" s="539">
        <f t="shared" si="59"/>
        <v>0</v>
      </c>
      <c r="T264" s="539">
        <f t="shared" si="59"/>
        <v>0</v>
      </c>
      <c r="U264" s="539">
        <f t="shared" si="59"/>
        <v>0</v>
      </c>
      <c r="V264" s="539">
        <f t="shared" si="59"/>
        <v>0</v>
      </c>
      <c r="W264" s="539">
        <f xml:space="preserve"> SUM( W249:W263 )</f>
        <v>0</v>
      </c>
      <c r="X264" s="111"/>
      <c r="Y264" s="121"/>
    </row>
    <row r="265" spans="1:25" ht="15" customHeight="1">
      <c r="L265" s="231"/>
    </row>
    <row r="266" spans="1:25" ht="15" customHeight="1">
      <c r="L266" s="231"/>
    </row>
    <row r="267" spans="1:25" ht="15" customHeight="1">
      <c r="L267" s="231"/>
    </row>
    <row r="268" spans="1:25" s="475" customFormat="1" ht="15" customHeight="1">
      <c r="B268" s="479" t="str">
        <f xml:space="preserve"> COUNTA(B$10:B267) &amp; ") Vandfald"</f>
        <v>4) Vandfald</v>
      </c>
      <c r="C268" s="477"/>
      <c r="D268" s="478"/>
      <c r="L268" s="471"/>
    </row>
    <row r="269" spans="1:25" ht="15" customHeight="1">
      <c r="K269" s="1"/>
      <c r="L269" s="231"/>
    </row>
    <row r="270" spans="1:25" ht="15" customHeight="1">
      <c r="D270" s="88" t="s">
        <v>606</v>
      </c>
      <c r="L270" s="231"/>
      <c r="W270" s="89"/>
    </row>
    <row r="271" spans="1:25" ht="15" customHeight="1">
      <c r="D271" s="15" t="str">
        <f>'2.1 Model setup'!K70</f>
        <v>1.1 Drift og vedligeholdelse af transformerstationer</v>
      </c>
      <c r="E271" s="15"/>
      <c r="F271" s="150"/>
      <c r="G271" s="150"/>
      <c r="H271" s="150"/>
      <c r="I271" s="150"/>
      <c r="J271" s="150"/>
      <c r="K271" s="19" t="s">
        <v>41</v>
      </c>
      <c r="L271" s="537"/>
      <c r="M271" s="15"/>
      <c r="N271" s="15"/>
      <c r="O271" s="15">
        <f>'2.2 Generelle input'!O248</f>
        <v>0</v>
      </c>
      <c r="P271" s="15">
        <f>'2.2 Generelle input'!P248</f>
        <v>0</v>
      </c>
      <c r="Q271" s="536"/>
      <c r="R271" s="15">
        <f>'2.2 Generelle input'!R248</f>
        <v>1</v>
      </c>
      <c r="S271" s="15">
        <f>'2.2 Generelle input'!S248</f>
        <v>1</v>
      </c>
      <c r="T271" s="15">
        <f>'2.2 Generelle input'!T248</f>
        <v>1</v>
      </c>
      <c r="U271" s="15">
        <f>'2.2 Generelle input'!U248</f>
        <v>1</v>
      </c>
      <c r="V271" s="15">
        <f>'2.2 Generelle input'!V248</f>
        <v>1</v>
      </c>
      <c r="W271" s="15"/>
    </row>
    <row r="272" spans="1:25" ht="15" customHeight="1">
      <c r="D272" s="1" t="str">
        <f>'2.1 Model setup'!K71</f>
        <v>1.2 Drift og vedligeholdelse af ledningsnet</v>
      </c>
      <c r="F272" s="121"/>
      <c r="G272" s="121"/>
      <c r="H272" s="121"/>
      <c r="I272" s="121"/>
      <c r="J272" s="121"/>
      <c r="K272" s="5" t="s">
        <v>41</v>
      </c>
      <c r="L272" s="231"/>
      <c r="O272" s="1">
        <f>'2.2 Generelle input'!O249</f>
        <v>0</v>
      </c>
      <c r="P272" s="1">
        <f>'2.2 Generelle input'!P249</f>
        <v>0</v>
      </c>
      <c r="Q272" s="344"/>
      <c r="R272" s="1">
        <f>'2.2 Generelle input'!R249</f>
        <v>1</v>
      </c>
      <c r="S272" s="1">
        <f>'2.2 Generelle input'!S249</f>
        <v>1</v>
      </c>
      <c r="T272" s="1">
        <f>'2.2 Generelle input'!T249</f>
        <v>1</v>
      </c>
      <c r="U272" s="1">
        <f>'2.2 Generelle input'!U249</f>
        <v>1</v>
      </c>
      <c r="V272" s="1">
        <f>'2.2 Generelle input'!V249</f>
        <v>1</v>
      </c>
    </row>
    <row r="273" spans="1:25" ht="15" customHeight="1">
      <c r="D273" s="1" t="str">
        <f>'2.1 Model setup'!K72</f>
        <v>1.3 Øvrige omkostninger til drift, styring og kontrol af elnettet</v>
      </c>
      <c r="F273" s="121"/>
      <c r="G273" s="121"/>
      <c r="H273" s="121"/>
      <c r="I273" s="121"/>
      <c r="J273" s="121"/>
      <c r="K273" s="5" t="s">
        <v>41</v>
      </c>
      <c r="L273" s="231"/>
      <c r="O273" s="1">
        <f>'2.2 Generelle input'!O250</f>
        <v>0</v>
      </c>
      <c r="P273" s="1">
        <f>'2.2 Generelle input'!P250</f>
        <v>0</v>
      </c>
      <c r="Q273" s="344"/>
      <c r="R273" s="1">
        <f>'2.2 Generelle input'!R250</f>
        <v>0</v>
      </c>
      <c r="S273" s="1">
        <f>'2.2 Generelle input'!S250</f>
        <v>0</v>
      </c>
      <c r="T273" s="1">
        <f>'2.2 Generelle input'!T250</f>
        <v>0</v>
      </c>
      <c r="U273" s="1">
        <f>'2.2 Generelle input'!U250</f>
        <v>0</v>
      </c>
      <c r="V273" s="1">
        <f>'2.2 Generelle input'!V250</f>
        <v>0</v>
      </c>
    </row>
    <row r="274" spans="1:25" ht="15" customHeight="1">
      <c r="D274" s="1" t="str">
        <f>'2.1 Model setup'!K73</f>
        <v>1.4 Omkostninger vedrørende 132-150/30-60 kV-stationer</v>
      </c>
      <c r="F274" s="121"/>
      <c r="G274" s="121"/>
      <c r="H274" s="121"/>
      <c r="I274" s="121"/>
      <c r="J274" s="121"/>
      <c r="K274" s="5" t="s">
        <v>41</v>
      </c>
      <c r="L274" s="231"/>
      <c r="O274" s="1">
        <f>'2.2 Generelle input'!O251</f>
        <v>1</v>
      </c>
      <c r="P274" s="1">
        <f>'2.2 Generelle input'!P251</f>
        <v>1</v>
      </c>
      <c r="Q274" s="344"/>
      <c r="R274" s="1">
        <f>'2.2 Generelle input'!R251</f>
        <v>0</v>
      </c>
      <c r="S274" s="1">
        <f>'2.2 Generelle input'!S251</f>
        <v>0</v>
      </c>
      <c r="T274" s="1">
        <f>'2.2 Generelle input'!T251</f>
        <v>0</v>
      </c>
      <c r="U274" s="1">
        <f>'2.2 Generelle input'!U251</f>
        <v>0</v>
      </c>
      <c r="V274" s="1">
        <f>'2.2 Generelle input'!V251</f>
        <v>0</v>
      </c>
    </row>
    <row r="275" spans="1:25" ht="15" customHeight="1">
      <c r="D275" s="1" t="str">
        <f>'2.1 Model setup'!K74</f>
        <v>2.1 Drift og vedligeholdelse af målere</v>
      </c>
      <c r="F275" s="121"/>
      <c r="G275" s="121"/>
      <c r="H275" s="121"/>
      <c r="I275" s="121"/>
      <c r="J275" s="121"/>
      <c r="K275" s="5" t="s">
        <v>41</v>
      </c>
      <c r="L275" s="231"/>
      <c r="O275" s="1">
        <f>'2.2 Generelle input'!O252</f>
        <v>0</v>
      </c>
      <c r="P275" s="1">
        <f>'2.2 Generelle input'!P252</f>
        <v>0</v>
      </c>
      <c r="Q275" s="344"/>
      <c r="R275" s="1">
        <f>'2.2 Generelle input'!R252</f>
        <v>0</v>
      </c>
      <c r="S275" s="1">
        <f>'2.2 Generelle input'!S252</f>
        <v>0</v>
      </c>
      <c r="T275" s="1">
        <f>'2.2 Generelle input'!T252</f>
        <v>0</v>
      </c>
      <c r="U275" s="1">
        <f>'2.2 Generelle input'!U252</f>
        <v>0</v>
      </c>
      <c r="V275" s="1">
        <f>'2.2 Generelle input'!V252</f>
        <v>0</v>
      </c>
    </row>
    <row r="276" spans="1:25" ht="15" customHeight="1">
      <c r="D276" s="1" t="str">
        <f>'2.1 Model setup'!K75</f>
        <v>2.2 Indhentning og validering af målerdata</v>
      </c>
      <c r="F276" s="121"/>
      <c r="G276" s="121"/>
      <c r="H276" s="121"/>
      <c r="I276" s="121"/>
      <c r="J276" s="121"/>
      <c r="K276" s="5" t="s">
        <v>41</v>
      </c>
      <c r="L276" s="231"/>
      <c r="O276" s="1">
        <f>'2.2 Generelle input'!O253</f>
        <v>0</v>
      </c>
      <c r="P276" s="1">
        <f>'2.2 Generelle input'!P253</f>
        <v>0</v>
      </c>
      <c r="Q276" s="344"/>
      <c r="R276" s="1">
        <f>'2.2 Generelle input'!R253</f>
        <v>0</v>
      </c>
      <c r="S276" s="1">
        <f>'2.2 Generelle input'!S253</f>
        <v>0</v>
      </c>
      <c r="T276" s="1">
        <f>'2.2 Generelle input'!T253</f>
        <v>0</v>
      </c>
      <c r="U276" s="1">
        <f>'2.2 Generelle input'!U253</f>
        <v>0</v>
      </c>
      <c r="V276" s="1">
        <f>'2.2 Generelle input'!V253</f>
        <v>0</v>
      </c>
    </row>
    <row r="277" spans="1:25" ht="15" customHeight="1">
      <c r="D277" s="1" t="str">
        <f>'2.1 Model setup'!K76</f>
        <v>2.3 Måleradministration og kundehåndtering</v>
      </c>
      <c r="F277" s="121"/>
      <c r="G277" s="121"/>
      <c r="H277" s="121"/>
      <c r="I277" s="121"/>
      <c r="J277" s="121"/>
      <c r="K277" s="5" t="s">
        <v>41</v>
      </c>
      <c r="L277" s="231"/>
      <c r="O277" s="1">
        <f>'2.2 Generelle input'!O254</f>
        <v>0</v>
      </c>
      <c r="P277" s="1">
        <f>'2.2 Generelle input'!P254</f>
        <v>0</v>
      </c>
      <c r="Q277" s="344"/>
      <c r="R277" s="1">
        <f>'2.2 Generelle input'!R254</f>
        <v>0</v>
      </c>
      <c r="S277" s="1">
        <f>'2.2 Generelle input'!S254</f>
        <v>0</v>
      </c>
      <c r="T277" s="1">
        <f>'2.2 Generelle input'!T254</f>
        <v>0</v>
      </c>
      <c r="U277" s="1">
        <f>'2.2 Generelle input'!U254</f>
        <v>0</v>
      </c>
      <c r="V277" s="1">
        <f>'2.2 Generelle input'!V254</f>
        <v>0</v>
      </c>
    </row>
    <row r="278" spans="1:25" ht="15" customHeight="1">
      <c r="D278" s="1" t="str">
        <f>'2.1 Model setup'!K77</f>
        <v>3.1 Generel administration</v>
      </c>
      <c r="F278" s="121"/>
      <c r="G278" s="121"/>
      <c r="H278" s="121"/>
      <c r="I278" s="121"/>
      <c r="J278" s="121"/>
      <c r="K278" s="5" t="s">
        <v>41</v>
      </c>
      <c r="L278" s="231"/>
      <c r="O278" s="1">
        <f>'2.2 Generelle input'!O255</f>
        <v>0</v>
      </c>
      <c r="P278" s="1">
        <f>'2.2 Generelle input'!P255</f>
        <v>0</v>
      </c>
      <c r="Q278" s="344"/>
      <c r="R278" s="1">
        <f>'2.2 Generelle input'!R255</f>
        <v>0</v>
      </c>
      <c r="S278" s="1">
        <f>'2.2 Generelle input'!S255</f>
        <v>0</v>
      </c>
      <c r="T278" s="1">
        <f>'2.2 Generelle input'!T255</f>
        <v>0</v>
      </c>
      <c r="U278" s="1">
        <f>'2.2 Generelle input'!U255</f>
        <v>0</v>
      </c>
      <c r="V278" s="1">
        <f>'2.2 Generelle input'!V255</f>
        <v>0</v>
      </c>
    </row>
    <row r="279" spans="1:25" ht="15" customHeight="1">
      <c r="D279" s="1" t="str">
        <f>'2.1 Model setup'!K78</f>
        <v>4.1 Omkostninger vedrørende nettab i transformerstationer</v>
      </c>
      <c r="F279" s="121"/>
      <c r="G279" s="121"/>
      <c r="H279" s="121"/>
      <c r="I279" s="121"/>
      <c r="J279" s="121"/>
      <c r="K279" s="5" t="s">
        <v>41</v>
      </c>
      <c r="L279" s="231"/>
      <c r="O279" s="1">
        <f>'2.2 Generelle input'!O256</f>
        <v>0</v>
      </c>
      <c r="P279" s="1">
        <f>'2.2 Generelle input'!P256</f>
        <v>0</v>
      </c>
      <c r="Q279" s="344"/>
      <c r="R279" s="1">
        <f>'2.2 Generelle input'!R256</f>
        <v>1</v>
      </c>
      <c r="S279" s="1">
        <f>'2.2 Generelle input'!S256</f>
        <v>1</v>
      </c>
      <c r="T279" s="1">
        <f>'2.2 Generelle input'!T256</f>
        <v>1</v>
      </c>
      <c r="U279" s="1">
        <f>'2.2 Generelle input'!U256</f>
        <v>1</v>
      </c>
      <c r="V279" s="1">
        <f>'2.2 Generelle input'!V256</f>
        <v>1</v>
      </c>
    </row>
    <row r="280" spans="1:25" ht="15" customHeight="1">
      <c r="D280" s="1" t="str">
        <f>'2.1 Model setup'!K79</f>
        <v>4.2 Omkostninger vedrørende nettab i ledningsnettet</v>
      </c>
      <c r="F280" s="121"/>
      <c r="G280" s="121"/>
      <c r="H280" s="121"/>
      <c r="I280" s="121"/>
      <c r="J280" s="121"/>
      <c r="K280" s="5" t="s">
        <v>41</v>
      </c>
      <c r="L280" s="231"/>
      <c r="O280" s="1">
        <f>'2.2 Generelle input'!O257</f>
        <v>0</v>
      </c>
      <c r="P280" s="1">
        <f>'2.2 Generelle input'!P257</f>
        <v>0</v>
      </c>
      <c r="Q280" s="344"/>
      <c r="R280" s="1">
        <f>'2.2 Generelle input'!R257</f>
        <v>1</v>
      </c>
      <c r="S280" s="1">
        <f>'2.2 Generelle input'!S257</f>
        <v>1</v>
      </c>
      <c r="T280" s="1">
        <f>'2.2 Generelle input'!T257</f>
        <v>1</v>
      </c>
      <c r="U280" s="1">
        <f>'2.2 Generelle input'!U257</f>
        <v>1</v>
      </c>
      <c r="V280" s="1">
        <f>'2.2 Generelle input'!V257</f>
        <v>1</v>
      </c>
    </row>
    <row r="281" spans="1:25" ht="15" customHeight="1">
      <c r="D281" s="1" t="str">
        <f>'2.1 Model setup'!K88</f>
        <v>5.1 Omkostninger til overliggende net ifm. indfødning</v>
      </c>
      <c r="F281" s="121"/>
      <c r="G281" s="121"/>
      <c r="H281" s="121"/>
      <c r="I281" s="121"/>
      <c r="J281" s="121"/>
      <c r="K281" s="5" t="s">
        <v>41</v>
      </c>
      <c r="L281" s="231"/>
      <c r="O281" s="1">
        <f>'2.2 Generelle input'!O258</f>
        <v>1</v>
      </c>
      <c r="P281" s="1">
        <f>'2.2 Generelle input'!P258</f>
        <v>1</v>
      </c>
      <c r="Q281" s="344"/>
      <c r="R281" s="1">
        <f>'2.2 Generelle input'!R258</f>
        <v>1</v>
      </c>
      <c r="S281" s="1">
        <f>'2.2 Generelle input'!S258</f>
        <v>1</v>
      </c>
      <c r="T281" s="1">
        <f>'2.2 Generelle input'!T258</f>
        <v>1</v>
      </c>
      <c r="U281" s="1">
        <f>'2.2 Generelle input'!U258</f>
        <v>1</v>
      </c>
      <c r="V281" s="1">
        <f>'2.2 Generelle input'!V258</f>
        <v>1</v>
      </c>
    </row>
    <row r="282" spans="1:25" ht="15" customHeight="1">
      <c r="D282" s="1" t="str">
        <f>'2.1 Model setup'!K81</f>
        <v>5.2 Øvrige omkostninger</v>
      </c>
      <c r="F282" s="121"/>
      <c r="G282" s="121"/>
      <c r="H282" s="121"/>
      <c r="I282" s="121"/>
      <c r="J282" s="121"/>
      <c r="K282" s="5" t="s">
        <v>41</v>
      </c>
      <c r="L282" s="231"/>
      <c r="O282" s="1">
        <f>'2.2 Generelle input'!O259</f>
        <v>0</v>
      </c>
      <c r="P282" s="1">
        <f>'2.2 Generelle input'!P259</f>
        <v>0</v>
      </c>
      <c r="Q282" s="344"/>
      <c r="R282" s="1">
        <f>'2.2 Generelle input'!R259</f>
        <v>0</v>
      </c>
      <c r="S282" s="1">
        <f>'2.2 Generelle input'!S259</f>
        <v>0</v>
      </c>
      <c r="T282" s="1">
        <f>'2.2 Generelle input'!T259</f>
        <v>0</v>
      </c>
      <c r="U282" s="1">
        <f>'2.2 Generelle input'!U259</f>
        <v>0</v>
      </c>
      <c r="V282" s="1">
        <f>'2.2 Generelle input'!V259</f>
        <v>0</v>
      </c>
    </row>
    <row r="283" spans="1:25" ht="15" customHeight="1">
      <c r="D283" s="1" t="str">
        <f>'2.1 Model setup'!K82</f>
        <v>6.1 Afskrivninger på transformerstationer</v>
      </c>
      <c r="F283" s="121"/>
      <c r="G283" s="121"/>
      <c r="H283" s="121"/>
      <c r="I283" s="121"/>
      <c r="J283" s="121"/>
      <c r="K283" s="5" t="s">
        <v>41</v>
      </c>
      <c r="L283" s="231"/>
      <c r="O283" s="1">
        <f>'2.2 Generelle input'!O260</f>
        <v>0</v>
      </c>
      <c r="P283" s="1">
        <f>'2.2 Generelle input'!P260</f>
        <v>0</v>
      </c>
      <c r="Q283" s="344"/>
      <c r="R283" s="1">
        <f>'2.2 Generelle input'!R260</f>
        <v>0</v>
      </c>
      <c r="S283" s="1">
        <f>'2.2 Generelle input'!S260</f>
        <v>0</v>
      </c>
      <c r="T283" s="1">
        <f>'2.2 Generelle input'!T260</f>
        <v>0</v>
      </c>
      <c r="U283" s="1">
        <f>'2.2 Generelle input'!U260</f>
        <v>0</v>
      </c>
      <c r="V283" s="1">
        <f>'2.2 Generelle input'!V260</f>
        <v>0</v>
      </c>
    </row>
    <row r="284" spans="1:25" ht="15" customHeight="1">
      <c r="D284" s="1" t="str">
        <f>'2.1 Model setup'!K83</f>
        <v>6.2 Afskrivninger på netaktiver ekskl. målere og transformerstationer</v>
      </c>
      <c r="F284" s="121"/>
      <c r="G284" s="121"/>
      <c r="H284" s="121"/>
      <c r="I284" s="121"/>
      <c r="J284" s="121"/>
      <c r="K284" s="5" t="s">
        <v>41</v>
      </c>
      <c r="L284" s="231"/>
      <c r="O284" s="1">
        <f>'2.2 Generelle input'!O261</f>
        <v>0</v>
      </c>
      <c r="P284" s="1">
        <f>'2.2 Generelle input'!P261</f>
        <v>0</v>
      </c>
      <c r="Q284" s="344"/>
      <c r="R284" s="1">
        <f>'2.2 Generelle input'!R261</f>
        <v>0</v>
      </c>
      <c r="S284" s="1">
        <f>'2.2 Generelle input'!S261</f>
        <v>0</v>
      </c>
      <c r="T284" s="1">
        <f>'2.2 Generelle input'!T261</f>
        <v>0</v>
      </c>
      <c r="U284" s="1">
        <f>'2.2 Generelle input'!U261</f>
        <v>0</v>
      </c>
      <c r="V284" s="1">
        <f>'2.2 Generelle input'!V261</f>
        <v>0</v>
      </c>
    </row>
    <row r="285" spans="1:25" ht="15" customHeight="1">
      <c r="D285" s="27" t="str">
        <f>'2.1 Model setup'!K84</f>
        <v>6.3 Afskrivninger på målere</v>
      </c>
      <c r="E285" s="27"/>
      <c r="F285" s="131"/>
      <c r="G285" s="131"/>
      <c r="H285" s="131"/>
      <c r="I285" s="131"/>
      <c r="J285" s="131"/>
      <c r="K285" s="32" t="s">
        <v>41</v>
      </c>
      <c r="L285" s="510"/>
      <c r="M285" s="27"/>
      <c r="N285" s="27"/>
      <c r="O285" s="27">
        <f>'2.2 Generelle input'!O262</f>
        <v>0</v>
      </c>
      <c r="P285" s="27">
        <f>'2.2 Generelle input'!P262</f>
        <v>0</v>
      </c>
      <c r="Q285" s="395"/>
      <c r="R285" s="27">
        <f>'2.2 Generelle input'!R262</f>
        <v>0</v>
      </c>
      <c r="S285" s="27">
        <f>'2.2 Generelle input'!S262</f>
        <v>0</v>
      </c>
      <c r="T285" s="27">
        <f>'2.2 Generelle input'!T262</f>
        <v>0</v>
      </c>
      <c r="U285" s="27">
        <f>'2.2 Generelle input'!U262</f>
        <v>0</v>
      </c>
      <c r="V285" s="27">
        <f>'2.2 Generelle input'!V262</f>
        <v>0</v>
      </c>
      <c r="W285" s="27"/>
    </row>
    <row r="286" spans="1:25" ht="15" customHeight="1">
      <c r="D286" s="1"/>
      <c r="F286" s="121"/>
      <c r="G286" s="121"/>
      <c r="H286" s="121"/>
      <c r="I286" s="121"/>
      <c r="J286" s="121"/>
      <c r="L286" s="231"/>
    </row>
    <row r="287" spans="1:25" customFormat="1" ht="15" customHeight="1">
      <c r="A287" s="1"/>
      <c r="B287" s="1"/>
      <c r="C287" s="2"/>
      <c r="D287" s="4" t="s">
        <v>592</v>
      </c>
      <c r="E287" s="1"/>
      <c r="F287" s="107"/>
      <c r="G287" s="107"/>
      <c r="H287" s="107"/>
      <c r="I287" s="107"/>
      <c r="J287" s="107"/>
      <c r="K287" s="87"/>
      <c r="L287" s="264"/>
      <c r="M287" s="85"/>
      <c r="N287" s="107"/>
      <c r="O287" s="107"/>
      <c r="P287" s="107"/>
      <c r="Q287" s="107"/>
      <c r="R287" s="1"/>
      <c r="S287" s="1"/>
      <c r="T287" s="1"/>
      <c r="U287" s="1"/>
      <c r="V287" s="1"/>
      <c r="W287" s="194" t="s">
        <v>16</v>
      </c>
      <c r="X287" s="1"/>
      <c r="Y287" s="1"/>
    </row>
    <row r="288" spans="1:25" customFormat="1" ht="15" customHeight="1">
      <c r="A288" s="1"/>
      <c r="B288" s="1"/>
      <c r="C288" s="2"/>
      <c r="D288" s="15" t="str">
        <f>'2.1 Model setup'!K70</f>
        <v>1.1 Drift og vedligeholdelse af transformerstationer</v>
      </c>
      <c r="E288" s="15"/>
      <c r="F288" s="150"/>
      <c r="G288" s="150"/>
      <c r="H288" s="150"/>
      <c r="I288" s="150"/>
      <c r="J288" s="150"/>
      <c r="K288" s="19" t="str">
        <f t="shared" ref="K288:K302" si="60">Model.Units2</f>
        <v>kWh</v>
      </c>
      <c r="L288" s="537"/>
      <c r="M288" s="15"/>
      <c r="N288" s="15"/>
      <c r="O288" s="15">
        <f>'2.3 Selskabsspecifikke input'!O$310*O271</f>
        <v>0</v>
      </c>
      <c r="P288" s="15">
        <f>'2.3 Selskabsspecifikke input'!P$310*P271</f>
        <v>0</v>
      </c>
      <c r="Q288" s="536"/>
      <c r="R288" s="15">
        <f>'2.3 Selskabsspecifikke input'!R$310*R271</f>
        <v>0</v>
      </c>
      <c r="S288" s="15">
        <f>'2.3 Selskabsspecifikke input'!S$310*S271</f>
        <v>0</v>
      </c>
      <c r="T288" s="15">
        <f>'2.3 Selskabsspecifikke input'!T$310*T271</f>
        <v>0</v>
      </c>
      <c r="U288" s="15">
        <f>'2.3 Selskabsspecifikke input'!U$310*U271</f>
        <v>0</v>
      </c>
      <c r="V288" s="15">
        <f>'2.3 Selskabsspecifikke input'!V$310*V271</f>
        <v>0</v>
      </c>
      <c r="W288" s="18">
        <f xml:space="preserve"> SUM( O288:V288 )</f>
        <v>0</v>
      </c>
      <c r="X288" s="111"/>
      <c r="Y288" s="121"/>
    </row>
    <row r="289" spans="1:25" customFormat="1" ht="15" customHeight="1">
      <c r="A289" s="1"/>
      <c r="B289" s="1"/>
      <c r="C289" s="2"/>
      <c r="D289" s="1" t="str">
        <f>'2.1 Model setup'!K71</f>
        <v>1.2 Drift og vedligeholdelse af ledningsnet</v>
      </c>
      <c r="E289" s="1"/>
      <c r="F289" s="121"/>
      <c r="G289" s="121"/>
      <c r="H289" s="121"/>
      <c r="I289" s="121"/>
      <c r="J289" s="121"/>
      <c r="K289" s="5" t="str">
        <f t="shared" si="60"/>
        <v>kWh</v>
      </c>
      <c r="L289" s="231"/>
      <c r="M289" s="1"/>
      <c r="N289" s="1"/>
      <c r="O289" s="1">
        <f>'2.3 Selskabsspecifikke input'!O$310*O272</f>
        <v>0</v>
      </c>
      <c r="P289" s="1">
        <f>'2.3 Selskabsspecifikke input'!P$310*P272</f>
        <v>0</v>
      </c>
      <c r="Q289" s="344"/>
      <c r="R289" s="1">
        <f>'2.3 Selskabsspecifikke input'!R$310*R272</f>
        <v>0</v>
      </c>
      <c r="S289" s="1">
        <f>'2.3 Selskabsspecifikke input'!S$310*S272</f>
        <v>0</v>
      </c>
      <c r="T289" s="1">
        <f>'2.3 Selskabsspecifikke input'!T$310*T272</f>
        <v>0</v>
      </c>
      <c r="U289" s="1">
        <f>'2.3 Selskabsspecifikke input'!U$310*U272</f>
        <v>0</v>
      </c>
      <c r="V289" s="1">
        <f>'2.3 Selskabsspecifikke input'!V$310*V272</f>
        <v>0</v>
      </c>
      <c r="W289" s="4">
        <f t="shared" ref="W289:W300" si="61" xml:space="preserve"> SUM( O289:V289 )</f>
        <v>0</v>
      </c>
      <c r="X289" s="111"/>
      <c r="Y289" s="121"/>
    </row>
    <row r="290" spans="1:25" customFormat="1" ht="15" customHeight="1">
      <c r="A290" s="1"/>
      <c r="B290" s="1"/>
      <c r="C290" s="2"/>
      <c r="D290" s="1" t="str">
        <f>'2.1 Model setup'!K72</f>
        <v>1.3 Øvrige omkostninger til drift, styring og kontrol af elnettet</v>
      </c>
      <c r="E290" s="1"/>
      <c r="F290" s="121"/>
      <c r="G290" s="121"/>
      <c r="H290" s="121"/>
      <c r="I290" s="121"/>
      <c r="J290" s="121"/>
      <c r="K290" s="5" t="str">
        <f t="shared" si="60"/>
        <v>kWh</v>
      </c>
      <c r="L290" s="231"/>
      <c r="M290" s="1"/>
      <c r="N290" s="1"/>
      <c r="O290" s="1">
        <f>'2.3 Selskabsspecifikke input'!O$310*O273</f>
        <v>0</v>
      </c>
      <c r="P290" s="1">
        <f>'2.3 Selskabsspecifikke input'!P$310*P273</f>
        <v>0</v>
      </c>
      <c r="Q290" s="344"/>
      <c r="R290" s="1">
        <f>'2.3 Selskabsspecifikke input'!R$310*R273</f>
        <v>0</v>
      </c>
      <c r="S290" s="1">
        <f>'2.3 Selskabsspecifikke input'!S$310*S273</f>
        <v>0</v>
      </c>
      <c r="T290" s="1">
        <f>'2.3 Selskabsspecifikke input'!T$310*T273</f>
        <v>0</v>
      </c>
      <c r="U290" s="1">
        <f>'2.3 Selskabsspecifikke input'!U$310*U273</f>
        <v>0</v>
      </c>
      <c r="V290" s="1">
        <f>'2.3 Selskabsspecifikke input'!V$310*V273</f>
        <v>0</v>
      </c>
      <c r="W290" s="4">
        <f t="shared" si="61"/>
        <v>0</v>
      </c>
      <c r="X290" s="111"/>
      <c r="Y290" s="121"/>
    </row>
    <row r="291" spans="1:25" customFormat="1" ht="15" customHeight="1">
      <c r="A291" s="1"/>
      <c r="B291" s="1"/>
      <c r="C291" s="2"/>
      <c r="D291" s="1" t="str">
        <f>'2.1 Model setup'!K73</f>
        <v>1.4 Omkostninger vedrørende 132-150/30-60 kV-stationer</v>
      </c>
      <c r="E291" s="1"/>
      <c r="F291" s="121"/>
      <c r="G291" s="121"/>
      <c r="H291" s="121"/>
      <c r="I291" s="121"/>
      <c r="J291" s="121"/>
      <c r="K291" s="5" t="str">
        <f t="shared" si="60"/>
        <v>kWh</v>
      </c>
      <c r="L291" s="231"/>
      <c r="M291" s="1"/>
      <c r="N291" s="1"/>
      <c r="O291" s="1">
        <f>'2.3 Selskabsspecifikke input'!O$310*O274</f>
        <v>0</v>
      </c>
      <c r="P291" s="1">
        <f>'2.3 Selskabsspecifikke input'!P$310*P274</f>
        <v>0</v>
      </c>
      <c r="Q291" s="344"/>
      <c r="R291" s="1">
        <f>'2.3 Selskabsspecifikke input'!R$310*R274</f>
        <v>0</v>
      </c>
      <c r="S291" s="1">
        <f>'2.3 Selskabsspecifikke input'!S$310*S274</f>
        <v>0</v>
      </c>
      <c r="T291" s="1">
        <f>'2.3 Selskabsspecifikke input'!T$310*T274</f>
        <v>0</v>
      </c>
      <c r="U291" s="1">
        <f>'2.3 Selskabsspecifikke input'!U$310*U274</f>
        <v>0</v>
      </c>
      <c r="V291" s="1">
        <f>'2.3 Selskabsspecifikke input'!V$310*V274</f>
        <v>0</v>
      </c>
      <c r="W291" s="4">
        <f t="shared" si="61"/>
        <v>0</v>
      </c>
      <c r="X291" s="111"/>
      <c r="Y291" s="121"/>
    </row>
    <row r="292" spans="1:25" customFormat="1" ht="15" customHeight="1">
      <c r="A292" s="1"/>
      <c r="B292" s="1"/>
      <c r="C292" s="2"/>
      <c r="D292" s="1" t="str">
        <f>'2.1 Model setup'!K74</f>
        <v>2.1 Drift og vedligeholdelse af målere</v>
      </c>
      <c r="E292" s="1"/>
      <c r="F292" s="121"/>
      <c r="G292" s="121"/>
      <c r="H292" s="121"/>
      <c r="I292" s="121"/>
      <c r="J292" s="121"/>
      <c r="K292" s="5" t="str">
        <f t="shared" si="60"/>
        <v>kWh</v>
      </c>
      <c r="L292" s="231"/>
      <c r="M292" s="1"/>
      <c r="N292" s="1"/>
      <c r="O292" s="1">
        <f>'2.3 Selskabsspecifikke input'!O$310*O275</f>
        <v>0</v>
      </c>
      <c r="P292" s="1">
        <f>'2.3 Selskabsspecifikke input'!P$310*P275</f>
        <v>0</v>
      </c>
      <c r="Q292" s="344"/>
      <c r="R292" s="1">
        <f>'2.3 Selskabsspecifikke input'!R$310*R275</f>
        <v>0</v>
      </c>
      <c r="S292" s="1">
        <f>'2.3 Selskabsspecifikke input'!S$310*S275</f>
        <v>0</v>
      </c>
      <c r="T292" s="1">
        <f>'2.3 Selskabsspecifikke input'!T$310*T275</f>
        <v>0</v>
      </c>
      <c r="U292" s="1">
        <f>'2.3 Selskabsspecifikke input'!U$310*U275</f>
        <v>0</v>
      </c>
      <c r="V292" s="1">
        <f>'2.3 Selskabsspecifikke input'!V$310*V275</f>
        <v>0</v>
      </c>
      <c r="W292" s="4">
        <f t="shared" si="61"/>
        <v>0</v>
      </c>
      <c r="X292" s="111"/>
      <c r="Y292" s="121"/>
    </row>
    <row r="293" spans="1:25" customFormat="1" ht="15" customHeight="1">
      <c r="A293" s="1"/>
      <c r="B293" s="1"/>
      <c r="C293" s="2"/>
      <c r="D293" s="1" t="str">
        <f>'2.1 Model setup'!K75</f>
        <v>2.2 Indhentning og validering af målerdata</v>
      </c>
      <c r="E293" s="1"/>
      <c r="F293" s="121"/>
      <c r="G293" s="121"/>
      <c r="H293" s="121"/>
      <c r="I293" s="121"/>
      <c r="J293" s="121"/>
      <c r="K293" s="5" t="str">
        <f t="shared" si="60"/>
        <v>kWh</v>
      </c>
      <c r="L293" s="231"/>
      <c r="M293" s="1"/>
      <c r="N293" s="1"/>
      <c r="O293" s="1">
        <f>'2.3 Selskabsspecifikke input'!O$310*O276</f>
        <v>0</v>
      </c>
      <c r="P293" s="1">
        <f>'2.3 Selskabsspecifikke input'!P$310*P276</f>
        <v>0</v>
      </c>
      <c r="Q293" s="344"/>
      <c r="R293" s="1">
        <f>'2.3 Selskabsspecifikke input'!R$310*R276</f>
        <v>0</v>
      </c>
      <c r="S293" s="1">
        <f>'2.3 Selskabsspecifikke input'!S$310*S276</f>
        <v>0</v>
      </c>
      <c r="T293" s="1">
        <f>'2.3 Selskabsspecifikke input'!T$310*T276</f>
        <v>0</v>
      </c>
      <c r="U293" s="1">
        <f>'2.3 Selskabsspecifikke input'!U$310*U276</f>
        <v>0</v>
      </c>
      <c r="V293" s="1">
        <f>'2.3 Selskabsspecifikke input'!V$310*V276</f>
        <v>0</v>
      </c>
      <c r="W293" s="4">
        <f t="shared" si="61"/>
        <v>0</v>
      </c>
      <c r="X293" s="111"/>
      <c r="Y293" s="121"/>
    </row>
    <row r="294" spans="1:25" customFormat="1" ht="15" customHeight="1">
      <c r="A294" s="1"/>
      <c r="B294" s="1"/>
      <c r="C294" s="2"/>
      <c r="D294" s="1" t="str">
        <f>'2.1 Model setup'!K76</f>
        <v>2.3 Måleradministration og kundehåndtering</v>
      </c>
      <c r="E294" s="1"/>
      <c r="F294" s="121"/>
      <c r="G294" s="121"/>
      <c r="H294" s="121"/>
      <c r="I294" s="121"/>
      <c r="J294" s="121"/>
      <c r="K294" s="5" t="str">
        <f t="shared" si="60"/>
        <v>kWh</v>
      </c>
      <c r="L294" s="231"/>
      <c r="M294" s="1"/>
      <c r="N294" s="1"/>
      <c r="O294" s="1">
        <f>'2.3 Selskabsspecifikke input'!O$310*O277</f>
        <v>0</v>
      </c>
      <c r="P294" s="1">
        <f>'2.3 Selskabsspecifikke input'!P$310*P277</f>
        <v>0</v>
      </c>
      <c r="Q294" s="344"/>
      <c r="R294" s="1">
        <f>'2.3 Selskabsspecifikke input'!R$310*R277</f>
        <v>0</v>
      </c>
      <c r="S294" s="1">
        <f>'2.3 Selskabsspecifikke input'!S$310*S277</f>
        <v>0</v>
      </c>
      <c r="T294" s="1">
        <f>'2.3 Selskabsspecifikke input'!T$310*T277</f>
        <v>0</v>
      </c>
      <c r="U294" s="1">
        <f>'2.3 Selskabsspecifikke input'!U$310*U277</f>
        <v>0</v>
      </c>
      <c r="V294" s="1">
        <f>'2.3 Selskabsspecifikke input'!V$310*V277</f>
        <v>0</v>
      </c>
      <c r="W294" s="4">
        <f t="shared" si="61"/>
        <v>0</v>
      </c>
      <c r="X294" s="111"/>
      <c r="Y294" s="121"/>
    </row>
    <row r="295" spans="1:25" customFormat="1" ht="15" customHeight="1">
      <c r="A295" s="1"/>
      <c r="B295" s="1"/>
      <c r="C295" s="2"/>
      <c r="D295" s="1" t="str">
        <f>'2.1 Model setup'!K77</f>
        <v>3.1 Generel administration</v>
      </c>
      <c r="E295" s="1"/>
      <c r="F295" s="121"/>
      <c r="G295" s="121"/>
      <c r="H295" s="121"/>
      <c r="I295" s="121"/>
      <c r="J295" s="121"/>
      <c r="K295" s="5" t="str">
        <f t="shared" si="60"/>
        <v>kWh</v>
      </c>
      <c r="L295" s="231"/>
      <c r="M295" s="1"/>
      <c r="N295" s="1"/>
      <c r="O295" s="1">
        <f>'2.3 Selskabsspecifikke input'!O$310*O278</f>
        <v>0</v>
      </c>
      <c r="P295" s="1">
        <f>'2.3 Selskabsspecifikke input'!P$310*P278</f>
        <v>0</v>
      </c>
      <c r="Q295" s="344"/>
      <c r="R295" s="1">
        <f>'2.3 Selskabsspecifikke input'!R$310*R278</f>
        <v>0</v>
      </c>
      <c r="S295" s="1">
        <f>'2.3 Selskabsspecifikke input'!S$310*S278</f>
        <v>0</v>
      </c>
      <c r="T295" s="1">
        <f>'2.3 Selskabsspecifikke input'!T$310*T278</f>
        <v>0</v>
      </c>
      <c r="U295" s="1">
        <f>'2.3 Selskabsspecifikke input'!U$310*U278</f>
        <v>0</v>
      </c>
      <c r="V295" s="1">
        <f>'2.3 Selskabsspecifikke input'!V$310*V278</f>
        <v>0</v>
      </c>
      <c r="W295" s="4">
        <f t="shared" si="61"/>
        <v>0</v>
      </c>
      <c r="X295" s="111"/>
      <c r="Y295" s="121"/>
    </row>
    <row r="296" spans="1:25" customFormat="1" ht="15" customHeight="1">
      <c r="A296" s="1"/>
      <c r="B296" s="1"/>
      <c r="C296" s="2"/>
      <c r="D296" s="1" t="str">
        <f>'2.1 Model setup'!K78</f>
        <v>4.1 Omkostninger vedrørende nettab i transformerstationer</v>
      </c>
      <c r="E296" s="1"/>
      <c r="F296" s="121"/>
      <c r="G296" s="121"/>
      <c r="H296" s="121"/>
      <c r="I296" s="121"/>
      <c r="J296" s="121"/>
      <c r="K296" s="5" t="str">
        <f t="shared" si="60"/>
        <v>kWh</v>
      </c>
      <c r="L296" s="231"/>
      <c r="M296" s="1"/>
      <c r="N296" s="1"/>
      <c r="O296" s="1">
        <f>'2.3 Selskabsspecifikke input'!O$310*O279</f>
        <v>0</v>
      </c>
      <c r="P296" s="1">
        <f>'2.3 Selskabsspecifikke input'!P$310*P279</f>
        <v>0</v>
      </c>
      <c r="Q296" s="344"/>
      <c r="R296" s="1">
        <f>'2.3 Selskabsspecifikke input'!R$310*R279</f>
        <v>0</v>
      </c>
      <c r="S296" s="1">
        <f>'2.3 Selskabsspecifikke input'!S$310*S279</f>
        <v>0</v>
      </c>
      <c r="T296" s="1">
        <f>'2.3 Selskabsspecifikke input'!T$310*T279</f>
        <v>0</v>
      </c>
      <c r="U296" s="1">
        <f>'2.3 Selskabsspecifikke input'!U$310*U279</f>
        <v>0</v>
      </c>
      <c r="V296" s="1">
        <f>'2.3 Selskabsspecifikke input'!V$310*V279</f>
        <v>0</v>
      </c>
      <c r="W296" s="4">
        <f t="shared" si="61"/>
        <v>0</v>
      </c>
      <c r="X296" s="111"/>
      <c r="Y296" s="121"/>
    </row>
    <row r="297" spans="1:25" customFormat="1" ht="15" customHeight="1">
      <c r="A297" s="1"/>
      <c r="B297" s="1"/>
      <c r="C297" s="2"/>
      <c r="D297" s="1" t="str">
        <f>'2.1 Model setup'!K79</f>
        <v>4.2 Omkostninger vedrørende nettab i ledningsnettet</v>
      </c>
      <c r="E297" s="1"/>
      <c r="F297" s="121"/>
      <c r="G297" s="121"/>
      <c r="H297" s="121"/>
      <c r="I297" s="121"/>
      <c r="J297" s="121"/>
      <c r="K297" s="5" t="str">
        <f t="shared" si="60"/>
        <v>kWh</v>
      </c>
      <c r="L297" s="231"/>
      <c r="M297" s="1"/>
      <c r="N297" s="1"/>
      <c r="O297" s="1">
        <f>'2.3 Selskabsspecifikke input'!O$310*O280</f>
        <v>0</v>
      </c>
      <c r="P297" s="1">
        <f>'2.3 Selskabsspecifikke input'!P$310*P280</f>
        <v>0</v>
      </c>
      <c r="Q297" s="344"/>
      <c r="R297" s="1">
        <f>'2.3 Selskabsspecifikke input'!R$310*R280</f>
        <v>0</v>
      </c>
      <c r="S297" s="1">
        <f>'2.3 Selskabsspecifikke input'!S$310*S280</f>
        <v>0</v>
      </c>
      <c r="T297" s="1">
        <f>'2.3 Selskabsspecifikke input'!T$310*T280</f>
        <v>0</v>
      </c>
      <c r="U297" s="1">
        <f>'2.3 Selskabsspecifikke input'!U$310*U280</f>
        <v>0</v>
      </c>
      <c r="V297" s="1">
        <f>'2.3 Selskabsspecifikke input'!V$310*V280</f>
        <v>0</v>
      </c>
      <c r="W297" s="4">
        <f t="shared" si="61"/>
        <v>0</v>
      </c>
      <c r="X297" s="111"/>
      <c r="Y297" s="121"/>
    </row>
    <row r="298" spans="1:25" customFormat="1" ht="15" customHeight="1">
      <c r="A298" s="1"/>
      <c r="B298" s="1"/>
      <c r="C298" s="2"/>
      <c r="D298" s="1" t="str">
        <f>'2.1 Model setup'!K88</f>
        <v>5.1 Omkostninger til overliggende net ifm. indfødning</v>
      </c>
      <c r="E298" s="1"/>
      <c r="F298" s="121"/>
      <c r="G298" s="121"/>
      <c r="H298" s="121"/>
      <c r="I298" s="121"/>
      <c r="J298" s="121"/>
      <c r="K298" s="5" t="str">
        <f t="shared" si="60"/>
        <v>kWh</v>
      </c>
      <c r="L298" s="231"/>
      <c r="M298" s="1"/>
      <c r="N298" s="1"/>
      <c r="O298" s="1">
        <f>'2.3 Selskabsspecifikke input'!O$310*O281</f>
        <v>0</v>
      </c>
      <c r="P298" s="1">
        <f>'2.3 Selskabsspecifikke input'!P$310*P281</f>
        <v>0</v>
      </c>
      <c r="Q298" s="344"/>
      <c r="R298" s="1">
        <f>'2.3 Selskabsspecifikke input'!R$310*R281</f>
        <v>0</v>
      </c>
      <c r="S298" s="1">
        <f>'2.3 Selskabsspecifikke input'!S$310*S281</f>
        <v>0</v>
      </c>
      <c r="T298" s="1">
        <f>'2.3 Selskabsspecifikke input'!T$310*T281</f>
        <v>0</v>
      </c>
      <c r="U298" s="1">
        <f>'2.3 Selskabsspecifikke input'!U$310*U281</f>
        <v>0</v>
      </c>
      <c r="V298" s="1">
        <f>'2.3 Selskabsspecifikke input'!V$310*V281</f>
        <v>0</v>
      </c>
      <c r="W298" s="4">
        <f t="shared" si="61"/>
        <v>0</v>
      </c>
      <c r="X298" s="111"/>
      <c r="Y298" s="121"/>
    </row>
    <row r="299" spans="1:25" customFormat="1" ht="15" customHeight="1">
      <c r="A299" s="1"/>
      <c r="B299" s="1"/>
      <c r="C299" s="2"/>
      <c r="D299" s="1" t="str">
        <f>'2.1 Model setup'!K81</f>
        <v>5.2 Øvrige omkostninger</v>
      </c>
      <c r="E299" s="1"/>
      <c r="F299" s="121"/>
      <c r="G299" s="121"/>
      <c r="H299" s="121"/>
      <c r="I299" s="121"/>
      <c r="J299" s="121"/>
      <c r="K299" s="5" t="str">
        <f t="shared" si="60"/>
        <v>kWh</v>
      </c>
      <c r="L299" s="231"/>
      <c r="M299" s="1"/>
      <c r="N299" s="1"/>
      <c r="O299" s="1">
        <f>'2.3 Selskabsspecifikke input'!O$310*O282</f>
        <v>0</v>
      </c>
      <c r="P299" s="1">
        <f>'2.3 Selskabsspecifikke input'!P$310*P282</f>
        <v>0</v>
      </c>
      <c r="Q299" s="344"/>
      <c r="R299" s="1">
        <f>'2.3 Selskabsspecifikke input'!R$310*R282</f>
        <v>0</v>
      </c>
      <c r="S299" s="1">
        <f>'2.3 Selskabsspecifikke input'!S$310*S282</f>
        <v>0</v>
      </c>
      <c r="T299" s="1">
        <f>'2.3 Selskabsspecifikke input'!T$310*T282</f>
        <v>0</v>
      </c>
      <c r="U299" s="1">
        <f>'2.3 Selskabsspecifikke input'!U$310*U282</f>
        <v>0</v>
      </c>
      <c r="V299" s="1">
        <f>'2.3 Selskabsspecifikke input'!V$310*V282</f>
        <v>0</v>
      </c>
      <c r="W299" s="4">
        <f t="shared" si="61"/>
        <v>0</v>
      </c>
      <c r="X299" s="111"/>
      <c r="Y299" s="121"/>
    </row>
    <row r="300" spans="1:25" customFormat="1" ht="15" customHeight="1">
      <c r="A300" s="1"/>
      <c r="B300" s="1"/>
      <c r="C300" s="2"/>
      <c r="D300" s="1" t="str">
        <f>'2.1 Model setup'!K82</f>
        <v>6.1 Afskrivninger på transformerstationer</v>
      </c>
      <c r="E300" s="1"/>
      <c r="F300" s="121"/>
      <c r="G300" s="121"/>
      <c r="H300" s="121"/>
      <c r="I300" s="121"/>
      <c r="J300" s="121"/>
      <c r="K300" s="5" t="str">
        <f t="shared" si="60"/>
        <v>kWh</v>
      </c>
      <c r="L300" s="231"/>
      <c r="M300" s="1"/>
      <c r="N300" s="1"/>
      <c r="O300" s="1">
        <f>'2.3 Selskabsspecifikke input'!O$310*O283</f>
        <v>0</v>
      </c>
      <c r="P300" s="1">
        <f>'2.3 Selskabsspecifikke input'!P$310*P283</f>
        <v>0</v>
      </c>
      <c r="Q300" s="344"/>
      <c r="R300" s="1">
        <f>'2.3 Selskabsspecifikke input'!R$310*R283</f>
        <v>0</v>
      </c>
      <c r="S300" s="1">
        <f>'2.3 Selskabsspecifikke input'!S$310*S283</f>
        <v>0</v>
      </c>
      <c r="T300" s="1">
        <f>'2.3 Selskabsspecifikke input'!T$310*T283</f>
        <v>0</v>
      </c>
      <c r="U300" s="1">
        <f>'2.3 Selskabsspecifikke input'!U$310*U283</f>
        <v>0</v>
      </c>
      <c r="V300" s="1">
        <f>'2.3 Selskabsspecifikke input'!V$310*V283</f>
        <v>0</v>
      </c>
      <c r="W300" s="4">
        <f t="shared" si="61"/>
        <v>0</v>
      </c>
      <c r="X300" s="111"/>
      <c r="Y300" s="121"/>
    </row>
    <row r="301" spans="1:25" customFormat="1" ht="15" customHeight="1">
      <c r="A301" s="1"/>
      <c r="B301" s="1"/>
      <c r="C301" s="2"/>
      <c r="D301" s="1" t="str">
        <f>'2.1 Model setup'!K83</f>
        <v>6.2 Afskrivninger på netaktiver ekskl. målere og transformerstationer</v>
      </c>
      <c r="E301" s="1"/>
      <c r="F301" s="121"/>
      <c r="G301" s="121"/>
      <c r="H301" s="121"/>
      <c r="I301" s="121"/>
      <c r="J301" s="121"/>
      <c r="K301" s="5" t="str">
        <f t="shared" si="60"/>
        <v>kWh</v>
      </c>
      <c r="L301" s="231"/>
      <c r="M301" s="1"/>
      <c r="N301" s="1"/>
      <c r="O301" s="1">
        <f>'2.3 Selskabsspecifikke input'!O$310*O284</f>
        <v>0</v>
      </c>
      <c r="P301" s="1">
        <f>'2.3 Selskabsspecifikke input'!P$310*P284</f>
        <v>0</v>
      </c>
      <c r="Q301" s="344"/>
      <c r="R301" s="1">
        <f>'2.3 Selskabsspecifikke input'!R$310*R284</f>
        <v>0</v>
      </c>
      <c r="S301" s="1">
        <f>'2.3 Selskabsspecifikke input'!S$310*S284</f>
        <v>0</v>
      </c>
      <c r="T301" s="1">
        <f>'2.3 Selskabsspecifikke input'!T$310*T284</f>
        <v>0</v>
      </c>
      <c r="U301" s="1">
        <f>'2.3 Selskabsspecifikke input'!U$310*U284</f>
        <v>0</v>
      </c>
      <c r="V301" s="1">
        <f>'2.3 Selskabsspecifikke input'!V$310*V284</f>
        <v>0</v>
      </c>
      <c r="W301" s="4">
        <f xml:space="preserve"> SUM( O301:V301 )</f>
        <v>0</v>
      </c>
      <c r="X301" s="111"/>
      <c r="Y301" s="121"/>
    </row>
    <row r="302" spans="1:25" customFormat="1" ht="15" customHeight="1">
      <c r="A302" s="1"/>
      <c r="B302" s="1"/>
      <c r="C302" s="2"/>
      <c r="D302" s="27" t="str">
        <f>'2.1 Model setup'!K84</f>
        <v>6.3 Afskrivninger på målere</v>
      </c>
      <c r="E302" s="27"/>
      <c r="F302" s="131"/>
      <c r="G302" s="131"/>
      <c r="H302" s="131"/>
      <c r="I302" s="131"/>
      <c r="J302" s="131"/>
      <c r="K302" s="32" t="str">
        <f t="shared" si="60"/>
        <v>kWh</v>
      </c>
      <c r="L302" s="510"/>
      <c r="M302" s="27"/>
      <c r="N302" s="27"/>
      <c r="O302" s="27">
        <f>'2.3 Selskabsspecifikke input'!O$310*O285</f>
        <v>0</v>
      </c>
      <c r="P302" s="27">
        <f>'2.3 Selskabsspecifikke input'!P$310*P285</f>
        <v>0</v>
      </c>
      <c r="Q302" s="395"/>
      <c r="R302" s="27">
        <f>'2.3 Selskabsspecifikke input'!R$310*R285</f>
        <v>0</v>
      </c>
      <c r="S302" s="27">
        <f>'2.3 Selskabsspecifikke input'!S$310*S285</f>
        <v>0</v>
      </c>
      <c r="T302" s="27">
        <f>'2.3 Selskabsspecifikke input'!T$310*T285</f>
        <v>0</v>
      </c>
      <c r="U302" s="27">
        <f>'2.3 Selskabsspecifikke input'!U$310*U285</f>
        <v>0</v>
      </c>
      <c r="V302" s="27">
        <f>'2.3 Selskabsspecifikke input'!V$310*V285</f>
        <v>0</v>
      </c>
      <c r="W302" s="35">
        <f xml:space="preserve"> SUM( O302:V302 )</f>
        <v>0</v>
      </c>
      <c r="X302" s="111"/>
      <c r="Y302" s="121"/>
    </row>
    <row r="303" spans="1:25" ht="15" customHeight="1">
      <c r="L303" s="231"/>
    </row>
    <row r="304" spans="1:25" customFormat="1" ht="15" customHeight="1">
      <c r="A304" s="1"/>
      <c r="B304" s="1"/>
      <c r="C304" s="2"/>
      <c r="D304" s="88" t="s">
        <v>591</v>
      </c>
      <c r="E304" s="1"/>
      <c r="F304" s="107"/>
      <c r="G304" s="107"/>
      <c r="H304" s="107"/>
      <c r="I304" s="107"/>
      <c r="J304" s="107"/>
      <c r="K304" s="87"/>
      <c r="L304" s="264"/>
      <c r="M304" s="85"/>
      <c r="N304" s="107"/>
      <c r="O304" s="107"/>
      <c r="P304" s="107"/>
      <c r="Q304" s="107"/>
      <c r="R304" s="107"/>
      <c r="S304" s="107"/>
      <c r="T304" s="107"/>
      <c r="U304" s="107"/>
      <c r="V304" s="107"/>
      <c r="W304" s="107"/>
      <c r="X304" s="1"/>
      <c r="Y304" s="1"/>
    </row>
    <row r="305" spans="4:23" ht="15" customHeight="1">
      <c r="D305" s="123" t="str">
        <f>'2.1 Model setup'!K70</f>
        <v>1.1 Drift og vedligeholdelse af transformerstationer</v>
      </c>
      <c r="E305" s="15"/>
      <c r="F305" s="15"/>
      <c r="G305" s="15"/>
      <c r="H305" s="15"/>
      <c r="I305" s="15"/>
      <c r="J305" s="15"/>
      <c r="K305" s="190" t="s">
        <v>41</v>
      </c>
      <c r="L305" s="537"/>
      <c r="M305" s="15"/>
      <c r="N305" s="193" t="str">
        <f>'2.2 Generelle input'!N321</f>
        <v>Ja</v>
      </c>
      <c r="O305" s="274"/>
      <c r="P305" s="274"/>
      <c r="Q305" s="274"/>
      <c r="R305" s="274"/>
      <c r="S305" s="274"/>
      <c r="T305" s="274"/>
      <c r="U305" s="274"/>
      <c r="V305" s="274"/>
      <c r="W305" s="274"/>
    </row>
    <row r="306" spans="4:23" ht="15" customHeight="1">
      <c r="D306" s="85" t="str">
        <f>'2.1 Model setup'!K71</f>
        <v>1.2 Drift og vedligeholdelse af ledningsnet</v>
      </c>
      <c r="K306" s="191" t="s">
        <v>41</v>
      </c>
      <c r="L306" s="231"/>
      <c r="N306" s="194" t="str">
        <f>'2.2 Generelle input'!N322</f>
        <v>Ja</v>
      </c>
      <c r="O306" s="202"/>
      <c r="P306" s="202"/>
      <c r="Q306" s="202"/>
      <c r="R306" s="202"/>
      <c r="S306" s="202"/>
      <c r="T306" s="202"/>
      <c r="U306" s="202"/>
      <c r="V306" s="202"/>
      <c r="W306" s="202"/>
    </row>
    <row r="307" spans="4:23" ht="15" customHeight="1">
      <c r="D307" s="85" t="str">
        <f>'2.1 Model setup'!K72</f>
        <v>1.3 Øvrige omkostninger til drift, styring og kontrol af elnettet</v>
      </c>
      <c r="K307" s="191" t="s">
        <v>41</v>
      </c>
      <c r="L307" s="231"/>
      <c r="N307" s="194">
        <f>'2.2 Generelle input'!N323</f>
        <v>0</v>
      </c>
      <c r="O307" s="202"/>
      <c r="P307" s="202"/>
      <c r="Q307" s="202"/>
      <c r="R307" s="202"/>
      <c r="S307" s="202"/>
      <c r="T307" s="202"/>
      <c r="U307" s="202"/>
      <c r="V307" s="202"/>
      <c r="W307" s="202"/>
    </row>
    <row r="308" spans="4:23" ht="15" customHeight="1">
      <c r="D308" s="85" t="str">
        <f>'2.1 Model setup'!K73</f>
        <v>1.4 Omkostninger vedrørende 132-150/30-60 kV-stationer</v>
      </c>
      <c r="K308" s="191" t="s">
        <v>41</v>
      </c>
      <c r="L308" s="231"/>
      <c r="N308" s="194" t="str">
        <f>'2.2 Generelle input'!N324</f>
        <v>Nej</v>
      </c>
      <c r="O308" s="202"/>
      <c r="P308" s="202"/>
      <c r="Q308" s="202"/>
      <c r="R308" s="202"/>
      <c r="S308" s="202"/>
      <c r="T308" s="202"/>
      <c r="U308" s="202"/>
      <c r="V308" s="202"/>
      <c r="W308" s="202"/>
    </row>
    <row r="309" spans="4:23" ht="15" customHeight="1">
      <c r="D309" s="85" t="str">
        <f>'2.1 Model setup'!K74</f>
        <v>2.1 Drift og vedligeholdelse af målere</v>
      </c>
      <c r="K309" s="191" t="s">
        <v>41</v>
      </c>
      <c r="L309" s="231"/>
      <c r="N309" s="194">
        <f>'2.2 Generelle input'!N325</f>
        <v>0</v>
      </c>
      <c r="O309" s="202"/>
      <c r="P309" s="202"/>
      <c r="Q309" s="202"/>
      <c r="R309" s="202"/>
      <c r="S309" s="202"/>
      <c r="T309" s="202"/>
      <c r="U309" s="202"/>
      <c r="V309" s="202"/>
      <c r="W309" s="202"/>
    </row>
    <row r="310" spans="4:23" ht="15" customHeight="1">
      <c r="D310" s="85" t="str">
        <f>'2.1 Model setup'!K75</f>
        <v>2.2 Indhentning og validering af målerdata</v>
      </c>
      <c r="K310" s="191" t="s">
        <v>41</v>
      </c>
      <c r="L310" s="231"/>
      <c r="N310" s="194">
        <f>'2.2 Generelle input'!N326</f>
        <v>0</v>
      </c>
      <c r="O310" s="202"/>
      <c r="P310" s="202"/>
      <c r="Q310" s="202"/>
      <c r="R310" s="202"/>
      <c r="S310" s="202"/>
      <c r="T310" s="202"/>
      <c r="U310" s="202"/>
      <c r="V310" s="202"/>
      <c r="W310" s="202"/>
    </row>
    <row r="311" spans="4:23" ht="15" customHeight="1">
      <c r="D311" s="85" t="str">
        <f>'2.1 Model setup'!K76</f>
        <v>2.3 Måleradministration og kundehåndtering</v>
      </c>
      <c r="K311" s="191" t="s">
        <v>41</v>
      </c>
      <c r="L311" s="231"/>
      <c r="N311" s="194">
        <f>'2.2 Generelle input'!N327</f>
        <v>0</v>
      </c>
      <c r="O311" s="202"/>
      <c r="P311" s="202"/>
      <c r="Q311" s="202"/>
      <c r="R311" s="202"/>
      <c r="S311" s="202"/>
      <c r="T311" s="202"/>
      <c r="U311" s="202"/>
      <c r="V311" s="202"/>
      <c r="W311" s="202"/>
    </row>
    <row r="312" spans="4:23" ht="15" customHeight="1">
      <c r="D312" s="85" t="str">
        <f>'2.1 Model setup'!K77</f>
        <v>3.1 Generel administration</v>
      </c>
      <c r="K312" s="191" t="s">
        <v>41</v>
      </c>
      <c r="L312" s="231"/>
      <c r="N312" s="194">
        <f>'2.2 Generelle input'!N328</f>
        <v>0</v>
      </c>
      <c r="O312" s="202"/>
      <c r="P312" s="202"/>
      <c r="Q312" s="202"/>
      <c r="R312" s="202"/>
      <c r="S312" s="202"/>
      <c r="T312" s="202"/>
      <c r="U312" s="202"/>
      <c r="V312" s="202"/>
      <c r="W312" s="202"/>
    </row>
    <row r="313" spans="4:23" ht="15" customHeight="1">
      <c r="D313" s="85" t="str">
        <f>'2.1 Model setup'!K78</f>
        <v>4.1 Omkostninger vedrørende nettab i transformerstationer</v>
      </c>
      <c r="K313" s="191" t="s">
        <v>41</v>
      </c>
      <c r="L313" s="231"/>
      <c r="N313" s="194" t="str">
        <f>'2.2 Generelle input'!N329</f>
        <v>Ja</v>
      </c>
      <c r="O313" s="202"/>
      <c r="P313" s="202"/>
      <c r="Q313" s="202"/>
      <c r="R313" s="202"/>
      <c r="S313" s="202"/>
      <c r="T313" s="202"/>
      <c r="U313" s="202"/>
      <c r="V313" s="202"/>
      <c r="W313" s="202"/>
    </row>
    <row r="314" spans="4:23" ht="15" customHeight="1">
      <c r="D314" s="85" t="str">
        <f>'2.1 Model setup'!K79</f>
        <v>4.2 Omkostninger vedrørende nettab i ledningsnettet</v>
      </c>
      <c r="K314" s="191" t="s">
        <v>41</v>
      </c>
      <c r="L314" s="231"/>
      <c r="N314" s="194" t="str">
        <f>'2.2 Generelle input'!N330</f>
        <v>Ja</v>
      </c>
      <c r="O314" s="202"/>
      <c r="P314" s="202"/>
      <c r="Q314" s="202"/>
      <c r="R314" s="202"/>
      <c r="S314" s="202"/>
      <c r="T314" s="202"/>
      <c r="U314" s="202"/>
      <c r="V314" s="202"/>
      <c r="W314" s="202"/>
    </row>
    <row r="315" spans="4:23" ht="15" customHeight="1">
      <c r="D315" s="85" t="str">
        <f>'2.1 Model setup'!K88</f>
        <v>5.1 Omkostninger til overliggende net ifm. indfødning</v>
      </c>
      <c r="K315" s="191" t="s">
        <v>41</v>
      </c>
      <c r="L315" s="231"/>
      <c r="N315" s="194" t="str">
        <f>'2.2 Generelle input'!N331</f>
        <v>Nej</v>
      </c>
      <c r="O315" s="202"/>
      <c r="P315" s="202"/>
      <c r="Q315" s="202"/>
      <c r="R315" s="202"/>
      <c r="S315" s="202"/>
      <c r="T315" s="202"/>
      <c r="U315" s="202"/>
      <c r="V315" s="202"/>
      <c r="W315" s="202"/>
    </row>
    <row r="316" spans="4:23" ht="15" customHeight="1">
      <c r="D316" s="85" t="str">
        <f>'2.1 Model setup'!K81</f>
        <v>5.2 Øvrige omkostninger</v>
      </c>
      <c r="K316" s="191" t="s">
        <v>41</v>
      </c>
      <c r="L316" s="231"/>
      <c r="N316" s="194">
        <f>'2.2 Generelle input'!N332</f>
        <v>0</v>
      </c>
      <c r="O316" s="202"/>
      <c r="P316" s="202"/>
      <c r="Q316" s="202"/>
      <c r="R316" s="202"/>
      <c r="S316" s="202"/>
      <c r="T316" s="202"/>
      <c r="U316" s="202"/>
      <c r="V316" s="202"/>
      <c r="W316" s="202"/>
    </row>
    <row r="317" spans="4:23" ht="15" customHeight="1">
      <c r="D317" s="85" t="str">
        <f>'2.1 Model setup'!K82</f>
        <v>6.1 Afskrivninger på transformerstationer</v>
      </c>
      <c r="K317" s="191" t="s">
        <v>41</v>
      </c>
      <c r="L317" s="231"/>
      <c r="N317" s="194">
        <f>'2.2 Generelle input'!N333</f>
        <v>0</v>
      </c>
      <c r="O317" s="202"/>
      <c r="P317" s="202"/>
      <c r="Q317" s="202"/>
      <c r="R317" s="202"/>
      <c r="S317" s="202"/>
      <c r="T317" s="202"/>
      <c r="U317" s="202"/>
      <c r="V317" s="202"/>
      <c r="W317" s="202"/>
    </row>
    <row r="318" spans="4:23" ht="15" customHeight="1">
      <c r="D318" s="85" t="str">
        <f>'2.1 Model setup'!K83</f>
        <v>6.2 Afskrivninger på netaktiver ekskl. målere og transformerstationer</v>
      </c>
      <c r="K318" s="191" t="s">
        <v>41</v>
      </c>
      <c r="L318" s="231"/>
      <c r="N318" s="194">
        <f>'2.2 Generelle input'!N334</f>
        <v>0</v>
      </c>
      <c r="O318" s="202"/>
      <c r="P318" s="202"/>
      <c r="Q318" s="202"/>
      <c r="R318" s="202"/>
      <c r="S318" s="202"/>
      <c r="T318" s="202"/>
      <c r="U318" s="202"/>
      <c r="V318" s="202"/>
      <c r="W318" s="202"/>
    </row>
    <row r="319" spans="4:23" ht="15" customHeight="1">
      <c r="D319" s="99" t="str">
        <f>'2.1 Model setup'!K84</f>
        <v>6.3 Afskrivninger på målere</v>
      </c>
      <c r="E319" s="27"/>
      <c r="F319" s="27"/>
      <c r="G319" s="27"/>
      <c r="H319" s="27"/>
      <c r="I319" s="27"/>
      <c r="J319" s="27"/>
      <c r="K319" s="542" t="s">
        <v>41</v>
      </c>
      <c r="L319" s="510"/>
      <c r="M319" s="27"/>
      <c r="N319" s="195">
        <f>'2.2 Generelle input'!N335</f>
        <v>0</v>
      </c>
      <c r="O319" s="269"/>
      <c r="P319" s="269"/>
      <c r="Q319" s="269"/>
      <c r="R319" s="269"/>
      <c r="S319" s="269"/>
      <c r="T319" s="269"/>
      <c r="U319" s="269"/>
      <c r="V319" s="269"/>
      <c r="W319" s="269"/>
    </row>
    <row r="320" spans="4:23" ht="15" customHeight="1">
      <c r="L320" s="231"/>
    </row>
    <row r="321" spans="4:23" ht="15" customHeight="1">
      <c r="D321" s="88" t="s">
        <v>602</v>
      </c>
      <c r="F321" s="86"/>
      <c r="G321" s="86"/>
      <c r="H321" s="86"/>
      <c r="I321" s="86"/>
      <c r="J321" s="86"/>
      <c r="K321" s="87"/>
      <c r="L321" s="231"/>
    </row>
    <row r="322" spans="4:23" ht="15" customHeight="1">
      <c r="D322" s="123" t="str">
        <f>'2.2 Generelle input'!D338</f>
        <v>A-høj+</v>
      </c>
      <c r="E322" s="15"/>
      <c r="F322" s="155"/>
      <c r="G322" s="155"/>
      <c r="H322" s="155"/>
      <c r="I322" s="155"/>
      <c r="J322" s="155"/>
      <c r="K322" s="117" t="s">
        <v>132</v>
      </c>
      <c r="L322" s="537"/>
      <c r="M322" s="15"/>
      <c r="N322" s="15"/>
      <c r="O322" s="15">
        <f>'2.2 Generelle input'!O338</f>
        <v>1</v>
      </c>
      <c r="P322" s="15">
        <f>'2.2 Generelle input'!P338</f>
        <v>1</v>
      </c>
      <c r="Q322" s="274"/>
      <c r="R322" s="15">
        <f>'2.2 Generelle input'!R338</f>
        <v>1</v>
      </c>
      <c r="S322" s="15">
        <f>'2.2 Generelle input'!S338</f>
        <v>1</v>
      </c>
      <c r="T322" s="15">
        <f>'2.2 Generelle input'!T338</f>
        <v>1</v>
      </c>
      <c r="U322" s="15">
        <f>'2.2 Generelle input'!U338</f>
        <v>1</v>
      </c>
      <c r="V322" s="15">
        <f>'2.2 Generelle input'!V338</f>
        <v>1</v>
      </c>
      <c r="W322" s="150"/>
    </row>
    <row r="323" spans="4:23" ht="15" customHeight="1">
      <c r="D323" s="85" t="str">
        <f>'2.2 Generelle input'!D339</f>
        <v>A-høj+,maske</v>
      </c>
      <c r="F323" s="86"/>
      <c r="G323" s="86"/>
      <c r="H323" s="86"/>
      <c r="I323" s="86"/>
      <c r="J323" s="86"/>
      <c r="K323" s="87" t="s">
        <v>132</v>
      </c>
      <c r="L323" s="231"/>
      <c r="O323" s="1">
        <f>'2.2 Generelle input'!O339</f>
        <v>0</v>
      </c>
      <c r="P323" s="1">
        <f>'2.2 Generelle input'!P339</f>
        <v>1</v>
      </c>
      <c r="Q323" s="202"/>
      <c r="R323" s="1">
        <f>'2.2 Generelle input'!R339</f>
        <v>1</v>
      </c>
      <c r="S323" s="1">
        <f>'2.2 Generelle input'!S339</f>
        <v>1</v>
      </c>
      <c r="T323" s="1">
        <f>'2.2 Generelle input'!T339</f>
        <v>1</v>
      </c>
      <c r="U323" s="1">
        <f>'2.2 Generelle input'!U339</f>
        <v>1</v>
      </c>
      <c r="V323" s="1">
        <f>'2.2 Generelle input'!V339</f>
        <v>1</v>
      </c>
      <c r="W323" s="121"/>
    </row>
    <row r="324" spans="4:23" ht="15" customHeight="1">
      <c r="D324" s="85" t="str">
        <f>'2.2 Generelle input'!D340</f>
        <v>A-høj</v>
      </c>
      <c r="F324" s="86"/>
      <c r="G324" s="86"/>
      <c r="H324" s="86"/>
      <c r="I324" s="86"/>
      <c r="J324" s="86"/>
      <c r="K324" s="87" t="s">
        <v>132</v>
      </c>
      <c r="L324" s="231"/>
      <c r="O324" s="1">
        <f>'2.2 Generelle input'!O340</f>
        <v>0</v>
      </c>
      <c r="P324" s="1">
        <f>'2.2 Generelle input'!P340</f>
        <v>0</v>
      </c>
      <c r="Q324" s="202"/>
      <c r="R324" s="1">
        <f>'2.2 Generelle input'!R340</f>
        <v>1</v>
      </c>
      <c r="S324" s="1">
        <f>'2.2 Generelle input'!S340</f>
        <v>1</v>
      </c>
      <c r="T324" s="1">
        <f>'2.2 Generelle input'!T340</f>
        <v>1</v>
      </c>
      <c r="U324" s="1">
        <f>'2.2 Generelle input'!U340</f>
        <v>1</v>
      </c>
      <c r="V324" s="1">
        <f>'2.2 Generelle input'!V340</f>
        <v>1</v>
      </c>
      <c r="W324" s="121"/>
    </row>
    <row r="325" spans="4:23" ht="15" customHeight="1">
      <c r="D325" s="85" t="str">
        <f>'2.2 Generelle input'!D341</f>
        <v>A-lav</v>
      </c>
      <c r="F325" s="86"/>
      <c r="G325" s="86"/>
      <c r="H325" s="86"/>
      <c r="I325" s="86"/>
      <c r="J325" s="86"/>
      <c r="K325" s="87" t="s">
        <v>132</v>
      </c>
      <c r="L325" s="231"/>
      <c r="O325" s="1">
        <f>'2.2 Generelle input'!O341</f>
        <v>0</v>
      </c>
      <c r="P325" s="1">
        <f>'2.2 Generelle input'!P341</f>
        <v>0</v>
      </c>
      <c r="Q325" s="202"/>
      <c r="R325" s="1">
        <f>'2.2 Generelle input'!R341</f>
        <v>0</v>
      </c>
      <c r="S325" s="1">
        <f>'2.2 Generelle input'!S341</f>
        <v>1</v>
      </c>
      <c r="T325" s="1">
        <f>'2.2 Generelle input'!T341</f>
        <v>1</v>
      </c>
      <c r="U325" s="1">
        <f>'2.2 Generelle input'!U341</f>
        <v>1</v>
      </c>
      <c r="V325" s="1">
        <f>'2.2 Generelle input'!V341</f>
        <v>1</v>
      </c>
      <c r="W325" s="121"/>
    </row>
    <row r="326" spans="4:23" ht="15" customHeight="1">
      <c r="D326" s="99" t="str">
        <f>'2.2 Generelle input'!D342</f>
        <v>B-høj</v>
      </c>
      <c r="E326" s="27"/>
      <c r="F326" s="156"/>
      <c r="G326" s="156"/>
      <c r="H326" s="156"/>
      <c r="I326" s="156"/>
      <c r="J326" s="156"/>
      <c r="K326" s="98" t="s">
        <v>132</v>
      </c>
      <c r="L326" s="510"/>
      <c r="M326" s="27"/>
      <c r="N326" s="27"/>
      <c r="O326" s="27">
        <f>'2.2 Generelle input'!O342</f>
        <v>0</v>
      </c>
      <c r="P326" s="27">
        <f>'2.2 Generelle input'!P342</f>
        <v>0</v>
      </c>
      <c r="Q326" s="269"/>
      <c r="R326" s="27">
        <f>'2.2 Generelle input'!R342</f>
        <v>0</v>
      </c>
      <c r="S326" s="27">
        <f>'2.2 Generelle input'!S342</f>
        <v>0</v>
      </c>
      <c r="T326" s="27">
        <f>'2.2 Generelle input'!T342</f>
        <v>1</v>
      </c>
      <c r="U326" s="27">
        <f>'2.2 Generelle input'!U342</f>
        <v>1</v>
      </c>
      <c r="V326" s="27">
        <f>'2.2 Generelle input'!V342</f>
        <v>1</v>
      </c>
      <c r="W326" s="131"/>
    </row>
    <row r="327" spans="4:23" ht="15" customHeight="1">
      <c r="L327" s="231"/>
    </row>
    <row r="328" spans="4:23" ht="15" customHeight="1">
      <c r="D328" s="35" t="s">
        <v>607</v>
      </c>
      <c r="E328" s="27"/>
      <c r="F328" s="27"/>
      <c r="G328" s="27"/>
      <c r="H328" s="27"/>
      <c r="I328" s="27"/>
      <c r="J328" s="27"/>
      <c r="K328" s="32"/>
      <c r="L328" s="510"/>
      <c r="M328" s="27"/>
      <c r="N328" s="27"/>
      <c r="O328" s="27"/>
      <c r="P328" s="27"/>
      <c r="R328" s="27"/>
      <c r="S328" s="27"/>
      <c r="T328" s="27"/>
      <c r="U328" s="27"/>
      <c r="V328" s="27"/>
      <c r="W328" s="185" t="s">
        <v>16</v>
      </c>
    </row>
    <row r="329" spans="4:23" ht="15" customHeight="1">
      <c r="D329" s="123" t="str">
        <f xml:space="preserve"> '2.1 Model setup'!K70</f>
        <v>1.1 Drift og vedligeholdelse af transformerstationer</v>
      </c>
      <c r="E329" s="15"/>
      <c r="F329" s="15"/>
      <c r="G329" s="15"/>
      <c r="H329" s="15"/>
      <c r="I329" s="15"/>
      <c r="J329" s="15"/>
      <c r="K329" s="19" t="str">
        <f t="shared" ref="K329:K343" si="62" xml:space="preserve"> Model.Units2</f>
        <v>kWh</v>
      </c>
      <c r="L329" s="263"/>
      <c r="M329" s="15"/>
      <c r="N329" s="15"/>
      <c r="O329" s="15">
        <f t="shared" ref="O329:P343" si="63" xml:space="preserve"> O288* O$322</f>
        <v>0</v>
      </c>
      <c r="P329" s="15">
        <f t="shared" si="63"/>
        <v>0</v>
      </c>
      <c r="Q329" s="274"/>
      <c r="R329" s="15">
        <f t="shared" ref="R329:V343" si="64" xml:space="preserve"> R288* R$322</f>
        <v>0</v>
      </c>
      <c r="S329" s="15">
        <f t="shared" si="64"/>
        <v>0</v>
      </c>
      <c r="T329" s="15">
        <f t="shared" si="64"/>
        <v>0</v>
      </c>
      <c r="U329" s="15">
        <f t="shared" si="64"/>
        <v>0</v>
      </c>
      <c r="V329" s="15">
        <f t="shared" si="64"/>
        <v>0</v>
      </c>
      <c r="W329" s="18">
        <f xml:space="preserve"> SUM( O329:V329 )</f>
        <v>0</v>
      </c>
    </row>
    <row r="330" spans="4:23" ht="15" customHeight="1">
      <c r="D330" s="85" t="str">
        <f xml:space="preserve"> '2.1 Model setup'!K71</f>
        <v>1.2 Drift og vedligeholdelse af ledningsnet</v>
      </c>
      <c r="K330" s="5" t="str">
        <f t="shared" si="62"/>
        <v>kWh</v>
      </c>
      <c r="L330" s="264"/>
      <c r="O330" s="1">
        <f t="shared" si="63"/>
        <v>0</v>
      </c>
      <c r="P330" s="1">
        <f t="shared" si="63"/>
        <v>0</v>
      </c>
      <c r="Q330" s="202"/>
      <c r="R330" s="1">
        <f t="shared" si="64"/>
        <v>0</v>
      </c>
      <c r="S330" s="1">
        <f t="shared" si="64"/>
        <v>0</v>
      </c>
      <c r="T330" s="1">
        <f t="shared" si="64"/>
        <v>0</v>
      </c>
      <c r="U330" s="1">
        <f t="shared" si="64"/>
        <v>0</v>
      </c>
      <c r="V330" s="1">
        <f t="shared" si="64"/>
        <v>0</v>
      </c>
      <c r="W330" s="4">
        <f t="shared" ref="W330:W343" si="65" xml:space="preserve"> SUM( O330:V330 )</f>
        <v>0</v>
      </c>
    </row>
    <row r="331" spans="4:23" ht="15" customHeight="1">
      <c r="D331" s="85" t="str">
        <f xml:space="preserve"> '2.1 Model setup'!K72</f>
        <v>1.3 Øvrige omkostninger til drift, styring og kontrol af elnettet</v>
      </c>
      <c r="K331" s="5" t="str">
        <f t="shared" si="62"/>
        <v>kWh</v>
      </c>
      <c r="L331" s="264"/>
      <c r="O331" s="1">
        <f t="shared" si="63"/>
        <v>0</v>
      </c>
      <c r="P331" s="1">
        <f t="shared" si="63"/>
        <v>0</v>
      </c>
      <c r="Q331" s="202"/>
      <c r="R331" s="1">
        <f t="shared" si="64"/>
        <v>0</v>
      </c>
      <c r="S331" s="1">
        <f t="shared" si="64"/>
        <v>0</v>
      </c>
      <c r="T331" s="1">
        <f t="shared" si="64"/>
        <v>0</v>
      </c>
      <c r="U331" s="1">
        <f t="shared" si="64"/>
        <v>0</v>
      </c>
      <c r="V331" s="1">
        <f t="shared" si="64"/>
        <v>0</v>
      </c>
      <c r="W331" s="4">
        <f t="shared" si="65"/>
        <v>0</v>
      </c>
    </row>
    <row r="332" spans="4:23" ht="15" customHeight="1">
      <c r="D332" s="85" t="str">
        <f xml:space="preserve"> '2.1 Model setup'!K73</f>
        <v>1.4 Omkostninger vedrørende 132-150/30-60 kV-stationer</v>
      </c>
      <c r="K332" s="5" t="str">
        <f t="shared" si="62"/>
        <v>kWh</v>
      </c>
      <c r="L332" s="264"/>
      <c r="O332" s="1">
        <f t="shared" si="63"/>
        <v>0</v>
      </c>
      <c r="P332" s="1">
        <f t="shared" si="63"/>
        <v>0</v>
      </c>
      <c r="Q332" s="202"/>
      <c r="R332" s="1">
        <f t="shared" si="64"/>
        <v>0</v>
      </c>
      <c r="S332" s="1">
        <f t="shared" si="64"/>
        <v>0</v>
      </c>
      <c r="T332" s="1">
        <f t="shared" si="64"/>
        <v>0</v>
      </c>
      <c r="U332" s="1">
        <f t="shared" si="64"/>
        <v>0</v>
      </c>
      <c r="V332" s="1">
        <f t="shared" si="64"/>
        <v>0</v>
      </c>
      <c r="W332" s="4">
        <f t="shared" si="65"/>
        <v>0</v>
      </c>
    </row>
    <row r="333" spans="4:23" ht="15" customHeight="1">
      <c r="D333" s="85" t="str">
        <f xml:space="preserve"> '2.1 Model setup'!K74</f>
        <v>2.1 Drift og vedligeholdelse af målere</v>
      </c>
      <c r="K333" s="5" t="str">
        <f t="shared" si="62"/>
        <v>kWh</v>
      </c>
      <c r="L333" s="264"/>
      <c r="O333" s="1">
        <f t="shared" si="63"/>
        <v>0</v>
      </c>
      <c r="P333" s="1">
        <f t="shared" si="63"/>
        <v>0</v>
      </c>
      <c r="Q333" s="202"/>
      <c r="R333" s="1">
        <f t="shared" si="64"/>
        <v>0</v>
      </c>
      <c r="S333" s="1">
        <f t="shared" si="64"/>
        <v>0</v>
      </c>
      <c r="T333" s="1">
        <f t="shared" si="64"/>
        <v>0</v>
      </c>
      <c r="U333" s="1">
        <f t="shared" si="64"/>
        <v>0</v>
      </c>
      <c r="V333" s="1">
        <f t="shared" si="64"/>
        <v>0</v>
      </c>
      <c r="W333" s="4">
        <f t="shared" si="65"/>
        <v>0</v>
      </c>
    </row>
    <row r="334" spans="4:23" ht="15" customHeight="1">
      <c r="D334" s="85" t="str">
        <f xml:space="preserve"> '2.1 Model setup'!K75</f>
        <v>2.2 Indhentning og validering af målerdata</v>
      </c>
      <c r="K334" s="5" t="str">
        <f t="shared" si="62"/>
        <v>kWh</v>
      </c>
      <c r="L334" s="264"/>
      <c r="O334" s="1">
        <f t="shared" si="63"/>
        <v>0</v>
      </c>
      <c r="P334" s="1">
        <f t="shared" si="63"/>
        <v>0</v>
      </c>
      <c r="Q334" s="202"/>
      <c r="R334" s="1">
        <f t="shared" si="64"/>
        <v>0</v>
      </c>
      <c r="S334" s="1">
        <f t="shared" si="64"/>
        <v>0</v>
      </c>
      <c r="T334" s="1">
        <f t="shared" si="64"/>
        <v>0</v>
      </c>
      <c r="U334" s="1">
        <f t="shared" si="64"/>
        <v>0</v>
      </c>
      <c r="V334" s="1">
        <f t="shared" si="64"/>
        <v>0</v>
      </c>
      <c r="W334" s="4">
        <f t="shared" si="65"/>
        <v>0</v>
      </c>
    </row>
    <row r="335" spans="4:23" ht="15" customHeight="1">
      <c r="D335" s="85" t="str">
        <f xml:space="preserve"> '2.1 Model setup'!K76</f>
        <v>2.3 Måleradministration og kundehåndtering</v>
      </c>
      <c r="K335" s="5" t="str">
        <f t="shared" si="62"/>
        <v>kWh</v>
      </c>
      <c r="L335" s="264"/>
      <c r="O335" s="1">
        <f t="shared" si="63"/>
        <v>0</v>
      </c>
      <c r="P335" s="1">
        <f t="shared" si="63"/>
        <v>0</v>
      </c>
      <c r="Q335" s="202"/>
      <c r="R335" s="1">
        <f t="shared" si="64"/>
        <v>0</v>
      </c>
      <c r="S335" s="1">
        <f t="shared" si="64"/>
        <v>0</v>
      </c>
      <c r="T335" s="1">
        <f t="shared" si="64"/>
        <v>0</v>
      </c>
      <c r="U335" s="1">
        <f t="shared" si="64"/>
        <v>0</v>
      </c>
      <c r="V335" s="1">
        <f t="shared" si="64"/>
        <v>0</v>
      </c>
      <c r="W335" s="4">
        <f t="shared" si="65"/>
        <v>0</v>
      </c>
    </row>
    <row r="336" spans="4:23" ht="15" customHeight="1">
      <c r="D336" s="85" t="str">
        <f xml:space="preserve"> '2.1 Model setup'!K77</f>
        <v>3.1 Generel administration</v>
      </c>
      <c r="K336" s="5" t="str">
        <f t="shared" si="62"/>
        <v>kWh</v>
      </c>
      <c r="L336" s="264"/>
      <c r="O336" s="1">
        <f t="shared" si="63"/>
        <v>0</v>
      </c>
      <c r="P336" s="1">
        <f t="shared" si="63"/>
        <v>0</v>
      </c>
      <c r="Q336" s="202"/>
      <c r="R336" s="1">
        <f t="shared" si="64"/>
        <v>0</v>
      </c>
      <c r="S336" s="1">
        <f t="shared" si="64"/>
        <v>0</v>
      </c>
      <c r="T336" s="1">
        <f t="shared" si="64"/>
        <v>0</v>
      </c>
      <c r="U336" s="1">
        <f t="shared" si="64"/>
        <v>0</v>
      </c>
      <c r="V336" s="1">
        <f t="shared" si="64"/>
        <v>0</v>
      </c>
      <c r="W336" s="4">
        <f t="shared" si="65"/>
        <v>0</v>
      </c>
    </row>
    <row r="337" spans="4:23" ht="15" customHeight="1">
      <c r="D337" s="85" t="str">
        <f xml:space="preserve"> '2.1 Model setup'!K78</f>
        <v>4.1 Omkostninger vedrørende nettab i transformerstationer</v>
      </c>
      <c r="K337" s="5" t="str">
        <f t="shared" si="62"/>
        <v>kWh</v>
      </c>
      <c r="L337" s="264"/>
      <c r="O337" s="1">
        <f t="shared" si="63"/>
        <v>0</v>
      </c>
      <c r="P337" s="1">
        <f t="shared" si="63"/>
        <v>0</v>
      </c>
      <c r="Q337" s="202"/>
      <c r="R337" s="1">
        <f t="shared" si="64"/>
        <v>0</v>
      </c>
      <c r="S337" s="1">
        <f t="shared" si="64"/>
        <v>0</v>
      </c>
      <c r="T337" s="1">
        <f t="shared" si="64"/>
        <v>0</v>
      </c>
      <c r="U337" s="1">
        <f t="shared" si="64"/>
        <v>0</v>
      </c>
      <c r="V337" s="1">
        <f t="shared" si="64"/>
        <v>0</v>
      </c>
      <c r="W337" s="4">
        <f t="shared" si="65"/>
        <v>0</v>
      </c>
    </row>
    <row r="338" spans="4:23" ht="15" customHeight="1">
      <c r="D338" s="85" t="str">
        <f xml:space="preserve"> '2.1 Model setup'!K79</f>
        <v>4.2 Omkostninger vedrørende nettab i ledningsnettet</v>
      </c>
      <c r="K338" s="5" t="str">
        <f t="shared" si="62"/>
        <v>kWh</v>
      </c>
      <c r="L338" s="264"/>
      <c r="O338" s="1">
        <f t="shared" si="63"/>
        <v>0</v>
      </c>
      <c r="P338" s="1">
        <f t="shared" si="63"/>
        <v>0</v>
      </c>
      <c r="Q338" s="202"/>
      <c r="R338" s="1">
        <f t="shared" si="64"/>
        <v>0</v>
      </c>
      <c r="S338" s="1">
        <f t="shared" si="64"/>
        <v>0</v>
      </c>
      <c r="T338" s="1">
        <f t="shared" si="64"/>
        <v>0</v>
      </c>
      <c r="U338" s="1">
        <f t="shared" si="64"/>
        <v>0</v>
      </c>
      <c r="V338" s="1">
        <f t="shared" si="64"/>
        <v>0</v>
      </c>
      <c r="W338" s="4">
        <f t="shared" si="65"/>
        <v>0</v>
      </c>
    </row>
    <row r="339" spans="4:23" ht="15" customHeight="1">
      <c r="D339" s="85" t="str">
        <f xml:space="preserve"> '2.1 Model setup'!K88</f>
        <v>5.1 Omkostninger til overliggende net ifm. indfødning</v>
      </c>
      <c r="K339" s="5" t="str">
        <f t="shared" si="62"/>
        <v>kWh</v>
      </c>
      <c r="L339" s="264"/>
      <c r="O339" s="1">
        <f t="shared" si="63"/>
        <v>0</v>
      </c>
      <c r="P339" s="1">
        <f t="shared" si="63"/>
        <v>0</v>
      </c>
      <c r="Q339" s="202"/>
      <c r="R339" s="1">
        <f t="shared" si="64"/>
        <v>0</v>
      </c>
      <c r="S339" s="1">
        <f t="shared" si="64"/>
        <v>0</v>
      </c>
      <c r="T339" s="1">
        <f t="shared" si="64"/>
        <v>0</v>
      </c>
      <c r="U339" s="1">
        <f t="shared" si="64"/>
        <v>0</v>
      </c>
      <c r="V339" s="1">
        <f t="shared" si="64"/>
        <v>0</v>
      </c>
      <c r="W339" s="4">
        <f t="shared" si="65"/>
        <v>0</v>
      </c>
    </row>
    <row r="340" spans="4:23" ht="15" customHeight="1">
      <c r="D340" s="85" t="str">
        <f xml:space="preserve"> '2.1 Model setup'!K81</f>
        <v>5.2 Øvrige omkostninger</v>
      </c>
      <c r="K340" s="5" t="str">
        <f t="shared" si="62"/>
        <v>kWh</v>
      </c>
      <c r="L340" s="264"/>
      <c r="O340" s="1">
        <f t="shared" si="63"/>
        <v>0</v>
      </c>
      <c r="P340" s="1">
        <f t="shared" si="63"/>
        <v>0</v>
      </c>
      <c r="Q340" s="202"/>
      <c r="R340" s="1">
        <f t="shared" si="64"/>
        <v>0</v>
      </c>
      <c r="S340" s="1">
        <f t="shared" si="64"/>
        <v>0</v>
      </c>
      <c r="T340" s="1">
        <f t="shared" si="64"/>
        <v>0</v>
      </c>
      <c r="U340" s="1">
        <f t="shared" si="64"/>
        <v>0</v>
      </c>
      <c r="V340" s="1">
        <f t="shared" si="64"/>
        <v>0</v>
      </c>
      <c r="W340" s="4">
        <f t="shared" si="65"/>
        <v>0</v>
      </c>
    </row>
    <row r="341" spans="4:23" ht="15" customHeight="1">
      <c r="D341" s="85" t="str">
        <f xml:space="preserve"> '2.1 Model setup'!K82</f>
        <v>6.1 Afskrivninger på transformerstationer</v>
      </c>
      <c r="K341" s="5" t="str">
        <f t="shared" si="62"/>
        <v>kWh</v>
      </c>
      <c r="L341" s="264"/>
      <c r="O341" s="1">
        <f t="shared" si="63"/>
        <v>0</v>
      </c>
      <c r="P341" s="1">
        <f t="shared" si="63"/>
        <v>0</v>
      </c>
      <c r="Q341" s="202"/>
      <c r="R341" s="1">
        <f t="shared" si="64"/>
        <v>0</v>
      </c>
      <c r="S341" s="1">
        <f t="shared" si="64"/>
        <v>0</v>
      </c>
      <c r="T341" s="1">
        <f t="shared" si="64"/>
        <v>0</v>
      </c>
      <c r="U341" s="1">
        <f t="shared" si="64"/>
        <v>0</v>
      </c>
      <c r="V341" s="1">
        <f t="shared" si="64"/>
        <v>0</v>
      </c>
      <c r="W341" s="4">
        <f t="shared" si="65"/>
        <v>0</v>
      </c>
    </row>
    <row r="342" spans="4:23" ht="15" customHeight="1">
      <c r="D342" s="85" t="str">
        <f xml:space="preserve"> '2.1 Model setup'!K83</f>
        <v>6.2 Afskrivninger på netaktiver ekskl. målere og transformerstationer</v>
      </c>
      <c r="K342" s="5" t="str">
        <f t="shared" si="62"/>
        <v>kWh</v>
      </c>
      <c r="L342" s="264"/>
      <c r="O342" s="1">
        <f t="shared" si="63"/>
        <v>0</v>
      </c>
      <c r="P342" s="1">
        <f t="shared" si="63"/>
        <v>0</v>
      </c>
      <c r="Q342" s="202"/>
      <c r="R342" s="1">
        <f t="shared" si="64"/>
        <v>0</v>
      </c>
      <c r="S342" s="1">
        <f t="shared" si="64"/>
        <v>0</v>
      </c>
      <c r="T342" s="1">
        <f t="shared" si="64"/>
        <v>0</v>
      </c>
      <c r="U342" s="1">
        <f t="shared" si="64"/>
        <v>0</v>
      </c>
      <c r="V342" s="1">
        <f t="shared" si="64"/>
        <v>0</v>
      </c>
      <c r="W342" s="4">
        <f t="shared" si="65"/>
        <v>0</v>
      </c>
    </row>
    <row r="343" spans="4:23" ht="15" customHeight="1">
      <c r="D343" s="99" t="str">
        <f xml:space="preserve"> '2.1 Model setup'!K84</f>
        <v>6.3 Afskrivninger på målere</v>
      </c>
      <c r="E343" s="27"/>
      <c r="F343" s="27"/>
      <c r="G343" s="27"/>
      <c r="H343" s="27"/>
      <c r="I343" s="27"/>
      <c r="J343" s="27"/>
      <c r="K343" s="32" t="str">
        <f t="shared" si="62"/>
        <v>kWh</v>
      </c>
      <c r="L343" s="265"/>
      <c r="M343" s="27"/>
      <c r="N343" s="27"/>
      <c r="O343" s="27">
        <f t="shared" si="63"/>
        <v>0</v>
      </c>
      <c r="P343" s="27">
        <f t="shared" si="63"/>
        <v>0</v>
      </c>
      <c r="Q343" s="269"/>
      <c r="R343" s="27">
        <f t="shared" si="64"/>
        <v>0</v>
      </c>
      <c r="S343" s="27">
        <f t="shared" si="64"/>
        <v>0</v>
      </c>
      <c r="T343" s="27">
        <f t="shared" si="64"/>
        <v>0</v>
      </c>
      <c r="U343" s="27">
        <f t="shared" si="64"/>
        <v>0</v>
      </c>
      <c r="V343" s="27">
        <f t="shared" si="64"/>
        <v>0</v>
      </c>
      <c r="W343" s="35">
        <f t="shared" si="65"/>
        <v>0</v>
      </c>
    </row>
    <row r="344" spans="4:23" ht="15" customHeight="1">
      <c r="L344" s="231"/>
    </row>
    <row r="345" spans="4:23" ht="15" customHeight="1">
      <c r="D345" s="35" t="s">
        <v>642</v>
      </c>
      <c r="E345" s="27"/>
      <c r="F345" s="27"/>
      <c r="G345" s="27"/>
      <c r="H345" s="27"/>
      <c r="I345" s="27"/>
      <c r="J345" s="27"/>
      <c r="K345" s="32"/>
      <c r="L345" s="510"/>
      <c r="M345" s="27"/>
      <c r="N345" s="27"/>
      <c r="O345" s="27"/>
      <c r="P345" s="27"/>
      <c r="Q345" s="27"/>
      <c r="R345" s="27"/>
      <c r="S345" s="27"/>
      <c r="T345" s="27"/>
      <c r="U345" s="27"/>
      <c r="V345" s="27"/>
      <c r="W345" s="185" t="s">
        <v>16</v>
      </c>
    </row>
    <row r="346" spans="4:23" ht="15" customHeight="1">
      <c r="D346" s="123" t="str">
        <f xml:space="preserve"> '2.1 Model setup'!K70</f>
        <v>1.1 Drift og vedligeholdelse af transformerstationer</v>
      </c>
      <c r="E346" s="15"/>
      <c r="F346" s="15"/>
      <c r="G346" s="15"/>
      <c r="H346" s="15"/>
      <c r="I346" s="15"/>
      <c r="J346" s="15"/>
      <c r="K346" s="19" t="str">
        <f t="shared" ref="K346:K360" si="66" xml:space="preserve"> Model.Units2</f>
        <v>kWh</v>
      </c>
      <c r="L346" s="263"/>
      <c r="M346" s="15"/>
      <c r="N346" s="15"/>
      <c r="O346" s="15">
        <f t="shared" ref="O346:P360" si="67" xml:space="preserve"> O288* O$323</f>
        <v>0</v>
      </c>
      <c r="P346" s="15">
        <f t="shared" si="67"/>
        <v>0</v>
      </c>
      <c r="Q346" s="274"/>
      <c r="R346" s="15">
        <f t="shared" ref="R346:V360" si="68" xml:space="preserve"> R288* R$323</f>
        <v>0</v>
      </c>
      <c r="S346" s="15">
        <f t="shared" si="68"/>
        <v>0</v>
      </c>
      <c r="T346" s="15">
        <f t="shared" si="68"/>
        <v>0</v>
      </c>
      <c r="U346" s="15">
        <f t="shared" si="68"/>
        <v>0</v>
      </c>
      <c r="V346" s="15">
        <f t="shared" si="68"/>
        <v>0</v>
      </c>
      <c r="W346" s="18">
        <f xml:space="preserve"> SUM( O346:V346 )</f>
        <v>0</v>
      </c>
    </row>
    <row r="347" spans="4:23" ht="15" customHeight="1">
      <c r="D347" s="85" t="str">
        <f xml:space="preserve"> '2.1 Model setup'!K71</f>
        <v>1.2 Drift og vedligeholdelse af ledningsnet</v>
      </c>
      <c r="K347" s="5" t="str">
        <f t="shared" si="66"/>
        <v>kWh</v>
      </c>
      <c r="L347" s="264"/>
      <c r="O347" s="1">
        <f t="shared" si="67"/>
        <v>0</v>
      </c>
      <c r="P347" s="1">
        <f t="shared" si="67"/>
        <v>0</v>
      </c>
      <c r="Q347" s="202"/>
      <c r="R347" s="1">
        <f t="shared" si="68"/>
        <v>0</v>
      </c>
      <c r="S347" s="1">
        <f t="shared" si="68"/>
        <v>0</v>
      </c>
      <c r="T347" s="1">
        <f t="shared" si="68"/>
        <v>0</v>
      </c>
      <c r="U347" s="1">
        <f t="shared" si="68"/>
        <v>0</v>
      </c>
      <c r="V347" s="1">
        <f t="shared" si="68"/>
        <v>0</v>
      </c>
      <c r="W347" s="4">
        <f t="shared" ref="W347:W360" si="69" xml:space="preserve"> SUM( O347:V347 )</f>
        <v>0</v>
      </c>
    </row>
    <row r="348" spans="4:23" ht="15" customHeight="1">
      <c r="D348" s="85" t="str">
        <f xml:space="preserve"> '2.1 Model setup'!K72</f>
        <v>1.3 Øvrige omkostninger til drift, styring og kontrol af elnettet</v>
      </c>
      <c r="K348" s="5" t="str">
        <f t="shared" si="66"/>
        <v>kWh</v>
      </c>
      <c r="L348" s="264"/>
      <c r="O348" s="1">
        <f t="shared" si="67"/>
        <v>0</v>
      </c>
      <c r="P348" s="1">
        <f t="shared" si="67"/>
        <v>0</v>
      </c>
      <c r="Q348" s="202"/>
      <c r="R348" s="1">
        <f t="shared" si="68"/>
        <v>0</v>
      </c>
      <c r="S348" s="1">
        <f t="shared" si="68"/>
        <v>0</v>
      </c>
      <c r="T348" s="1">
        <f t="shared" si="68"/>
        <v>0</v>
      </c>
      <c r="U348" s="1">
        <f t="shared" si="68"/>
        <v>0</v>
      </c>
      <c r="V348" s="1">
        <f t="shared" si="68"/>
        <v>0</v>
      </c>
      <c r="W348" s="4">
        <f t="shared" si="69"/>
        <v>0</v>
      </c>
    </row>
    <row r="349" spans="4:23" ht="15" customHeight="1">
      <c r="D349" s="85" t="str">
        <f xml:space="preserve"> '2.1 Model setup'!K73</f>
        <v>1.4 Omkostninger vedrørende 132-150/30-60 kV-stationer</v>
      </c>
      <c r="K349" s="5" t="str">
        <f t="shared" si="66"/>
        <v>kWh</v>
      </c>
      <c r="L349" s="264"/>
      <c r="O349" s="1">
        <f t="shared" si="67"/>
        <v>0</v>
      </c>
      <c r="P349" s="1">
        <f t="shared" si="67"/>
        <v>0</v>
      </c>
      <c r="Q349" s="202"/>
      <c r="R349" s="1">
        <f t="shared" si="68"/>
        <v>0</v>
      </c>
      <c r="S349" s="1">
        <f t="shared" si="68"/>
        <v>0</v>
      </c>
      <c r="T349" s="1">
        <f t="shared" si="68"/>
        <v>0</v>
      </c>
      <c r="U349" s="1">
        <f t="shared" si="68"/>
        <v>0</v>
      </c>
      <c r="V349" s="1">
        <f t="shared" si="68"/>
        <v>0</v>
      </c>
      <c r="W349" s="4">
        <f t="shared" si="69"/>
        <v>0</v>
      </c>
    </row>
    <row r="350" spans="4:23" ht="15" customHeight="1">
      <c r="D350" s="85" t="str">
        <f xml:space="preserve"> '2.1 Model setup'!K74</f>
        <v>2.1 Drift og vedligeholdelse af målere</v>
      </c>
      <c r="K350" s="5" t="str">
        <f t="shared" si="66"/>
        <v>kWh</v>
      </c>
      <c r="L350" s="264"/>
      <c r="O350" s="1">
        <f t="shared" si="67"/>
        <v>0</v>
      </c>
      <c r="P350" s="1">
        <f t="shared" si="67"/>
        <v>0</v>
      </c>
      <c r="Q350" s="202"/>
      <c r="R350" s="1">
        <f t="shared" si="68"/>
        <v>0</v>
      </c>
      <c r="S350" s="1">
        <f t="shared" si="68"/>
        <v>0</v>
      </c>
      <c r="T350" s="1">
        <f t="shared" si="68"/>
        <v>0</v>
      </c>
      <c r="U350" s="1">
        <f t="shared" si="68"/>
        <v>0</v>
      </c>
      <c r="V350" s="1">
        <f t="shared" si="68"/>
        <v>0</v>
      </c>
      <c r="W350" s="4">
        <f t="shared" si="69"/>
        <v>0</v>
      </c>
    </row>
    <row r="351" spans="4:23" ht="15" customHeight="1">
      <c r="D351" s="85" t="str">
        <f xml:space="preserve"> '2.1 Model setup'!K75</f>
        <v>2.2 Indhentning og validering af målerdata</v>
      </c>
      <c r="K351" s="5" t="str">
        <f t="shared" si="66"/>
        <v>kWh</v>
      </c>
      <c r="L351" s="264"/>
      <c r="O351" s="1">
        <f t="shared" si="67"/>
        <v>0</v>
      </c>
      <c r="P351" s="1">
        <f t="shared" si="67"/>
        <v>0</v>
      </c>
      <c r="Q351" s="202"/>
      <c r="R351" s="1">
        <f t="shared" si="68"/>
        <v>0</v>
      </c>
      <c r="S351" s="1">
        <f t="shared" si="68"/>
        <v>0</v>
      </c>
      <c r="T351" s="1">
        <f t="shared" si="68"/>
        <v>0</v>
      </c>
      <c r="U351" s="1">
        <f t="shared" si="68"/>
        <v>0</v>
      </c>
      <c r="V351" s="1">
        <f t="shared" si="68"/>
        <v>0</v>
      </c>
      <c r="W351" s="4">
        <f t="shared" si="69"/>
        <v>0</v>
      </c>
    </row>
    <row r="352" spans="4:23" ht="15" customHeight="1">
      <c r="D352" s="85" t="str">
        <f xml:space="preserve"> '2.1 Model setup'!K76</f>
        <v>2.3 Måleradministration og kundehåndtering</v>
      </c>
      <c r="K352" s="5" t="str">
        <f t="shared" si="66"/>
        <v>kWh</v>
      </c>
      <c r="L352" s="264"/>
      <c r="O352" s="1">
        <f t="shared" si="67"/>
        <v>0</v>
      </c>
      <c r="P352" s="1">
        <f t="shared" si="67"/>
        <v>0</v>
      </c>
      <c r="Q352" s="202"/>
      <c r="R352" s="1">
        <f t="shared" si="68"/>
        <v>0</v>
      </c>
      <c r="S352" s="1">
        <f t="shared" si="68"/>
        <v>0</v>
      </c>
      <c r="T352" s="1">
        <f t="shared" si="68"/>
        <v>0</v>
      </c>
      <c r="U352" s="1">
        <f t="shared" si="68"/>
        <v>0</v>
      </c>
      <c r="V352" s="1">
        <f t="shared" si="68"/>
        <v>0</v>
      </c>
      <c r="W352" s="4">
        <f t="shared" si="69"/>
        <v>0</v>
      </c>
    </row>
    <row r="353" spans="4:23" ht="15" customHeight="1">
      <c r="D353" s="85" t="str">
        <f xml:space="preserve"> '2.1 Model setup'!K77</f>
        <v>3.1 Generel administration</v>
      </c>
      <c r="K353" s="5" t="str">
        <f t="shared" si="66"/>
        <v>kWh</v>
      </c>
      <c r="L353" s="264"/>
      <c r="O353" s="1">
        <f t="shared" si="67"/>
        <v>0</v>
      </c>
      <c r="P353" s="1">
        <f t="shared" si="67"/>
        <v>0</v>
      </c>
      <c r="Q353" s="202"/>
      <c r="R353" s="1">
        <f t="shared" si="68"/>
        <v>0</v>
      </c>
      <c r="S353" s="1">
        <f t="shared" si="68"/>
        <v>0</v>
      </c>
      <c r="T353" s="1">
        <f t="shared" si="68"/>
        <v>0</v>
      </c>
      <c r="U353" s="1">
        <f t="shared" si="68"/>
        <v>0</v>
      </c>
      <c r="V353" s="1">
        <f t="shared" si="68"/>
        <v>0</v>
      </c>
      <c r="W353" s="4">
        <f t="shared" si="69"/>
        <v>0</v>
      </c>
    </row>
    <row r="354" spans="4:23" ht="15" customHeight="1">
      <c r="D354" s="85" t="str">
        <f xml:space="preserve"> '2.1 Model setup'!K78</f>
        <v>4.1 Omkostninger vedrørende nettab i transformerstationer</v>
      </c>
      <c r="K354" s="5" t="str">
        <f t="shared" si="66"/>
        <v>kWh</v>
      </c>
      <c r="L354" s="264"/>
      <c r="O354" s="1">
        <f t="shared" si="67"/>
        <v>0</v>
      </c>
      <c r="P354" s="1">
        <f t="shared" si="67"/>
        <v>0</v>
      </c>
      <c r="Q354" s="202"/>
      <c r="R354" s="1">
        <f t="shared" si="68"/>
        <v>0</v>
      </c>
      <c r="S354" s="1">
        <f t="shared" si="68"/>
        <v>0</v>
      </c>
      <c r="T354" s="1">
        <f t="shared" si="68"/>
        <v>0</v>
      </c>
      <c r="U354" s="1">
        <f t="shared" si="68"/>
        <v>0</v>
      </c>
      <c r="V354" s="1">
        <f t="shared" si="68"/>
        <v>0</v>
      </c>
      <c r="W354" s="4">
        <f t="shared" si="69"/>
        <v>0</v>
      </c>
    </row>
    <row r="355" spans="4:23" ht="15" customHeight="1">
      <c r="D355" s="85" t="str">
        <f xml:space="preserve"> '2.1 Model setup'!K79</f>
        <v>4.2 Omkostninger vedrørende nettab i ledningsnettet</v>
      </c>
      <c r="K355" s="5" t="str">
        <f t="shared" si="66"/>
        <v>kWh</v>
      </c>
      <c r="L355" s="264"/>
      <c r="O355" s="1">
        <f t="shared" si="67"/>
        <v>0</v>
      </c>
      <c r="P355" s="1">
        <f t="shared" si="67"/>
        <v>0</v>
      </c>
      <c r="Q355" s="202"/>
      <c r="R355" s="1">
        <f t="shared" si="68"/>
        <v>0</v>
      </c>
      <c r="S355" s="1">
        <f t="shared" si="68"/>
        <v>0</v>
      </c>
      <c r="T355" s="1">
        <f t="shared" si="68"/>
        <v>0</v>
      </c>
      <c r="U355" s="1">
        <f t="shared" si="68"/>
        <v>0</v>
      </c>
      <c r="V355" s="1">
        <f t="shared" si="68"/>
        <v>0</v>
      </c>
      <c r="W355" s="4">
        <f t="shared" si="69"/>
        <v>0</v>
      </c>
    </row>
    <row r="356" spans="4:23" ht="15" customHeight="1">
      <c r="D356" s="85" t="str">
        <f xml:space="preserve"> '2.1 Model setup'!K88</f>
        <v>5.1 Omkostninger til overliggende net ifm. indfødning</v>
      </c>
      <c r="K356" s="5" t="str">
        <f t="shared" si="66"/>
        <v>kWh</v>
      </c>
      <c r="L356" s="264"/>
      <c r="O356" s="1">
        <f t="shared" si="67"/>
        <v>0</v>
      </c>
      <c r="P356" s="1">
        <f t="shared" si="67"/>
        <v>0</v>
      </c>
      <c r="Q356" s="202"/>
      <c r="R356" s="1">
        <f t="shared" si="68"/>
        <v>0</v>
      </c>
      <c r="S356" s="1">
        <f t="shared" si="68"/>
        <v>0</v>
      </c>
      <c r="T356" s="1">
        <f t="shared" si="68"/>
        <v>0</v>
      </c>
      <c r="U356" s="1">
        <f t="shared" si="68"/>
        <v>0</v>
      </c>
      <c r="V356" s="1">
        <f t="shared" si="68"/>
        <v>0</v>
      </c>
      <c r="W356" s="4">
        <f t="shared" si="69"/>
        <v>0</v>
      </c>
    </row>
    <row r="357" spans="4:23" ht="15" customHeight="1">
      <c r="D357" s="85" t="str">
        <f xml:space="preserve"> '2.1 Model setup'!K81</f>
        <v>5.2 Øvrige omkostninger</v>
      </c>
      <c r="K357" s="5" t="str">
        <f t="shared" si="66"/>
        <v>kWh</v>
      </c>
      <c r="L357" s="264"/>
      <c r="O357" s="1">
        <f t="shared" si="67"/>
        <v>0</v>
      </c>
      <c r="P357" s="1">
        <f t="shared" si="67"/>
        <v>0</v>
      </c>
      <c r="Q357" s="202"/>
      <c r="R357" s="1">
        <f t="shared" si="68"/>
        <v>0</v>
      </c>
      <c r="S357" s="1">
        <f t="shared" si="68"/>
        <v>0</v>
      </c>
      <c r="T357" s="1">
        <f t="shared" si="68"/>
        <v>0</v>
      </c>
      <c r="U357" s="1">
        <f t="shared" si="68"/>
        <v>0</v>
      </c>
      <c r="V357" s="1">
        <f t="shared" si="68"/>
        <v>0</v>
      </c>
      <c r="W357" s="4">
        <f t="shared" si="69"/>
        <v>0</v>
      </c>
    </row>
    <row r="358" spans="4:23" ht="15" customHeight="1">
      <c r="D358" s="85" t="str">
        <f xml:space="preserve"> '2.1 Model setup'!K82</f>
        <v>6.1 Afskrivninger på transformerstationer</v>
      </c>
      <c r="K358" s="5" t="str">
        <f t="shared" si="66"/>
        <v>kWh</v>
      </c>
      <c r="L358" s="264"/>
      <c r="O358" s="1">
        <f t="shared" si="67"/>
        <v>0</v>
      </c>
      <c r="P358" s="1">
        <f t="shared" si="67"/>
        <v>0</v>
      </c>
      <c r="Q358" s="202"/>
      <c r="R358" s="1">
        <f t="shared" si="68"/>
        <v>0</v>
      </c>
      <c r="S358" s="1">
        <f t="shared" si="68"/>
        <v>0</v>
      </c>
      <c r="T358" s="1">
        <f t="shared" si="68"/>
        <v>0</v>
      </c>
      <c r="U358" s="1">
        <f t="shared" si="68"/>
        <v>0</v>
      </c>
      <c r="V358" s="1">
        <f t="shared" si="68"/>
        <v>0</v>
      </c>
      <c r="W358" s="4">
        <f t="shared" si="69"/>
        <v>0</v>
      </c>
    </row>
    <row r="359" spans="4:23" ht="15" customHeight="1">
      <c r="D359" s="85" t="str">
        <f xml:space="preserve"> '2.1 Model setup'!K83</f>
        <v>6.2 Afskrivninger på netaktiver ekskl. målere og transformerstationer</v>
      </c>
      <c r="K359" s="5" t="str">
        <f t="shared" si="66"/>
        <v>kWh</v>
      </c>
      <c r="L359" s="264"/>
      <c r="O359" s="1">
        <f t="shared" si="67"/>
        <v>0</v>
      </c>
      <c r="P359" s="1">
        <f t="shared" si="67"/>
        <v>0</v>
      </c>
      <c r="Q359" s="202"/>
      <c r="R359" s="1">
        <f t="shared" si="68"/>
        <v>0</v>
      </c>
      <c r="S359" s="1">
        <f t="shared" si="68"/>
        <v>0</v>
      </c>
      <c r="T359" s="1">
        <f t="shared" si="68"/>
        <v>0</v>
      </c>
      <c r="U359" s="1">
        <f t="shared" si="68"/>
        <v>0</v>
      </c>
      <c r="V359" s="1">
        <f t="shared" si="68"/>
        <v>0</v>
      </c>
      <c r="W359" s="4">
        <f t="shared" si="69"/>
        <v>0</v>
      </c>
    </row>
    <row r="360" spans="4:23" ht="15" customHeight="1">
      <c r="D360" s="99" t="str">
        <f xml:space="preserve"> '2.1 Model setup'!K84</f>
        <v>6.3 Afskrivninger på målere</v>
      </c>
      <c r="E360" s="27"/>
      <c r="F360" s="27"/>
      <c r="G360" s="27"/>
      <c r="H360" s="27"/>
      <c r="I360" s="27"/>
      <c r="J360" s="27"/>
      <c r="K360" s="32" t="str">
        <f t="shared" si="66"/>
        <v>kWh</v>
      </c>
      <c r="L360" s="265"/>
      <c r="M360" s="27"/>
      <c r="N360" s="27"/>
      <c r="O360" s="27">
        <f t="shared" si="67"/>
        <v>0</v>
      </c>
      <c r="P360" s="27">
        <f t="shared" si="67"/>
        <v>0</v>
      </c>
      <c r="Q360" s="269"/>
      <c r="R360" s="27">
        <f t="shared" si="68"/>
        <v>0</v>
      </c>
      <c r="S360" s="27">
        <f t="shared" si="68"/>
        <v>0</v>
      </c>
      <c r="T360" s="27">
        <f t="shared" si="68"/>
        <v>0</v>
      </c>
      <c r="U360" s="27">
        <f t="shared" si="68"/>
        <v>0</v>
      </c>
      <c r="V360" s="27">
        <f t="shared" si="68"/>
        <v>0</v>
      </c>
      <c r="W360" s="35">
        <f t="shared" si="69"/>
        <v>0</v>
      </c>
    </row>
    <row r="361" spans="4:23" ht="15" customHeight="1">
      <c r="L361" s="231"/>
    </row>
    <row r="362" spans="4:23" ht="15" customHeight="1">
      <c r="D362" s="35" t="s">
        <v>608</v>
      </c>
      <c r="E362" s="27"/>
      <c r="F362" s="27"/>
      <c r="G362" s="27"/>
      <c r="H362" s="27"/>
      <c r="I362" s="27"/>
      <c r="J362" s="27"/>
      <c r="K362" s="32"/>
      <c r="L362" s="510"/>
      <c r="M362" s="27"/>
      <c r="N362" s="27"/>
      <c r="O362" s="27"/>
      <c r="P362" s="27"/>
      <c r="Q362" s="27"/>
      <c r="R362" s="27"/>
      <c r="S362" s="27"/>
      <c r="T362" s="27"/>
      <c r="U362" s="27"/>
      <c r="V362" s="27"/>
      <c r="W362" s="185" t="s">
        <v>16</v>
      </c>
    </row>
    <row r="363" spans="4:23" ht="15" customHeight="1">
      <c r="D363" s="123" t="str">
        <f xml:space="preserve"> '2.1 Model setup'!K70</f>
        <v>1.1 Drift og vedligeholdelse af transformerstationer</v>
      </c>
      <c r="E363" s="15"/>
      <c r="F363" s="15"/>
      <c r="G363" s="15"/>
      <c r="H363" s="15"/>
      <c r="I363" s="15"/>
      <c r="J363" s="15"/>
      <c r="K363" s="19" t="str">
        <f t="shared" ref="K363:K377" si="70" xml:space="preserve"> Model.Units2</f>
        <v>kWh</v>
      </c>
      <c r="L363" s="263"/>
      <c r="M363" s="15"/>
      <c r="N363" s="15"/>
      <c r="O363" s="15">
        <f t="shared" ref="O363:P377" si="71" xml:space="preserve"> O288* O$324</f>
        <v>0</v>
      </c>
      <c r="P363" s="15">
        <f t="shared" si="71"/>
        <v>0</v>
      </c>
      <c r="Q363" s="274"/>
      <c r="R363" s="15">
        <f t="shared" ref="R363:V377" si="72" xml:space="preserve"> R288* R$324</f>
        <v>0</v>
      </c>
      <c r="S363" s="15">
        <f t="shared" si="72"/>
        <v>0</v>
      </c>
      <c r="T363" s="15">
        <f t="shared" si="72"/>
        <v>0</v>
      </c>
      <c r="U363" s="15">
        <f t="shared" si="72"/>
        <v>0</v>
      </c>
      <c r="V363" s="15">
        <f t="shared" si="72"/>
        <v>0</v>
      </c>
      <c r="W363" s="18">
        <f xml:space="preserve"> SUM( O363:V363 )</f>
        <v>0</v>
      </c>
    </row>
    <row r="364" spans="4:23" ht="15" customHeight="1">
      <c r="D364" s="85" t="str">
        <f xml:space="preserve"> '2.1 Model setup'!K71</f>
        <v>1.2 Drift og vedligeholdelse af ledningsnet</v>
      </c>
      <c r="K364" s="5" t="str">
        <f t="shared" si="70"/>
        <v>kWh</v>
      </c>
      <c r="L364" s="264"/>
      <c r="O364" s="1">
        <f t="shared" si="71"/>
        <v>0</v>
      </c>
      <c r="P364" s="1">
        <f t="shared" si="71"/>
        <v>0</v>
      </c>
      <c r="Q364" s="202"/>
      <c r="R364" s="1">
        <f t="shared" si="72"/>
        <v>0</v>
      </c>
      <c r="S364" s="1">
        <f t="shared" si="72"/>
        <v>0</v>
      </c>
      <c r="T364" s="1">
        <f t="shared" si="72"/>
        <v>0</v>
      </c>
      <c r="U364" s="1">
        <f t="shared" si="72"/>
        <v>0</v>
      </c>
      <c r="V364" s="1">
        <f t="shared" si="72"/>
        <v>0</v>
      </c>
      <c r="W364" s="4">
        <f t="shared" ref="W364:W377" si="73" xml:space="preserve"> SUM( O364:V364 )</f>
        <v>0</v>
      </c>
    </row>
    <row r="365" spans="4:23" ht="15" customHeight="1">
      <c r="D365" s="85" t="str">
        <f xml:space="preserve"> '2.1 Model setup'!K72</f>
        <v>1.3 Øvrige omkostninger til drift, styring og kontrol af elnettet</v>
      </c>
      <c r="K365" s="5" t="str">
        <f t="shared" si="70"/>
        <v>kWh</v>
      </c>
      <c r="L365" s="264"/>
      <c r="O365" s="1">
        <f t="shared" si="71"/>
        <v>0</v>
      </c>
      <c r="P365" s="1">
        <f t="shared" si="71"/>
        <v>0</v>
      </c>
      <c r="Q365" s="202"/>
      <c r="R365" s="1">
        <f t="shared" si="72"/>
        <v>0</v>
      </c>
      <c r="S365" s="1">
        <f t="shared" si="72"/>
        <v>0</v>
      </c>
      <c r="T365" s="1">
        <f t="shared" si="72"/>
        <v>0</v>
      </c>
      <c r="U365" s="1">
        <f t="shared" si="72"/>
        <v>0</v>
      </c>
      <c r="V365" s="1">
        <f t="shared" si="72"/>
        <v>0</v>
      </c>
      <c r="W365" s="4">
        <f t="shared" si="73"/>
        <v>0</v>
      </c>
    </row>
    <row r="366" spans="4:23" ht="15" customHeight="1">
      <c r="D366" s="85" t="str">
        <f xml:space="preserve"> '2.1 Model setup'!K73</f>
        <v>1.4 Omkostninger vedrørende 132-150/30-60 kV-stationer</v>
      </c>
      <c r="K366" s="5" t="str">
        <f t="shared" si="70"/>
        <v>kWh</v>
      </c>
      <c r="L366" s="264"/>
      <c r="O366" s="1">
        <f t="shared" si="71"/>
        <v>0</v>
      </c>
      <c r="P366" s="1">
        <f t="shared" si="71"/>
        <v>0</v>
      </c>
      <c r="Q366" s="202"/>
      <c r="R366" s="1">
        <f t="shared" si="72"/>
        <v>0</v>
      </c>
      <c r="S366" s="1">
        <f t="shared" si="72"/>
        <v>0</v>
      </c>
      <c r="T366" s="1">
        <f t="shared" si="72"/>
        <v>0</v>
      </c>
      <c r="U366" s="1">
        <f t="shared" si="72"/>
        <v>0</v>
      </c>
      <c r="V366" s="1">
        <f t="shared" si="72"/>
        <v>0</v>
      </c>
      <c r="W366" s="4">
        <f t="shared" si="73"/>
        <v>0</v>
      </c>
    </row>
    <row r="367" spans="4:23" ht="15" customHeight="1">
      <c r="D367" s="85" t="str">
        <f xml:space="preserve"> '2.1 Model setup'!K74</f>
        <v>2.1 Drift og vedligeholdelse af målere</v>
      </c>
      <c r="K367" s="5" t="str">
        <f t="shared" si="70"/>
        <v>kWh</v>
      </c>
      <c r="L367" s="264"/>
      <c r="O367" s="1">
        <f t="shared" si="71"/>
        <v>0</v>
      </c>
      <c r="P367" s="1">
        <f t="shared" si="71"/>
        <v>0</v>
      </c>
      <c r="Q367" s="202"/>
      <c r="R367" s="1">
        <f t="shared" si="72"/>
        <v>0</v>
      </c>
      <c r="S367" s="1">
        <f t="shared" si="72"/>
        <v>0</v>
      </c>
      <c r="T367" s="1">
        <f t="shared" si="72"/>
        <v>0</v>
      </c>
      <c r="U367" s="1">
        <f t="shared" si="72"/>
        <v>0</v>
      </c>
      <c r="V367" s="1">
        <f t="shared" si="72"/>
        <v>0</v>
      </c>
      <c r="W367" s="4">
        <f t="shared" si="73"/>
        <v>0</v>
      </c>
    </row>
    <row r="368" spans="4:23" ht="15" customHeight="1">
      <c r="D368" s="85" t="str">
        <f xml:space="preserve"> '2.1 Model setup'!K75</f>
        <v>2.2 Indhentning og validering af målerdata</v>
      </c>
      <c r="K368" s="5" t="str">
        <f t="shared" si="70"/>
        <v>kWh</v>
      </c>
      <c r="L368" s="264"/>
      <c r="O368" s="1">
        <f t="shared" si="71"/>
        <v>0</v>
      </c>
      <c r="P368" s="1">
        <f t="shared" si="71"/>
        <v>0</v>
      </c>
      <c r="Q368" s="202"/>
      <c r="R368" s="1">
        <f t="shared" si="72"/>
        <v>0</v>
      </c>
      <c r="S368" s="1">
        <f t="shared" si="72"/>
        <v>0</v>
      </c>
      <c r="T368" s="1">
        <f t="shared" si="72"/>
        <v>0</v>
      </c>
      <c r="U368" s="1">
        <f t="shared" si="72"/>
        <v>0</v>
      </c>
      <c r="V368" s="1">
        <f t="shared" si="72"/>
        <v>0</v>
      </c>
      <c r="W368" s="4">
        <f t="shared" si="73"/>
        <v>0</v>
      </c>
    </row>
    <row r="369" spans="4:23" ht="15" customHeight="1">
      <c r="D369" s="85" t="str">
        <f xml:space="preserve"> '2.1 Model setup'!K76</f>
        <v>2.3 Måleradministration og kundehåndtering</v>
      </c>
      <c r="K369" s="5" t="str">
        <f t="shared" si="70"/>
        <v>kWh</v>
      </c>
      <c r="L369" s="264"/>
      <c r="O369" s="1">
        <f t="shared" si="71"/>
        <v>0</v>
      </c>
      <c r="P369" s="1">
        <f t="shared" si="71"/>
        <v>0</v>
      </c>
      <c r="Q369" s="202"/>
      <c r="R369" s="1">
        <f t="shared" si="72"/>
        <v>0</v>
      </c>
      <c r="S369" s="1">
        <f t="shared" si="72"/>
        <v>0</v>
      </c>
      <c r="T369" s="1">
        <f t="shared" si="72"/>
        <v>0</v>
      </c>
      <c r="U369" s="1">
        <f t="shared" si="72"/>
        <v>0</v>
      </c>
      <c r="V369" s="1">
        <f t="shared" si="72"/>
        <v>0</v>
      </c>
      <c r="W369" s="4">
        <f t="shared" si="73"/>
        <v>0</v>
      </c>
    </row>
    <row r="370" spans="4:23" ht="15" customHeight="1">
      <c r="D370" s="85" t="str">
        <f xml:space="preserve"> '2.1 Model setup'!K77</f>
        <v>3.1 Generel administration</v>
      </c>
      <c r="K370" s="5" t="str">
        <f t="shared" si="70"/>
        <v>kWh</v>
      </c>
      <c r="L370" s="264"/>
      <c r="O370" s="1">
        <f t="shared" si="71"/>
        <v>0</v>
      </c>
      <c r="P370" s="1">
        <f t="shared" si="71"/>
        <v>0</v>
      </c>
      <c r="Q370" s="202"/>
      <c r="R370" s="1">
        <f t="shared" si="72"/>
        <v>0</v>
      </c>
      <c r="S370" s="1">
        <f t="shared" si="72"/>
        <v>0</v>
      </c>
      <c r="T370" s="1">
        <f t="shared" si="72"/>
        <v>0</v>
      </c>
      <c r="U370" s="1">
        <f t="shared" si="72"/>
        <v>0</v>
      </c>
      <c r="V370" s="1">
        <f t="shared" si="72"/>
        <v>0</v>
      </c>
      <c r="W370" s="4">
        <f t="shared" si="73"/>
        <v>0</v>
      </c>
    </row>
    <row r="371" spans="4:23" ht="15" customHeight="1">
      <c r="D371" s="85" t="str">
        <f xml:space="preserve"> '2.1 Model setup'!K78</f>
        <v>4.1 Omkostninger vedrørende nettab i transformerstationer</v>
      </c>
      <c r="K371" s="5" t="str">
        <f t="shared" si="70"/>
        <v>kWh</v>
      </c>
      <c r="L371" s="264"/>
      <c r="O371" s="1">
        <f t="shared" si="71"/>
        <v>0</v>
      </c>
      <c r="P371" s="1">
        <f t="shared" si="71"/>
        <v>0</v>
      </c>
      <c r="Q371" s="202"/>
      <c r="R371" s="1">
        <f t="shared" si="72"/>
        <v>0</v>
      </c>
      <c r="S371" s="1">
        <f t="shared" si="72"/>
        <v>0</v>
      </c>
      <c r="T371" s="1">
        <f t="shared" si="72"/>
        <v>0</v>
      </c>
      <c r="U371" s="1">
        <f t="shared" si="72"/>
        <v>0</v>
      </c>
      <c r="V371" s="1">
        <f t="shared" si="72"/>
        <v>0</v>
      </c>
      <c r="W371" s="4">
        <f t="shared" si="73"/>
        <v>0</v>
      </c>
    </row>
    <row r="372" spans="4:23" ht="15" customHeight="1">
      <c r="D372" s="85" t="str">
        <f xml:space="preserve"> '2.1 Model setup'!K79</f>
        <v>4.2 Omkostninger vedrørende nettab i ledningsnettet</v>
      </c>
      <c r="K372" s="5" t="str">
        <f t="shared" si="70"/>
        <v>kWh</v>
      </c>
      <c r="L372" s="264"/>
      <c r="O372" s="1">
        <f t="shared" si="71"/>
        <v>0</v>
      </c>
      <c r="P372" s="1">
        <f t="shared" si="71"/>
        <v>0</v>
      </c>
      <c r="Q372" s="202"/>
      <c r="R372" s="1">
        <f t="shared" si="72"/>
        <v>0</v>
      </c>
      <c r="S372" s="1">
        <f t="shared" si="72"/>
        <v>0</v>
      </c>
      <c r="T372" s="1">
        <f t="shared" si="72"/>
        <v>0</v>
      </c>
      <c r="U372" s="1">
        <f t="shared" si="72"/>
        <v>0</v>
      </c>
      <c r="V372" s="1">
        <f t="shared" si="72"/>
        <v>0</v>
      </c>
      <c r="W372" s="4">
        <f t="shared" si="73"/>
        <v>0</v>
      </c>
    </row>
    <row r="373" spans="4:23" ht="15" customHeight="1">
      <c r="D373" s="85" t="str">
        <f xml:space="preserve"> '2.1 Model setup'!K88</f>
        <v>5.1 Omkostninger til overliggende net ifm. indfødning</v>
      </c>
      <c r="K373" s="5" t="str">
        <f t="shared" si="70"/>
        <v>kWh</v>
      </c>
      <c r="L373" s="264"/>
      <c r="O373" s="1">
        <f t="shared" si="71"/>
        <v>0</v>
      </c>
      <c r="P373" s="1">
        <f t="shared" si="71"/>
        <v>0</v>
      </c>
      <c r="Q373" s="202"/>
      <c r="R373" s="1">
        <f t="shared" si="72"/>
        <v>0</v>
      </c>
      <c r="S373" s="1">
        <f t="shared" si="72"/>
        <v>0</v>
      </c>
      <c r="T373" s="1">
        <f t="shared" si="72"/>
        <v>0</v>
      </c>
      <c r="U373" s="1">
        <f t="shared" si="72"/>
        <v>0</v>
      </c>
      <c r="V373" s="1">
        <f t="shared" si="72"/>
        <v>0</v>
      </c>
      <c r="W373" s="4">
        <f t="shared" si="73"/>
        <v>0</v>
      </c>
    </row>
    <row r="374" spans="4:23" ht="15" customHeight="1">
      <c r="D374" s="85" t="str">
        <f xml:space="preserve"> '2.1 Model setup'!K81</f>
        <v>5.2 Øvrige omkostninger</v>
      </c>
      <c r="K374" s="5" t="str">
        <f t="shared" si="70"/>
        <v>kWh</v>
      </c>
      <c r="L374" s="264"/>
      <c r="O374" s="1">
        <f t="shared" si="71"/>
        <v>0</v>
      </c>
      <c r="P374" s="1">
        <f t="shared" si="71"/>
        <v>0</v>
      </c>
      <c r="Q374" s="202"/>
      <c r="R374" s="1">
        <f t="shared" si="72"/>
        <v>0</v>
      </c>
      <c r="S374" s="1">
        <f t="shared" si="72"/>
        <v>0</v>
      </c>
      <c r="T374" s="1">
        <f t="shared" si="72"/>
        <v>0</v>
      </c>
      <c r="U374" s="1">
        <f t="shared" si="72"/>
        <v>0</v>
      </c>
      <c r="V374" s="1">
        <f t="shared" si="72"/>
        <v>0</v>
      </c>
      <c r="W374" s="4">
        <f t="shared" si="73"/>
        <v>0</v>
      </c>
    </row>
    <row r="375" spans="4:23" ht="15" customHeight="1">
      <c r="D375" s="85" t="str">
        <f xml:space="preserve"> '2.1 Model setup'!K82</f>
        <v>6.1 Afskrivninger på transformerstationer</v>
      </c>
      <c r="K375" s="5" t="str">
        <f t="shared" si="70"/>
        <v>kWh</v>
      </c>
      <c r="L375" s="264"/>
      <c r="O375" s="1">
        <f t="shared" si="71"/>
        <v>0</v>
      </c>
      <c r="P375" s="1">
        <f t="shared" si="71"/>
        <v>0</v>
      </c>
      <c r="Q375" s="202"/>
      <c r="R375" s="1">
        <f t="shared" si="72"/>
        <v>0</v>
      </c>
      <c r="S375" s="1">
        <f t="shared" si="72"/>
        <v>0</v>
      </c>
      <c r="T375" s="1">
        <f t="shared" si="72"/>
        <v>0</v>
      </c>
      <c r="U375" s="1">
        <f t="shared" si="72"/>
        <v>0</v>
      </c>
      <c r="V375" s="1">
        <f t="shared" si="72"/>
        <v>0</v>
      </c>
      <c r="W375" s="4">
        <f t="shared" si="73"/>
        <v>0</v>
      </c>
    </row>
    <row r="376" spans="4:23" ht="15" customHeight="1">
      <c r="D376" s="85" t="str">
        <f xml:space="preserve"> '2.1 Model setup'!K83</f>
        <v>6.2 Afskrivninger på netaktiver ekskl. målere og transformerstationer</v>
      </c>
      <c r="K376" s="5" t="str">
        <f t="shared" si="70"/>
        <v>kWh</v>
      </c>
      <c r="L376" s="264"/>
      <c r="O376" s="1">
        <f t="shared" si="71"/>
        <v>0</v>
      </c>
      <c r="P376" s="1">
        <f t="shared" si="71"/>
        <v>0</v>
      </c>
      <c r="Q376" s="202"/>
      <c r="R376" s="1">
        <f t="shared" si="72"/>
        <v>0</v>
      </c>
      <c r="S376" s="1">
        <f t="shared" si="72"/>
        <v>0</v>
      </c>
      <c r="T376" s="1">
        <f t="shared" si="72"/>
        <v>0</v>
      </c>
      <c r="U376" s="1">
        <f t="shared" si="72"/>
        <v>0</v>
      </c>
      <c r="V376" s="1">
        <f t="shared" si="72"/>
        <v>0</v>
      </c>
      <c r="W376" s="4">
        <f t="shared" si="73"/>
        <v>0</v>
      </c>
    </row>
    <row r="377" spans="4:23" ht="15" customHeight="1">
      <c r="D377" s="99" t="str">
        <f xml:space="preserve"> '2.1 Model setup'!K84</f>
        <v>6.3 Afskrivninger på målere</v>
      </c>
      <c r="E377" s="27"/>
      <c r="F377" s="27"/>
      <c r="G377" s="27"/>
      <c r="H377" s="27"/>
      <c r="I377" s="27"/>
      <c r="J377" s="27"/>
      <c r="K377" s="32" t="str">
        <f t="shared" si="70"/>
        <v>kWh</v>
      </c>
      <c r="L377" s="265"/>
      <c r="M377" s="27"/>
      <c r="N377" s="27"/>
      <c r="O377" s="27">
        <f t="shared" si="71"/>
        <v>0</v>
      </c>
      <c r="P377" s="27">
        <f t="shared" si="71"/>
        <v>0</v>
      </c>
      <c r="Q377" s="269"/>
      <c r="R377" s="27">
        <f t="shared" si="72"/>
        <v>0</v>
      </c>
      <c r="S377" s="27">
        <f t="shared" si="72"/>
        <v>0</v>
      </c>
      <c r="T377" s="27">
        <f t="shared" si="72"/>
        <v>0</v>
      </c>
      <c r="U377" s="27">
        <f t="shared" si="72"/>
        <v>0</v>
      </c>
      <c r="V377" s="27">
        <f t="shared" si="72"/>
        <v>0</v>
      </c>
      <c r="W377" s="35">
        <f t="shared" si="73"/>
        <v>0</v>
      </c>
    </row>
    <row r="378" spans="4:23" ht="15" customHeight="1">
      <c r="L378" s="231"/>
    </row>
    <row r="379" spans="4:23" ht="15" customHeight="1">
      <c r="D379" s="35" t="s">
        <v>609</v>
      </c>
      <c r="E379" s="27"/>
      <c r="F379" s="27"/>
      <c r="G379" s="27"/>
      <c r="H379" s="27"/>
      <c r="I379" s="27"/>
      <c r="J379" s="27"/>
      <c r="K379" s="32"/>
      <c r="L379" s="510"/>
      <c r="M379" s="27"/>
      <c r="N379" s="27"/>
      <c r="O379" s="27"/>
      <c r="P379" s="27"/>
      <c r="Q379" s="27"/>
      <c r="R379" s="27"/>
      <c r="S379" s="27"/>
      <c r="T379" s="27"/>
      <c r="U379" s="27"/>
      <c r="V379" s="27"/>
      <c r="W379" s="185" t="s">
        <v>16</v>
      </c>
    </row>
    <row r="380" spans="4:23" ht="15" customHeight="1">
      <c r="D380" s="123" t="str">
        <f xml:space="preserve"> '2.1 Model setup'!K70</f>
        <v>1.1 Drift og vedligeholdelse af transformerstationer</v>
      </c>
      <c r="E380" s="15"/>
      <c r="F380" s="15"/>
      <c r="G380" s="15"/>
      <c r="H380" s="15"/>
      <c r="I380" s="15"/>
      <c r="J380" s="15"/>
      <c r="K380" s="19" t="str">
        <f t="shared" ref="K380:K394" si="74" xml:space="preserve"> Model.Units2</f>
        <v>kWh</v>
      </c>
      <c r="L380" s="263"/>
      <c r="M380" s="15"/>
      <c r="N380" s="15"/>
      <c r="O380" s="15">
        <f t="shared" ref="O380:P394" si="75" xml:space="preserve"> O288* O$325</f>
        <v>0</v>
      </c>
      <c r="P380" s="15">
        <f t="shared" si="75"/>
        <v>0</v>
      </c>
      <c r="Q380" s="274"/>
      <c r="R380" s="15">
        <f t="shared" ref="R380:V394" si="76" xml:space="preserve"> R288* R$325</f>
        <v>0</v>
      </c>
      <c r="S380" s="15">
        <f t="shared" si="76"/>
        <v>0</v>
      </c>
      <c r="T380" s="15">
        <f t="shared" si="76"/>
        <v>0</v>
      </c>
      <c r="U380" s="15">
        <f t="shared" si="76"/>
        <v>0</v>
      </c>
      <c r="V380" s="15">
        <f t="shared" si="76"/>
        <v>0</v>
      </c>
      <c r="W380" s="18">
        <f xml:space="preserve"> SUM( O380:V380 )</f>
        <v>0</v>
      </c>
    </row>
    <row r="381" spans="4:23" ht="15" customHeight="1">
      <c r="D381" s="85" t="str">
        <f xml:space="preserve"> '2.1 Model setup'!K71</f>
        <v>1.2 Drift og vedligeholdelse af ledningsnet</v>
      </c>
      <c r="K381" s="5" t="str">
        <f t="shared" si="74"/>
        <v>kWh</v>
      </c>
      <c r="L381" s="264"/>
      <c r="O381" s="1">
        <f t="shared" si="75"/>
        <v>0</v>
      </c>
      <c r="P381" s="1">
        <f t="shared" si="75"/>
        <v>0</v>
      </c>
      <c r="Q381" s="202"/>
      <c r="R381" s="1">
        <f t="shared" si="76"/>
        <v>0</v>
      </c>
      <c r="S381" s="1">
        <f t="shared" si="76"/>
        <v>0</v>
      </c>
      <c r="T381" s="1">
        <f t="shared" si="76"/>
        <v>0</v>
      </c>
      <c r="U381" s="1">
        <f t="shared" si="76"/>
        <v>0</v>
      </c>
      <c r="V381" s="1">
        <f t="shared" si="76"/>
        <v>0</v>
      </c>
      <c r="W381" s="4">
        <f t="shared" ref="W381:W394" si="77" xml:space="preserve"> SUM( O381:V381 )</f>
        <v>0</v>
      </c>
    </row>
    <row r="382" spans="4:23" ht="15" customHeight="1">
      <c r="D382" s="85" t="str">
        <f xml:space="preserve"> '2.1 Model setup'!K72</f>
        <v>1.3 Øvrige omkostninger til drift, styring og kontrol af elnettet</v>
      </c>
      <c r="K382" s="5" t="str">
        <f t="shared" si="74"/>
        <v>kWh</v>
      </c>
      <c r="L382" s="264"/>
      <c r="O382" s="1">
        <f t="shared" si="75"/>
        <v>0</v>
      </c>
      <c r="P382" s="1">
        <f t="shared" si="75"/>
        <v>0</v>
      </c>
      <c r="Q382" s="202"/>
      <c r="R382" s="1">
        <f t="shared" si="76"/>
        <v>0</v>
      </c>
      <c r="S382" s="1">
        <f t="shared" si="76"/>
        <v>0</v>
      </c>
      <c r="T382" s="1">
        <f t="shared" si="76"/>
        <v>0</v>
      </c>
      <c r="U382" s="1">
        <f t="shared" si="76"/>
        <v>0</v>
      </c>
      <c r="V382" s="1">
        <f t="shared" si="76"/>
        <v>0</v>
      </c>
      <c r="W382" s="4">
        <f t="shared" si="77"/>
        <v>0</v>
      </c>
    </row>
    <row r="383" spans="4:23" ht="15" customHeight="1">
      <c r="D383" s="85" t="str">
        <f xml:space="preserve"> '2.1 Model setup'!K73</f>
        <v>1.4 Omkostninger vedrørende 132-150/30-60 kV-stationer</v>
      </c>
      <c r="K383" s="5" t="str">
        <f t="shared" si="74"/>
        <v>kWh</v>
      </c>
      <c r="L383" s="264"/>
      <c r="O383" s="1">
        <f t="shared" si="75"/>
        <v>0</v>
      </c>
      <c r="P383" s="1">
        <f t="shared" si="75"/>
        <v>0</v>
      </c>
      <c r="Q383" s="202"/>
      <c r="R383" s="1">
        <f t="shared" si="76"/>
        <v>0</v>
      </c>
      <c r="S383" s="1">
        <f t="shared" si="76"/>
        <v>0</v>
      </c>
      <c r="T383" s="1">
        <f t="shared" si="76"/>
        <v>0</v>
      </c>
      <c r="U383" s="1">
        <f t="shared" si="76"/>
        <v>0</v>
      </c>
      <c r="V383" s="1">
        <f t="shared" si="76"/>
        <v>0</v>
      </c>
      <c r="W383" s="4">
        <f t="shared" si="77"/>
        <v>0</v>
      </c>
    </row>
    <row r="384" spans="4:23" ht="15" customHeight="1">
      <c r="D384" s="85" t="str">
        <f xml:space="preserve"> '2.1 Model setup'!K74</f>
        <v>2.1 Drift og vedligeholdelse af målere</v>
      </c>
      <c r="K384" s="5" t="str">
        <f t="shared" si="74"/>
        <v>kWh</v>
      </c>
      <c r="L384" s="264"/>
      <c r="O384" s="1">
        <f t="shared" si="75"/>
        <v>0</v>
      </c>
      <c r="P384" s="1">
        <f t="shared" si="75"/>
        <v>0</v>
      </c>
      <c r="Q384" s="202"/>
      <c r="R384" s="1">
        <f t="shared" si="76"/>
        <v>0</v>
      </c>
      <c r="S384" s="1">
        <f t="shared" si="76"/>
        <v>0</v>
      </c>
      <c r="T384" s="1">
        <f t="shared" si="76"/>
        <v>0</v>
      </c>
      <c r="U384" s="1">
        <f t="shared" si="76"/>
        <v>0</v>
      </c>
      <c r="V384" s="1">
        <f t="shared" si="76"/>
        <v>0</v>
      </c>
      <c r="W384" s="4">
        <f t="shared" si="77"/>
        <v>0</v>
      </c>
    </row>
    <row r="385" spans="4:23" ht="15" customHeight="1">
      <c r="D385" s="85" t="str">
        <f xml:space="preserve"> '2.1 Model setup'!K75</f>
        <v>2.2 Indhentning og validering af målerdata</v>
      </c>
      <c r="K385" s="5" t="str">
        <f t="shared" si="74"/>
        <v>kWh</v>
      </c>
      <c r="L385" s="264"/>
      <c r="O385" s="1">
        <f t="shared" si="75"/>
        <v>0</v>
      </c>
      <c r="P385" s="1">
        <f t="shared" si="75"/>
        <v>0</v>
      </c>
      <c r="Q385" s="202"/>
      <c r="R385" s="1">
        <f t="shared" si="76"/>
        <v>0</v>
      </c>
      <c r="S385" s="1">
        <f t="shared" si="76"/>
        <v>0</v>
      </c>
      <c r="T385" s="1">
        <f t="shared" si="76"/>
        <v>0</v>
      </c>
      <c r="U385" s="1">
        <f t="shared" si="76"/>
        <v>0</v>
      </c>
      <c r="V385" s="1">
        <f t="shared" si="76"/>
        <v>0</v>
      </c>
      <c r="W385" s="4">
        <f t="shared" si="77"/>
        <v>0</v>
      </c>
    </row>
    <row r="386" spans="4:23" ht="15" customHeight="1">
      <c r="D386" s="85" t="str">
        <f xml:space="preserve"> '2.1 Model setup'!K76</f>
        <v>2.3 Måleradministration og kundehåndtering</v>
      </c>
      <c r="K386" s="5" t="str">
        <f t="shared" si="74"/>
        <v>kWh</v>
      </c>
      <c r="L386" s="264"/>
      <c r="O386" s="1">
        <f t="shared" si="75"/>
        <v>0</v>
      </c>
      <c r="P386" s="1">
        <f t="shared" si="75"/>
        <v>0</v>
      </c>
      <c r="Q386" s="202"/>
      <c r="R386" s="1">
        <f t="shared" si="76"/>
        <v>0</v>
      </c>
      <c r="S386" s="1">
        <f t="shared" si="76"/>
        <v>0</v>
      </c>
      <c r="T386" s="1">
        <f t="shared" si="76"/>
        <v>0</v>
      </c>
      <c r="U386" s="1">
        <f t="shared" si="76"/>
        <v>0</v>
      </c>
      <c r="V386" s="1">
        <f t="shared" si="76"/>
        <v>0</v>
      </c>
      <c r="W386" s="4">
        <f t="shared" si="77"/>
        <v>0</v>
      </c>
    </row>
    <row r="387" spans="4:23" ht="15" customHeight="1">
      <c r="D387" s="85" t="str">
        <f xml:space="preserve"> '2.1 Model setup'!K77</f>
        <v>3.1 Generel administration</v>
      </c>
      <c r="K387" s="5" t="str">
        <f t="shared" si="74"/>
        <v>kWh</v>
      </c>
      <c r="L387" s="264"/>
      <c r="O387" s="1">
        <f t="shared" si="75"/>
        <v>0</v>
      </c>
      <c r="P387" s="1">
        <f t="shared" si="75"/>
        <v>0</v>
      </c>
      <c r="Q387" s="202"/>
      <c r="R387" s="1">
        <f t="shared" si="76"/>
        <v>0</v>
      </c>
      <c r="S387" s="1">
        <f t="shared" si="76"/>
        <v>0</v>
      </c>
      <c r="T387" s="1">
        <f t="shared" si="76"/>
        <v>0</v>
      </c>
      <c r="U387" s="1">
        <f t="shared" si="76"/>
        <v>0</v>
      </c>
      <c r="V387" s="1">
        <f t="shared" si="76"/>
        <v>0</v>
      </c>
      <c r="W387" s="4">
        <f t="shared" si="77"/>
        <v>0</v>
      </c>
    </row>
    <row r="388" spans="4:23" ht="15" customHeight="1">
      <c r="D388" s="85" t="str">
        <f xml:space="preserve"> '2.1 Model setup'!K78</f>
        <v>4.1 Omkostninger vedrørende nettab i transformerstationer</v>
      </c>
      <c r="K388" s="5" t="str">
        <f t="shared" si="74"/>
        <v>kWh</v>
      </c>
      <c r="L388" s="264"/>
      <c r="O388" s="1">
        <f t="shared" si="75"/>
        <v>0</v>
      </c>
      <c r="P388" s="1">
        <f t="shared" si="75"/>
        <v>0</v>
      </c>
      <c r="Q388" s="202"/>
      <c r="R388" s="1">
        <f t="shared" si="76"/>
        <v>0</v>
      </c>
      <c r="S388" s="1">
        <f t="shared" si="76"/>
        <v>0</v>
      </c>
      <c r="T388" s="1">
        <f t="shared" si="76"/>
        <v>0</v>
      </c>
      <c r="U388" s="1">
        <f t="shared" si="76"/>
        <v>0</v>
      </c>
      <c r="V388" s="1">
        <f t="shared" si="76"/>
        <v>0</v>
      </c>
      <c r="W388" s="4">
        <f t="shared" si="77"/>
        <v>0</v>
      </c>
    </row>
    <row r="389" spans="4:23" ht="15" customHeight="1">
      <c r="D389" s="85" t="str">
        <f xml:space="preserve"> '2.1 Model setup'!K79</f>
        <v>4.2 Omkostninger vedrørende nettab i ledningsnettet</v>
      </c>
      <c r="K389" s="5" t="str">
        <f t="shared" si="74"/>
        <v>kWh</v>
      </c>
      <c r="L389" s="264"/>
      <c r="O389" s="1">
        <f t="shared" si="75"/>
        <v>0</v>
      </c>
      <c r="P389" s="1">
        <f t="shared" si="75"/>
        <v>0</v>
      </c>
      <c r="Q389" s="202"/>
      <c r="R389" s="1">
        <f t="shared" si="76"/>
        <v>0</v>
      </c>
      <c r="S389" s="1">
        <f t="shared" si="76"/>
        <v>0</v>
      </c>
      <c r="T389" s="1">
        <f t="shared" si="76"/>
        <v>0</v>
      </c>
      <c r="U389" s="1">
        <f t="shared" si="76"/>
        <v>0</v>
      </c>
      <c r="V389" s="1">
        <f t="shared" si="76"/>
        <v>0</v>
      </c>
      <c r="W389" s="4">
        <f t="shared" si="77"/>
        <v>0</v>
      </c>
    </row>
    <row r="390" spans="4:23" ht="15" customHeight="1">
      <c r="D390" s="85" t="str">
        <f xml:space="preserve"> '2.1 Model setup'!K88</f>
        <v>5.1 Omkostninger til overliggende net ifm. indfødning</v>
      </c>
      <c r="K390" s="5" t="str">
        <f t="shared" si="74"/>
        <v>kWh</v>
      </c>
      <c r="L390" s="264"/>
      <c r="O390" s="1">
        <f t="shared" si="75"/>
        <v>0</v>
      </c>
      <c r="P390" s="1">
        <f t="shared" si="75"/>
        <v>0</v>
      </c>
      <c r="Q390" s="202"/>
      <c r="R390" s="1">
        <f t="shared" si="76"/>
        <v>0</v>
      </c>
      <c r="S390" s="1">
        <f t="shared" si="76"/>
        <v>0</v>
      </c>
      <c r="T390" s="1">
        <f t="shared" si="76"/>
        <v>0</v>
      </c>
      <c r="U390" s="1">
        <f t="shared" si="76"/>
        <v>0</v>
      </c>
      <c r="V390" s="1">
        <f t="shared" si="76"/>
        <v>0</v>
      </c>
      <c r="W390" s="4">
        <f t="shared" si="77"/>
        <v>0</v>
      </c>
    </row>
    <row r="391" spans="4:23" ht="15" customHeight="1">
      <c r="D391" s="85" t="str">
        <f xml:space="preserve"> '2.1 Model setup'!K81</f>
        <v>5.2 Øvrige omkostninger</v>
      </c>
      <c r="K391" s="5" t="str">
        <f t="shared" si="74"/>
        <v>kWh</v>
      </c>
      <c r="L391" s="264"/>
      <c r="O391" s="1">
        <f t="shared" si="75"/>
        <v>0</v>
      </c>
      <c r="P391" s="1">
        <f t="shared" si="75"/>
        <v>0</v>
      </c>
      <c r="Q391" s="202"/>
      <c r="R391" s="1">
        <f t="shared" si="76"/>
        <v>0</v>
      </c>
      <c r="S391" s="1">
        <f t="shared" si="76"/>
        <v>0</v>
      </c>
      <c r="T391" s="1">
        <f t="shared" si="76"/>
        <v>0</v>
      </c>
      <c r="U391" s="1">
        <f t="shared" si="76"/>
        <v>0</v>
      </c>
      <c r="V391" s="1">
        <f t="shared" si="76"/>
        <v>0</v>
      </c>
      <c r="W391" s="4">
        <f t="shared" si="77"/>
        <v>0</v>
      </c>
    </row>
    <row r="392" spans="4:23" ht="15" customHeight="1">
      <c r="D392" s="85" t="str">
        <f xml:space="preserve"> '2.1 Model setup'!K82</f>
        <v>6.1 Afskrivninger på transformerstationer</v>
      </c>
      <c r="K392" s="5" t="str">
        <f t="shared" si="74"/>
        <v>kWh</v>
      </c>
      <c r="L392" s="264"/>
      <c r="O392" s="1">
        <f t="shared" si="75"/>
        <v>0</v>
      </c>
      <c r="P392" s="1">
        <f t="shared" si="75"/>
        <v>0</v>
      </c>
      <c r="Q392" s="202"/>
      <c r="R392" s="1">
        <f t="shared" si="76"/>
        <v>0</v>
      </c>
      <c r="S392" s="1">
        <f t="shared" si="76"/>
        <v>0</v>
      </c>
      <c r="T392" s="1">
        <f t="shared" si="76"/>
        <v>0</v>
      </c>
      <c r="U392" s="1">
        <f t="shared" si="76"/>
        <v>0</v>
      </c>
      <c r="V392" s="1">
        <f t="shared" si="76"/>
        <v>0</v>
      </c>
      <c r="W392" s="4">
        <f t="shared" si="77"/>
        <v>0</v>
      </c>
    </row>
    <row r="393" spans="4:23" ht="15" customHeight="1">
      <c r="D393" s="85" t="str">
        <f xml:space="preserve"> '2.1 Model setup'!K83</f>
        <v>6.2 Afskrivninger på netaktiver ekskl. målere og transformerstationer</v>
      </c>
      <c r="K393" s="5" t="str">
        <f t="shared" si="74"/>
        <v>kWh</v>
      </c>
      <c r="L393" s="264"/>
      <c r="O393" s="1">
        <f t="shared" si="75"/>
        <v>0</v>
      </c>
      <c r="P393" s="1">
        <f t="shared" si="75"/>
        <v>0</v>
      </c>
      <c r="Q393" s="202"/>
      <c r="R393" s="1">
        <f t="shared" si="76"/>
        <v>0</v>
      </c>
      <c r="S393" s="1">
        <f t="shared" si="76"/>
        <v>0</v>
      </c>
      <c r="T393" s="1">
        <f t="shared" si="76"/>
        <v>0</v>
      </c>
      <c r="U393" s="1">
        <f t="shared" si="76"/>
        <v>0</v>
      </c>
      <c r="V393" s="1">
        <f t="shared" si="76"/>
        <v>0</v>
      </c>
      <c r="W393" s="4">
        <f t="shared" si="77"/>
        <v>0</v>
      </c>
    </row>
    <row r="394" spans="4:23" ht="15" customHeight="1">
      <c r="D394" s="99" t="str">
        <f xml:space="preserve"> '2.1 Model setup'!K84</f>
        <v>6.3 Afskrivninger på målere</v>
      </c>
      <c r="E394" s="27"/>
      <c r="F394" s="27"/>
      <c r="G394" s="27"/>
      <c r="H394" s="27"/>
      <c r="I394" s="27"/>
      <c r="J394" s="27"/>
      <c r="K394" s="32" t="str">
        <f t="shared" si="74"/>
        <v>kWh</v>
      </c>
      <c r="L394" s="265"/>
      <c r="M394" s="27"/>
      <c r="N394" s="27"/>
      <c r="O394" s="27">
        <f t="shared" si="75"/>
        <v>0</v>
      </c>
      <c r="P394" s="27">
        <f t="shared" si="75"/>
        <v>0</v>
      </c>
      <c r="Q394" s="269"/>
      <c r="R394" s="27">
        <f t="shared" si="76"/>
        <v>0</v>
      </c>
      <c r="S394" s="27">
        <f t="shared" si="76"/>
        <v>0</v>
      </c>
      <c r="T394" s="27">
        <f t="shared" si="76"/>
        <v>0</v>
      </c>
      <c r="U394" s="27">
        <f t="shared" si="76"/>
        <v>0</v>
      </c>
      <c r="V394" s="27">
        <f t="shared" si="76"/>
        <v>0</v>
      </c>
      <c r="W394" s="35">
        <f t="shared" si="77"/>
        <v>0</v>
      </c>
    </row>
    <row r="395" spans="4:23" ht="15" customHeight="1">
      <c r="L395" s="231"/>
    </row>
    <row r="396" spans="4:23" ht="15" customHeight="1">
      <c r="D396" s="35" t="s">
        <v>610</v>
      </c>
      <c r="E396" s="27"/>
      <c r="F396" s="27"/>
      <c r="G396" s="27"/>
      <c r="H396" s="27"/>
      <c r="I396" s="27"/>
      <c r="J396" s="27"/>
      <c r="K396" s="32"/>
      <c r="L396" s="510"/>
      <c r="M396" s="27"/>
      <c r="N396" s="27"/>
      <c r="O396" s="27"/>
      <c r="P396" s="27"/>
      <c r="Q396" s="27"/>
      <c r="R396" s="27"/>
      <c r="S396" s="27"/>
      <c r="T396" s="27"/>
      <c r="U396" s="27"/>
      <c r="V396" s="27"/>
      <c r="W396" s="185" t="s">
        <v>16</v>
      </c>
    </row>
    <row r="397" spans="4:23" ht="15" customHeight="1">
      <c r="D397" s="123" t="str">
        <f xml:space="preserve"> '2.1 Model setup'!K70</f>
        <v>1.1 Drift og vedligeholdelse af transformerstationer</v>
      </c>
      <c r="E397" s="15"/>
      <c r="F397" s="15"/>
      <c r="G397" s="15"/>
      <c r="H397" s="15"/>
      <c r="I397" s="15"/>
      <c r="J397" s="15"/>
      <c r="K397" s="19" t="str">
        <f t="shared" ref="K397:K411" si="78" xml:space="preserve"> Model.Units2</f>
        <v>kWh</v>
      </c>
      <c r="L397" s="263"/>
      <c r="M397" s="15"/>
      <c r="N397" s="15"/>
      <c r="O397" s="15">
        <f t="shared" ref="O397:P411" si="79" xml:space="preserve"> O288* O$326</f>
        <v>0</v>
      </c>
      <c r="P397" s="15">
        <f t="shared" si="79"/>
        <v>0</v>
      </c>
      <c r="Q397" s="274"/>
      <c r="R397" s="15">
        <f t="shared" ref="R397:V411" si="80" xml:space="preserve"> R288* R$326</f>
        <v>0</v>
      </c>
      <c r="S397" s="15">
        <f t="shared" si="80"/>
        <v>0</v>
      </c>
      <c r="T397" s="15">
        <f t="shared" si="80"/>
        <v>0</v>
      </c>
      <c r="U397" s="15">
        <f t="shared" si="80"/>
        <v>0</v>
      </c>
      <c r="V397" s="15">
        <f t="shared" si="80"/>
        <v>0</v>
      </c>
      <c r="W397" s="18">
        <f xml:space="preserve"> SUM( O397:V397 )</f>
        <v>0</v>
      </c>
    </row>
    <row r="398" spans="4:23" ht="15" customHeight="1">
      <c r="D398" s="85" t="str">
        <f xml:space="preserve"> '2.1 Model setup'!K71</f>
        <v>1.2 Drift og vedligeholdelse af ledningsnet</v>
      </c>
      <c r="K398" s="5" t="str">
        <f t="shared" si="78"/>
        <v>kWh</v>
      </c>
      <c r="L398" s="264"/>
      <c r="O398" s="1">
        <f t="shared" si="79"/>
        <v>0</v>
      </c>
      <c r="P398" s="1">
        <f t="shared" si="79"/>
        <v>0</v>
      </c>
      <c r="Q398" s="202"/>
      <c r="R398" s="1">
        <f t="shared" si="80"/>
        <v>0</v>
      </c>
      <c r="S398" s="1">
        <f t="shared" si="80"/>
        <v>0</v>
      </c>
      <c r="T398" s="1">
        <f t="shared" si="80"/>
        <v>0</v>
      </c>
      <c r="U398" s="1">
        <f t="shared" si="80"/>
        <v>0</v>
      </c>
      <c r="V398" s="1">
        <f t="shared" si="80"/>
        <v>0</v>
      </c>
      <c r="W398" s="4">
        <f t="shared" ref="W398:W411" si="81" xml:space="preserve"> SUM( O398:V398 )</f>
        <v>0</v>
      </c>
    </row>
    <row r="399" spans="4:23" ht="15" customHeight="1">
      <c r="D399" s="85" t="str">
        <f xml:space="preserve"> '2.1 Model setup'!K72</f>
        <v>1.3 Øvrige omkostninger til drift, styring og kontrol af elnettet</v>
      </c>
      <c r="K399" s="5" t="str">
        <f t="shared" si="78"/>
        <v>kWh</v>
      </c>
      <c r="L399" s="264"/>
      <c r="O399" s="1">
        <f t="shared" si="79"/>
        <v>0</v>
      </c>
      <c r="P399" s="1">
        <f t="shared" si="79"/>
        <v>0</v>
      </c>
      <c r="Q399" s="202"/>
      <c r="R399" s="1">
        <f t="shared" si="80"/>
        <v>0</v>
      </c>
      <c r="S399" s="1">
        <f t="shared" si="80"/>
        <v>0</v>
      </c>
      <c r="T399" s="1">
        <f t="shared" si="80"/>
        <v>0</v>
      </c>
      <c r="U399" s="1">
        <f t="shared" si="80"/>
        <v>0</v>
      </c>
      <c r="V399" s="1">
        <f t="shared" si="80"/>
        <v>0</v>
      </c>
      <c r="W399" s="4">
        <f t="shared" si="81"/>
        <v>0</v>
      </c>
    </row>
    <row r="400" spans="4:23" ht="15" customHeight="1">
      <c r="D400" s="85" t="str">
        <f xml:space="preserve"> '2.1 Model setup'!K73</f>
        <v>1.4 Omkostninger vedrørende 132-150/30-60 kV-stationer</v>
      </c>
      <c r="K400" s="5" t="str">
        <f t="shared" si="78"/>
        <v>kWh</v>
      </c>
      <c r="L400" s="264"/>
      <c r="O400" s="1">
        <f t="shared" si="79"/>
        <v>0</v>
      </c>
      <c r="P400" s="1">
        <f t="shared" si="79"/>
        <v>0</v>
      </c>
      <c r="Q400" s="202"/>
      <c r="R400" s="1">
        <f t="shared" si="80"/>
        <v>0</v>
      </c>
      <c r="S400" s="1">
        <f t="shared" si="80"/>
        <v>0</v>
      </c>
      <c r="T400" s="1">
        <f t="shared" si="80"/>
        <v>0</v>
      </c>
      <c r="U400" s="1">
        <f t="shared" si="80"/>
        <v>0</v>
      </c>
      <c r="V400" s="1">
        <f t="shared" si="80"/>
        <v>0</v>
      </c>
      <c r="W400" s="4">
        <f t="shared" si="81"/>
        <v>0</v>
      </c>
    </row>
    <row r="401" spans="4:23" ht="15" customHeight="1">
      <c r="D401" s="85" t="str">
        <f xml:space="preserve"> '2.1 Model setup'!K74</f>
        <v>2.1 Drift og vedligeholdelse af målere</v>
      </c>
      <c r="K401" s="5" t="str">
        <f t="shared" si="78"/>
        <v>kWh</v>
      </c>
      <c r="L401" s="264"/>
      <c r="O401" s="1">
        <f t="shared" si="79"/>
        <v>0</v>
      </c>
      <c r="P401" s="1">
        <f t="shared" si="79"/>
        <v>0</v>
      </c>
      <c r="Q401" s="202"/>
      <c r="R401" s="1">
        <f t="shared" si="80"/>
        <v>0</v>
      </c>
      <c r="S401" s="1">
        <f t="shared" si="80"/>
        <v>0</v>
      </c>
      <c r="T401" s="1">
        <f t="shared" si="80"/>
        <v>0</v>
      </c>
      <c r="U401" s="1">
        <f t="shared" si="80"/>
        <v>0</v>
      </c>
      <c r="V401" s="1">
        <f t="shared" si="80"/>
        <v>0</v>
      </c>
      <c r="W401" s="4">
        <f t="shared" si="81"/>
        <v>0</v>
      </c>
    </row>
    <row r="402" spans="4:23" ht="15" customHeight="1">
      <c r="D402" s="85" t="str">
        <f xml:space="preserve"> '2.1 Model setup'!K75</f>
        <v>2.2 Indhentning og validering af målerdata</v>
      </c>
      <c r="K402" s="5" t="str">
        <f t="shared" si="78"/>
        <v>kWh</v>
      </c>
      <c r="L402" s="264"/>
      <c r="O402" s="1">
        <f t="shared" si="79"/>
        <v>0</v>
      </c>
      <c r="P402" s="1">
        <f t="shared" si="79"/>
        <v>0</v>
      </c>
      <c r="Q402" s="202"/>
      <c r="R402" s="1">
        <f t="shared" si="80"/>
        <v>0</v>
      </c>
      <c r="S402" s="1">
        <f t="shared" si="80"/>
        <v>0</v>
      </c>
      <c r="T402" s="1">
        <f t="shared" si="80"/>
        <v>0</v>
      </c>
      <c r="U402" s="1">
        <f t="shared" si="80"/>
        <v>0</v>
      </c>
      <c r="V402" s="1">
        <f t="shared" si="80"/>
        <v>0</v>
      </c>
      <c r="W402" s="4">
        <f t="shared" si="81"/>
        <v>0</v>
      </c>
    </row>
    <row r="403" spans="4:23" ht="15" customHeight="1">
      <c r="D403" s="85" t="str">
        <f xml:space="preserve"> '2.1 Model setup'!K76</f>
        <v>2.3 Måleradministration og kundehåndtering</v>
      </c>
      <c r="K403" s="5" t="str">
        <f t="shared" si="78"/>
        <v>kWh</v>
      </c>
      <c r="L403" s="85"/>
      <c r="O403" s="1">
        <f t="shared" si="79"/>
        <v>0</v>
      </c>
      <c r="P403" s="1">
        <f t="shared" si="79"/>
        <v>0</v>
      </c>
      <c r="Q403" s="202"/>
      <c r="R403" s="1">
        <f t="shared" si="80"/>
        <v>0</v>
      </c>
      <c r="S403" s="1">
        <f t="shared" si="80"/>
        <v>0</v>
      </c>
      <c r="T403" s="1">
        <f t="shared" si="80"/>
        <v>0</v>
      </c>
      <c r="U403" s="1">
        <f t="shared" si="80"/>
        <v>0</v>
      </c>
      <c r="V403" s="1">
        <f t="shared" si="80"/>
        <v>0</v>
      </c>
      <c r="W403" s="4">
        <f t="shared" si="81"/>
        <v>0</v>
      </c>
    </row>
    <row r="404" spans="4:23" ht="15" customHeight="1">
      <c r="D404" s="85" t="str">
        <f xml:space="preserve"> '2.1 Model setup'!K77</f>
        <v>3.1 Generel administration</v>
      </c>
      <c r="K404" s="5" t="str">
        <f t="shared" si="78"/>
        <v>kWh</v>
      </c>
      <c r="L404" s="85"/>
      <c r="O404" s="1">
        <f t="shared" si="79"/>
        <v>0</v>
      </c>
      <c r="P404" s="1">
        <f t="shared" si="79"/>
        <v>0</v>
      </c>
      <c r="Q404" s="202"/>
      <c r="R404" s="1">
        <f t="shared" si="80"/>
        <v>0</v>
      </c>
      <c r="S404" s="1">
        <f t="shared" si="80"/>
        <v>0</v>
      </c>
      <c r="T404" s="1">
        <f t="shared" si="80"/>
        <v>0</v>
      </c>
      <c r="U404" s="1">
        <f t="shared" si="80"/>
        <v>0</v>
      </c>
      <c r="V404" s="1">
        <f t="shared" si="80"/>
        <v>0</v>
      </c>
      <c r="W404" s="4">
        <f t="shared" si="81"/>
        <v>0</v>
      </c>
    </row>
    <row r="405" spans="4:23" ht="15" customHeight="1">
      <c r="D405" s="85" t="str">
        <f xml:space="preserve"> '2.1 Model setup'!K78</f>
        <v>4.1 Omkostninger vedrørende nettab i transformerstationer</v>
      </c>
      <c r="K405" s="5" t="str">
        <f t="shared" si="78"/>
        <v>kWh</v>
      </c>
      <c r="L405" s="85"/>
      <c r="O405" s="1">
        <f t="shared" si="79"/>
        <v>0</v>
      </c>
      <c r="P405" s="1">
        <f t="shared" si="79"/>
        <v>0</v>
      </c>
      <c r="Q405" s="202"/>
      <c r="R405" s="1">
        <f t="shared" si="80"/>
        <v>0</v>
      </c>
      <c r="S405" s="1">
        <f t="shared" si="80"/>
        <v>0</v>
      </c>
      <c r="T405" s="1">
        <f t="shared" si="80"/>
        <v>0</v>
      </c>
      <c r="U405" s="1">
        <f t="shared" si="80"/>
        <v>0</v>
      </c>
      <c r="V405" s="1">
        <f t="shared" si="80"/>
        <v>0</v>
      </c>
      <c r="W405" s="4">
        <f t="shared" si="81"/>
        <v>0</v>
      </c>
    </row>
    <row r="406" spans="4:23" ht="15" customHeight="1">
      <c r="D406" s="85" t="str">
        <f xml:space="preserve"> '2.1 Model setup'!K79</f>
        <v>4.2 Omkostninger vedrørende nettab i ledningsnettet</v>
      </c>
      <c r="K406" s="5" t="str">
        <f t="shared" si="78"/>
        <v>kWh</v>
      </c>
      <c r="L406" s="85"/>
      <c r="O406" s="1">
        <f t="shared" si="79"/>
        <v>0</v>
      </c>
      <c r="P406" s="1">
        <f t="shared" si="79"/>
        <v>0</v>
      </c>
      <c r="Q406" s="202"/>
      <c r="R406" s="1">
        <f t="shared" si="80"/>
        <v>0</v>
      </c>
      <c r="S406" s="1">
        <f t="shared" si="80"/>
        <v>0</v>
      </c>
      <c r="T406" s="1">
        <f t="shared" si="80"/>
        <v>0</v>
      </c>
      <c r="U406" s="1">
        <f t="shared" si="80"/>
        <v>0</v>
      </c>
      <c r="V406" s="1">
        <f t="shared" si="80"/>
        <v>0</v>
      </c>
      <c r="W406" s="4">
        <f t="shared" si="81"/>
        <v>0</v>
      </c>
    </row>
    <row r="407" spans="4:23" ht="15" customHeight="1">
      <c r="D407" s="85" t="str">
        <f xml:space="preserve"> '2.1 Model setup'!K88</f>
        <v>5.1 Omkostninger til overliggende net ifm. indfødning</v>
      </c>
      <c r="K407" s="5" t="str">
        <f t="shared" si="78"/>
        <v>kWh</v>
      </c>
      <c r="L407" s="85"/>
      <c r="O407" s="1">
        <f t="shared" si="79"/>
        <v>0</v>
      </c>
      <c r="P407" s="1">
        <f t="shared" si="79"/>
        <v>0</v>
      </c>
      <c r="Q407" s="202"/>
      <c r="R407" s="1">
        <f t="shared" si="80"/>
        <v>0</v>
      </c>
      <c r="S407" s="1">
        <f t="shared" si="80"/>
        <v>0</v>
      </c>
      <c r="T407" s="1">
        <f t="shared" si="80"/>
        <v>0</v>
      </c>
      <c r="U407" s="1">
        <f t="shared" si="80"/>
        <v>0</v>
      </c>
      <c r="V407" s="1">
        <f t="shared" si="80"/>
        <v>0</v>
      </c>
      <c r="W407" s="4">
        <f t="shared" si="81"/>
        <v>0</v>
      </c>
    </row>
    <row r="408" spans="4:23" ht="15" customHeight="1">
      <c r="D408" s="85" t="str">
        <f xml:space="preserve"> '2.1 Model setup'!K81</f>
        <v>5.2 Øvrige omkostninger</v>
      </c>
      <c r="K408" s="5" t="str">
        <f t="shared" si="78"/>
        <v>kWh</v>
      </c>
      <c r="L408" s="85"/>
      <c r="O408" s="1">
        <f t="shared" si="79"/>
        <v>0</v>
      </c>
      <c r="P408" s="1">
        <f t="shared" si="79"/>
        <v>0</v>
      </c>
      <c r="Q408" s="202"/>
      <c r="R408" s="1">
        <f t="shared" si="80"/>
        <v>0</v>
      </c>
      <c r="S408" s="1">
        <f t="shared" si="80"/>
        <v>0</v>
      </c>
      <c r="T408" s="1">
        <f t="shared" si="80"/>
        <v>0</v>
      </c>
      <c r="U408" s="1">
        <f t="shared" si="80"/>
        <v>0</v>
      </c>
      <c r="V408" s="1">
        <f t="shared" si="80"/>
        <v>0</v>
      </c>
      <c r="W408" s="4">
        <f t="shared" si="81"/>
        <v>0</v>
      </c>
    </row>
    <row r="409" spans="4:23" ht="15" customHeight="1">
      <c r="D409" s="85" t="str">
        <f xml:space="preserve"> '2.1 Model setup'!K82</f>
        <v>6.1 Afskrivninger på transformerstationer</v>
      </c>
      <c r="K409" s="5" t="str">
        <f t="shared" si="78"/>
        <v>kWh</v>
      </c>
      <c r="L409" s="85"/>
      <c r="O409" s="1">
        <f t="shared" si="79"/>
        <v>0</v>
      </c>
      <c r="P409" s="1">
        <f t="shared" si="79"/>
        <v>0</v>
      </c>
      <c r="Q409" s="202"/>
      <c r="R409" s="1">
        <f t="shared" si="80"/>
        <v>0</v>
      </c>
      <c r="S409" s="1">
        <f t="shared" si="80"/>
        <v>0</v>
      </c>
      <c r="T409" s="1">
        <f t="shared" si="80"/>
        <v>0</v>
      </c>
      <c r="U409" s="1">
        <f t="shared" si="80"/>
        <v>0</v>
      </c>
      <c r="V409" s="1">
        <f t="shared" si="80"/>
        <v>0</v>
      </c>
      <c r="W409" s="4">
        <f t="shared" si="81"/>
        <v>0</v>
      </c>
    </row>
    <row r="410" spans="4:23" ht="15" customHeight="1">
      <c r="D410" s="85" t="str">
        <f xml:space="preserve"> '2.1 Model setup'!K83</f>
        <v>6.2 Afskrivninger på netaktiver ekskl. målere og transformerstationer</v>
      </c>
      <c r="K410" s="5" t="str">
        <f t="shared" si="78"/>
        <v>kWh</v>
      </c>
      <c r="L410" s="85"/>
      <c r="O410" s="1">
        <f t="shared" si="79"/>
        <v>0</v>
      </c>
      <c r="P410" s="1">
        <f t="shared" si="79"/>
        <v>0</v>
      </c>
      <c r="Q410" s="202"/>
      <c r="R410" s="1">
        <f t="shared" si="80"/>
        <v>0</v>
      </c>
      <c r="S410" s="1">
        <f t="shared" si="80"/>
        <v>0</v>
      </c>
      <c r="T410" s="1">
        <f t="shared" si="80"/>
        <v>0</v>
      </c>
      <c r="U410" s="1">
        <f t="shared" si="80"/>
        <v>0</v>
      </c>
      <c r="V410" s="1">
        <f t="shared" si="80"/>
        <v>0</v>
      </c>
      <c r="W410" s="4">
        <f t="shared" si="81"/>
        <v>0</v>
      </c>
    </row>
    <row r="411" spans="4:23" ht="15" customHeight="1">
      <c r="D411" s="99" t="str">
        <f xml:space="preserve"> '2.1 Model setup'!K84</f>
        <v>6.3 Afskrivninger på målere</v>
      </c>
      <c r="E411" s="27"/>
      <c r="F411" s="27"/>
      <c r="G411" s="27"/>
      <c r="H411" s="27"/>
      <c r="I411" s="27"/>
      <c r="J411" s="27"/>
      <c r="K411" s="32" t="str">
        <f t="shared" si="78"/>
        <v>kWh</v>
      </c>
      <c r="L411" s="99"/>
      <c r="M411" s="27"/>
      <c r="N411" s="27"/>
      <c r="O411" s="27">
        <f t="shared" si="79"/>
        <v>0</v>
      </c>
      <c r="P411" s="27">
        <f t="shared" si="79"/>
        <v>0</v>
      </c>
      <c r="Q411" s="269"/>
      <c r="R411" s="27">
        <f t="shared" si="80"/>
        <v>0</v>
      </c>
      <c r="S411" s="27">
        <f t="shared" si="80"/>
        <v>0</v>
      </c>
      <c r="T411" s="27">
        <f t="shared" si="80"/>
        <v>0</v>
      </c>
      <c r="U411" s="27">
        <f t="shared" si="80"/>
        <v>0</v>
      </c>
      <c r="V411" s="27">
        <f t="shared" si="80"/>
        <v>0</v>
      </c>
      <c r="W411" s="35">
        <f t="shared" si="81"/>
        <v>0</v>
      </c>
    </row>
    <row r="413" spans="4:23" ht="15" customHeight="1">
      <c r="D413" s="35" t="s">
        <v>611</v>
      </c>
      <c r="E413" s="27"/>
      <c r="F413" s="27"/>
      <c r="G413" s="27"/>
      <c r="H413" s="27"/>
      <c r="I413" s="27"/>
      <c r="J413" s="27"/>
      <c r="K413" s="32"/>
      <c r="L413" s="27"/>
      <c r="M413" s="27"/>
      <c r="N413" s="27"/>
      <c r="O413" s="27"/>
      <c r="P413" s="27"/>
      <c r="Q413" s="27"/>
      <c r="R413" s="27"/>
      <c r="S413" s="27"/>
      <c r="T413" s="27"/>
      <c r="U413" s="27"/>
      <c r="V413" s="27"/>
      <c r="W413" s="185" t="s">
        <v>16</v>
      </c>
    </row>
    <row r="414" spans="4:23" ht="15" customHeight="1">
      <c r="D414" s="123" t="str">
        <f xml:space="preserve"> '2.1 Model setup'!K70</f>
        <v>1.1 Drift og vedligeholdelse af transformerstationer</v>
      </c>
      <c r="E414" s="15"/>
      <c r="F414" s="15"/>
      <c r="G414" s="15"/>
      <c r="H414" s="15"/>
      <c r="I414" s="15"/>
      <c r="J414" s="15"/>
      <c r="K414" s="19" t="s">
        <v>4</v>
      </c>
      <c r="L414" s="123"/>
      <c r="M414" s="15"/>
      <c r="N414" s="15"/>
      <c r="O414" s="180">
        <f t="shared" ref="O414:P428" si="82" xml:space="preserve"> IF( $W329 = 0, 0, O329 / $W329)</f>
        <v>0</v>
      </c>
      <c r="P414" s="180">
        <f t="shared" si="82"/>
        <v>0</v>
      </c>
      <c r="Q414" s="274"/>
      <c r="R414" s="180">
        <f t="shared" ref="R414:V428" si="83" xml:space="preserve"> IF( $W329 = 0, 0, R329 / $W329)</f>
        <v>0</v>
      </c>
      <c r="S414" s="180">
        <f t="shared" si="83"/>
        <v>0</v>
      </c>
      <c r="T414" s="180">
        <f t="shared" si="83"/>
        <v>0</v>
      </c>
      <c r="U414" s="180">
        <f t="shared" si="83"/>
        <v>0</v>
      </c>
      <c r="V414" s="180">
        <f t="shared" si="83"/>
        <v>0</v>
      </c>
      <c r="W414" s="354">
        <f xml:space="preserve"> SUM( O414:V414 )</f>
        <v>0</v>
      </c>
    </row>
    <row r="415" spans="4:23" ht="15" customHeight="1">
      <c r="D415" s="85" t="str">
        <f xml:space="preserve"> '2.1 Model setup'!K71</f>
        <v>1.2 Drift og vedligeholdelse af ledningsnet</v>
      </c>
      <c r="K415" s="5" t="s">
        <v>4</v>
      </c>
      <c r="L415" s="85"/>
      <c r="O415" s="181">
        <f t="shared" si="82"/>
        <v>0</v>
      </c>
      <c r="P415" s="181">
        <f t="shared" si="82"/>
        <v>0</v>
      </c>
      <c r="Q415" s="202"/>
      <c r="R415" s="181">
        <f t="shared" si="83"/>
        <v>0</v>
      </c>
      <c r="S415" s="181">
        <f t="shared" si="83"/>
        <v>0</v>
      </c>
      <c r="T415" s="181">
        <f t="shared" si="83"/>
        <v>0</v>
      </c>
      <c r="U415" s="181">
        <f t="shared" si="83"/>
        <v>0</v>
      </c>
      <c r="V415" s="181">
        <f t="shared" si="83"/>
        <v>0</v>
      </c>
      <c r="W415" s="198">
        <f t="shared" ref="W415:W428" si="84" xml:space="preserve"> SUM( O415:V415 )</f>
        <v>0</v>
      </c>
    </row>
    <row r="416" spans="4:23" ht="15" customHeight="1">
      <c r="D416" s="85" t="str">
        <f xml:space="preserve"> '2.1 Model setup'!K72</f>
        <v>1.3 Øvrige omkostninger til drift, styring og kontrol af elnettet</v>
      </c>
      <c r="K416" s="5" t="s">
        <v>4</v>
      </c>
      <c r="L416" s="85"/>
      <c r="O416" s="181">
        <f t="shared" si="82"/>
        <v>0</v>
      </c>
      <c r="P416" s="181">
        <f t="shared" si="82"/>
        <v>0</v>
      </c>
      <c r="Q416" s="202"/>
      <c r="R416" s="181">
        <f t="shared" si="83"/>
        <v>0</v>
      </c>
      <c r="S416" s="181">
        <f t="shared" si="83"/>
        <v>0</v>
      </c>
      <c r="T416" s="181">
        <f t="shared" si="83"/>
        <v>0</v>
      </c>
      <c r="U416" s="181">
        <f t="shared" si="83"/>
        <v>0</v>
      </c>
      <c r="V416" s="181">
        <f t="shared" si="83"/>
        <v>0</v>
      </c>
      <c r="W416" s="198">
        <f t="shared" si="84"/>
        <v>0</v>
      </c>
    </row>
    <row r="417" spans="4:23" ht="15" customHeight="1">
      <c r="D417" s="85" t="str">
        <f xml:space="preserve"> '2.1 Model setup'!K73</f>
        <v>1.4 Omkostninger vedrørende 132-150/30-60 kV-stationer</v>
      </c>
      <c r="K417" s="5" t="s">
        <v>4</v>
      </c>
      <c r="L417" s="85"/>
      <c r="O417" s="181">
        <f t="shared" si="82"/>
        <v>0</v>
      </c>
      <c r="P417" s="181">
        <f t="shared" si="82"/>
        <v>0</v>
      </c>
      <c r="Q417" s="202"/>
      <c r="R417" s="181">
        <f t="shared" si="83"/>
        <v>0</v>
      </c>
      <c r="S417" s="181">
        <f t="shared" si="83"/>
        <v>0</v>
      </c>
      <c r="T417" s="181">
        <f t="shared" si="83"/>
        <v>0</v>
      </c>
      <c r="U417" s="181">
        <f t="shared" si="83"/>
        <v>0</v>
      </c>
      <c r="V417" s="181">
        <f t="shared" si="83"/>
        <v>0</v>
      </c>
      <c r="W417" s="198">
        <f t="shared" si="84"/>
        <v>0</v>
      </c>
    </row>
    <row r="418" spans="4:23" ht="15" customHeight="1">
      <c r="D418" s="85" t="str">
        <f xml:space="preserve"> '2.1 Model setup'!K74</f>
        <v>2.1 Drift og vedligeholdelse af målere</v>
      </c>
      <c r="K418" s="5" t="s">
        <v>4</v>
      </c>
      <c r="L418" s="85"/>
      <c r="O418" s="181">
        <f t="shared" si="82"/>
        <v>0</v>
      </c>
      <c r="P418" s="181">
        <f t="shared" si="82"/>
        <v>0</v>
      </c>
      <c r="Q418" s="202"/>
      <c r="R418" s="181">
        <f t="shared" si="83"/>
        <v>0</v>
      </c>
      <c r="S418" s="181">
        <f t="shared" si="83"/>
        <v>0</v>
      </c>
      <c r="T418" s="181">
        <f t="shared" si="83"/>
        <v>0</v>
      </c>
      <c r="U418" s="181">
        <f t="shared" si="83"/>
        <v>0</v>
      </c>
      <c r="V418" s="181">
        <f t="shared" si="83"/>
        <v>0</v>
      </c>
      <c r="W418" s="198">
        <f t="shared" si="84"/>
        <v>0</v>
      </c>
    </row>
    <row r="419" spans="4:23" ht="15" customHeight="1">
      <c r="D419" s="85" t="str">
        <f xml:space="preserve"> '2.1 Model setup'!K75</f>
        <v>2.2 Indhentning og validering af målerdata</v>
      </c>
      <c r="K419" s="5" t="s">
        <v>4</v>
      </c>
      <c r="L419" s="85"/>
      <c r="O419" s="181">
        <f t="shared" si="82"/>
        <v>0</v>
      </c>
      <c r="P419" s="181">
        <f t="shared" si="82"/>
        <v>0</v>
      </c>
      <c r="Q419" s="202"/>
      <c r="R419" s="181">
        <f t="shared" si="83"/>
        <v>0</v>
      </c>
      <c r="S419" s="181">
        <f t="shared" si="83"/>
        <v>0</v>
      </c>
      <c r="T419" s="181">
        <f t="shared" si="83"/>
        <v>0</v>
      </c>
      <c r="U419" s="181">
        <f t="shared" si="83"/>
        <v>0</v>
      </c>
      <c r="V419" s="181">
        <f t="shared" si="83"/>
        <v>0</v>
      </c>
      <c r="W419" s="198">
        <f t="shared" si="84"/>
        <v>0</v>
      </c>
    </row>
    <row r="420" spans="4:23" ht="15" customHeight="1">
      <c r="D420" s="85" t="str">
        <f xml:space="preserve"> '2.1 Model setup'!K76</f>
        <v>2.3 Måleradministration og kundehåndtering</v>
      </c>
      <c r="K420" s="5" t="s">
        <v>4</v>
      </c>
      <c r="L420" s="85"/>
      <c r="O420" s="181">
        <f t="shared" si="82"/>
        <v>0</v>
      </c>
      <c r="P420" s="181">
        <f t="shared" si="82"/>
        <v>0</v>
      </c>
      <c r="Q420" s="202"/>
      <c r="R420" s="181">
        <f t="shared" si="83"/>
        <v>0</v>
      </c>
      <c r="S420" s="181">
        <f t="shared" si="83"/>
        <v>0</v>
      </c>
      <c r="T420" s="181">
        <f t="shared" si="83"/>
        <v>0</v>
      </c>
      <c r="U420" s="181">
        <f t="shared" si="83"/>
        <v>0</v>
      </c>
      <c r="V420" s="181">
        <f t="shared" si="83"/>
        <v>0</v>
      </c>
      <c r="W420" s="198">
        <f t="shared" si="84"/>
        <v>0</v>
      </c>
    </row>
    <row r="421" spans="4:23" ht="15" customHeight="1">
      <c r="D421" s="85" t="str">
        <f xml:space="preserve"> '2.1 Model setup'!K77</f>
        <v>3.1 Generel administration</v>
      </c>
      <c r="K421" s="5" t="s">
        <v>4</v>
      </c>
      <c r="L421" s="85"/>
      <c r="O421" s="181">
        <f t="shared" si="82"/>
        <v>0</v>
      </c>
      <c r="P421" s="181">
        <f t="shared" si="82"/>
        <v>0</v>
      </c>
      <c r="Q421" s="202"/>
      <c r="R421" s="181">
        <f t="shared" si="83"/>
        <v>0</v>
      </c>
      <c r="S421" s="181">
        <f t="shared" si="83"/>
        <v>0</v>
      </c>
      <c r="T421" s="181">
        <f t="shared" si="83"/>
        <v>0</v>
      </c>
      <c r="U421" s="181">
        <f t="shared" si="83"/>
        <v>0</v>
      </c>
      <c r="V421" s="181">
        <f t="shared" si="83"/>
        <v>0</v>
      </c>
      <c r="W421" s="198">
        <f t="shared" si="84"/>
        <v>0</v>
      </c>
    </row>
    <row r="422" spans="4:23" ht="15" customHeight="1">
      <c r="D422" s="85" t="str">
        <f xml:space="preserve"> '2.1 Model setup'!K78</f>
        <v>4.1 Omkostninger vedrørende nettab i transformerstationer</v>
      </c>
      <c r="K422" s="5" t="s">
        <v>4</v>
      </c>
      <c r="L422" s="85"/>
      <c r="O422" s="181">
        <f t="shared" si="82"/>
        <v>0</v>
      </c>
      <c r="P422" s="181">
        <f t="shared" si="82"/>
        <v>0</v>
      </c>
      <c r="Q422" s="202"/>
      <c r="R422" s="181">
        <f t="shared" si="83"/>
        <v>0</v>
      </c>
      <c r="S422" s="181">
        <f t="shared" si="83"/>
        <v>0</v>
      </c>
      <c r="T422" s="181">
        <f t="shared" si="83"/>
        <v>0</v>
      </c>
      <c r="U422" s="181">
        <f t="shared" si="83"/>
        <v>0</v>
      </c>
      <c r="V422" s="181">
        <f t="shared" si="83"/>
        <v>0</v>
      </c>
      <c r="W422" s="198">
        <f t="shared" si="84"/>
        <v>0</v>
      </c>
    </row>
    <row r="423" spans="4:23" ht="15" customHeight="1">
      <c r="D423" s="85" t="str">
        <f xml:space="preserve"> '2.1 Model setup'!K79</f>
        <v>4.2 Omkostninger vedrørende nettab i ledningsnettet</v>
      </c>
      <c r="K423" s="5" t="s">
        <v>4</v>
      </c>
      <c r="L423" s="85"/>
      <c r="O423" s="181">
        <f t="shared" si="82"/>
        <v>0</v>
      </c>
      <c r="P423" s="181">
        <f t="shared" si="82"/>
        <v>0</v>
      </c>
      <c r="Q423" s="202"/>
      <c r="R423" s="181">
        <f t="shared" si="83"/>
        <v>0</v>
      </c>
      <c r="S423" s="181">
        <f t="shared" si="83"/>
        <v>0</v>
      </c>
      <c r="T423" s="181">
        <f t="shared" si="83"/>
        <v>0</v>
      </c>
      <c r="U423" s="181">
        <f t="shared" si="83"/>
        <v>0</v>
      </c>
      <c r="V423" s="181">
        <f t="shared" si="83"/>
        <v>0</v>
      </c>
      <c r="W423" s="198">
        <f t="shared" si="84"/>
        <v>0</v>
      </c>
    </row>
    <row r="424" spans="4:23" ht="15" customHeight="1">
      <c r="D424" s="85" t="str">
        <f xml:space="preserve"> '2.1 Model setup'!K88</f>
        <v>5.1 Omkostninger til overliggende net ifm. indfødning</v>
      </c>
      <c r="K424" s="5" t="s">
        <v>4</v>
      </c>
      <c r="L424" s="85"/>
      <c r="O424" s="181">
        <f t="shared" si="82"/>
        <v>0</v>
      </c>
      <c r="P424" s="181">
        <f t="shared" si="82"/>
        <v>0</v>
      </c>
      <c r="Q424" s="202"/>
      <c r="R424" s="181">
        <f t="shared" si="83"/>
        <v>0</v>
      </c>
      <c r="S424" s="181">
        <f t="shared" si="83"/>
        <v>0</v>
      </c>
      <c r="T424" s="181">
        <f t="shared" si="83"/>
        <v>0</v>
      </c>
      <c r="U424" s="181">
        <f t="shared" si="83"/>
        <v>0</v>
      </c>
      <c r="V424" s="181">
        <f t="shared" si="83"/>
        <v>0</v>
      </c>
      <c r="W424" s="198">
        <f t="shared" si="84"/>
        <v>0</v>
      </c>
    </row>
    <row r="425" spans="4:23" ht="15" customHeight="1">
      <c r="D425" s="85" t="str">
        <f xml:space="preserve"> '2.1 Model setup'!K81</f>
        <v>5.2 Øvrige omkostninger</v>
      </c>
      <c r="K425" s="5" t="s">
        <v>4</v>
      </c>
      <c r="L425" s="85"/>
      <c r="O425" s="181">
        <f t="shared" si="82"/>
        <v>0</v>
      </c>
      <c r="P425" s="181">
        <f t="shared" si="82"/>
        <v>0</v>
      </c>
      <c r="Q425" s="202"/>
      <c r="R425" s="181">
        <f t="shared" si="83"/>
        <v>0</v>
      </c>
      <c r="S425" s="181">
        <f t="shared" si="83"/>
        <v>0</v>
      </c>
      <c r="T425" s="181">
        <f t="shared" si="83"/>
        <v>0</v>
      </c>
      <c r="U425" s="181">
        <f t="shared" si="83"/>
        <v>0</v>
      </c>
      <c r="V425" s="181">
        <f t="shared" si="83"/>
        <v>0</v>
      </c>
      <c r="W425" s="198">
        <f t="shared" si="84"/>
        <v>0</v>
      </c>
    </row>
    <row r="426" spans="4:23" ht="15" customHeight="1">
      <c r="D426" s="85" t="str">
        <f xml:space="preserve"> '2.1 Model setup'!K82</f>
        <v>6.1 Afskrivninger på transformerstationer</v>
      </c>
      <c r="K426" s="5" t="s">
        <v>4</v>
      </c>
      <c r="L426" s="85"/>
      <c r="O426" s="181">
        <f t="shared" si="82"/>
        <v>0</v>
      </c>
      <c r="P426" s="181">
        <f t="shared" si="82"/>
        <v>0</v>
      </c>
      <c r="Q426" s="202"/>
      <c r="R426" s="181">
        <f t="shared" si="83"/>
        <v>0</v>
      </c>
      <c r="S426" s="181">
        <f t="shared" si="83"/>
        <v>0</v>
      </c>
      <c r="T426" s="181">
        <f t="shared" si="83"/>
        <v>0</v>
      </c>
      <c r="U426" s="181">
        <f t="shared" si="83"/>
        <v>0</v>
      </c>
      <c r="V426" s="181">
        <f t="shared" si="83"/>
        <v>0</v>
      </c>
      <c r="W426" s="198">
        <f t="shared" si="84"/>
        <v>0</v>
      </c>
    </row>
    <row r="427" spans="4:23" ht="15" customHeight="1">
      <c r="D427" s="85" t="str">
        <f xml:space="preserve"> '2.1 Model setup'!K83</f>
        <v>6.2 Afskrivninger på netaktiver ekskl. målere og transformerstationer</v>
      </c>
      <c r="K427" s="5" t="s">
        <v>4</v>
      </c>
      <c r="L427" s="85"/>
      <c r="O427" s="181">
        <f t="shared" si="82"/>
        <v>0</v>
      </c>
      <c r="P427" s="181">
        <f t="shared" si="82"/>
        <v>0</v>
      </c>
      <c r="Q427" s="202"/>
      <c r="R427" s="181">
        <f t="shared" si="83"/>
        <v>0</v>
      </c>
      <c r="S427" s="181">
        <f t="shared" si="83"/>
        <v>0</v>
      </c>
      <c r="T427" s="181">
        <f t="shared" si="83"/>
        <v>0</v>
      </c>
      <c r="U427" s="181">
        <f t="shared" si="83"/>
        <v>0</v>
      </c>
      <c r="V427" s="181">
        <f t="shared" si="83"/>
        <v>0</v>
      </c>
      <c r="W427" s="198">
        <f t="shared" si="84"/>
        <v>0</v>
      </c>
    </row>
    <row r="428" spans="4:23" ht="15" customHeight="1">
      <c r="D428" s="99" t="str">
        <f xml:space="preserve"> '2.1 Model setup'!K84</f>
        <v>6.3 Afskrivninger på målere</v>
      </c>
      <c r="E428" s="27"/>
      <c r="F428" s="27"/>
      <c r="G428" s="27"/>
      <c r="H428" s="27"/>
      <c r="I428" s="27"/>
      <c r="J428" s="27"/>
      <c r="K428" s="32" t="s">
        <v>4</v>
      </c>
      <c r="L428" s="99"/>
      <c r="M428" s="27"/>
      <c r="N428" s="27"/>
      <c r="O428" s="182">
        <f t="shared" si="82"/>
        <v>0</v>
      </c>
      <c r="P428" s="182">
        <f t="shared" si="82"/>
        <v>0</v>
      </c>
      <c r="Q428" s="269"/>
      <c r="R428" s="182">
        <f t="shared" si="83"/>
        <v>0</v>
      </c>
      <c r="S428" s="182">
        <f t="shared" si="83"/>
        <v>0</v>
      </c>
      <c r="T428" s="182">
        <f t="shared" si="83"/>
        <v>0</v>
      </c>
      <c r="U428" s="182">
        <f t="shared" si="83"/>
        <v>0</v>
      </c>
      <c r="V428" s="182">
        <f t="shared" si="83"/>
        <v>0</v>
      </c>
      <c r="W428" s="199">
        <f t="shared" si="84"/>
        <v>0</v>
      </c>
    </row>
    <row r="430" spans="4:23" ht="15" customHeight="1">
      <c r="D430" s="35" t="s">
        <v>643</v>
      </c>
      <c r="E430" s="27"/>
      <c r="F430" s="27"/>
      <c r="G430" s="27"/>
      <c r="H430" s="27"/>
      <c r="I430" s="27"/>
      <c r="J430" s="27"/>
      <c r="K430" s="32"/>
      <c r="L430" s="27"/>
      <c r="M430" s="27"/>
      <c r="N430" s="27"/>
      <c r="O430" s="27"/>
      <c r="P430" s="27"/>
      <c r="Q430" s="27"/>
      <c r="R430" s="27"/>
      <c r="S430" s="27"/>
      <c r="T430" s="27"/>
      <c r="U430" s="27"/>
      <c r="V430" s="27"/>
      <c r="W430" s="185" t="s">
        <v>16</v>
      </c>
    </row>
    <row r="431" spans="4:23" ht="15" customHeight="1">
      <c r="D431" s="123" t="str">
        <f xml:space="preserve"> '2.1 Model setup'!K70</f>
        <v>1.1 Drift og vedligeholdelse af transformerstationer</v>
      </c>
      <c r="E431" s="15"/>
      <c r="F431" s="15"/>
      <c r="G431" s="15"/>
      <c r="H431" s="15"/>
      <c r="I431" s="15"/>
      <c r="J431" s="15"/>
      <c r="K431" s="19" t="s">
        <v>4</v>
      </c>
      <c r="L431" s="123"/>
      <c r="M431" s="15"/>
      <c r="N431" s="15"/>
      <c r="O431" s="180">
        <f t="shared" ref="O431:P445" si="85" xml:space="preserve"> IF( $W346 = 0, 0, O346 / $W346)</f>
        <v>0</v>
      </c>
      <c r="P431" s="180">
        <f t="shared" si="85"/>
        <v>0</v>
      </c>
      <c r="Q431" s="274"/>
      <c r="R431" s="180">
        <f t="shared" ref="R431:V445" si="86" xml:space="preserve"> IF( $W346 = 0, 0, R346 / $W346)</f>
        <v>0</v>
      </c>
      <c r="S431" s="180">
        <f t="shared" si="86"/>
        <v>0</v>
      </c>
      <c r="T431" s="180">
        <f t="shared" si="86"/>
        <v>0</v>
      </c>
      <c r="U431" s="180">
        <f t="shared" si="86"/>
        <v>0</v>
      </c>
      <c r="V431" s="180">
        <f t="shared" si="86"/>
        <v>0</v>
      </c>
      <c r="W431" s="354">
        <f xml:space="preserve"> SUM( O431:V431 )</f>
        <v>0</v>
      </c>
    </row>
    <row r="432" spans="4:23" ht="15" customHeight="1">
      <c r="D432" s="85" t="str">
        <f xml:space="preserve"> '2.1 Model setup'!K71</f>
        <v>1.2 Drift og vedligeholdelse af ledningsnet</v>
      </c>
      <c r="K432" s="5" t="s">
        <v>4</v>
      </c>
      <c r="L432" s="85"/>
      <c r="O432" s="181">
        <f t="shared" si="85"/>
        <v>0</v>
      </c>
      <c r="P432" s="181">
        <f t="shared" si="85"/>
        <v>0</v>
      </c>
      <c r="Q432" s="202"/>
      <c r="R432" s="181">
        <f t="shared" si="86"/>
        <v>0</v>
      </c>
      <c r="S432" s="181">
        <f t="shared" si="86"/>
        <v>0</v>
      </c>
      <c r="T432" s="181">
        <f t="shared" si="86"/>
        <v>0</v>
      </c>
      <c r="U432" s="181">
        <f t="shared" si="86"/>
        <v>0</v>
      </c>
      <c r="V432" s="181">
        <f t="shared" si="86"/>
        <v>0</v>
      </c>
      <c r="W432" s="198">
        <f t="shared" ref="W432:W445" si="87" xml:space="preserve"> SUM( O432:V432 )</f>
        <v>0</v>
      </c>
    </row>
    <row r="433" spans="4:23" ht="15" customHeight="1">
      <c r="D433" s="85" t="str">
        <f xml:space="preserve"> '2.1 Model setup'!K72</f>
        <v>1.3 Øvrige omkostninger til drift, styring og kontrol af elnettet</v>
      </c>
      <c r="K433" s="5" t="s">
        <v>4</v>
      </c>
      <c r="L433" s="85"/>
      <c r="O433" s="181">
        <f t="shared" si="85"/>
        <v>0</v>
      </c>
      <c r="P433" s="181">
        <f t="shared" si="85"/>
        <v>0</v>
      </c>
      <c r="Q433" s="202"/>
      <c r="R433" s="181">
        <f t="shared" si="86"/>
        <v>0</v>
      </c>
      <c r="S433" s="181">
        <f t="shared" si="86"/>
        <v>0</v>
      </c>
      <c r="T433" s="181">
        <f t="shared" si="86"/>
        <v>0</v>
      </c>
      <c r="U433" s="181">
        <f t="shared" si="86"/>
        <v>0</v>
      </c>
      <c r="V433" s="181">
        <f t="shared" si="86"/>
        <v>0</v>
      </c>
      <c r="W433" s="198">
        <f t="shared" si="87"/>
        <v>0</v>
      </c>
    </row>
    <row r="434" spans="4:23" ht="15" customHeight="1">
      <c r="D434" s="85" t="str">
        <f xml:space="preserve"> '2.1 Model setup'!K73</f>
        <v>1.4 Omkostninger vedrørende 132-150/30-60 kV-stationer</v>
      </c>
      <c r="K434" s="5" t="s">
        <v>4</v>
      </c>
      <c r="L434" s="85"/>
      <c r="O434" s="181">
        <f t="shared" si="85"/>
        <v>0</v>
      </c>
      <c r="P434" s="181">
        <f t="shared" si="85"/>
        <v>0</v>
      </c>
      <c r="Q434" s="202"/>
      <c r="R434" s="181">
        <f t="shared" si="86"/>
        <v>0</v>
      </c>
      <c r="S434" s="181">
        <f t="shared" si="86"/>
        <v>0</v>
      </c>
      <c r="T434" s="181">
        <f t="shared" si="86"/>
        <v>0</v>
      </c>
      <c r="U434" s="181">
        <f t="shared" si="86"/>
        <v>0</v>
      </c>
      <c r="V434" s="181">
        <f t="shared" si="86"/>
        <v>0</v>
      </c>
      <c r="W434" s="198">
        <f t="shared" si="87"/>
        <v>0</v>
      </c>
    </row>
    <row r="435" spans="4:23" ht="15" customHeight="1">
      <c r="D435" s="85" t="str">
        <f xml:space="preserve"> '2.1 Model setup'!K74</f>
        <v>2.1 Drift og vedligeholdelse af målere</v>
      </c>
      <c r="K435" s="5" t="s">
        <v>4</v>
      </c>
      <c r="L435" s="85"/>
      <c r="O435" s="181">
        <f t="shared" si="85"/>
        <v>0</v>
      </c>
      <c r="P435" s="181">
        <f t="shared" si="85"/>
        <v>0</v>
      </c>
      <c r="Q435" s="202"/>
      <c r="R435" s="181">
        <f t="shared" si="86"/>
        <v>0</v>
      </c>
      <c r="S435" s="181">
        <f t="shared" si="86"/>
        <v>0</v>
      </c>
      <c r="T435" s="181">
        <f t="shared" si="86"/>
        <v>0</v>
      </c>
      <c r="U435" s="181">
        <f t="shared" si="86"/>
        <v>0</v>
      </c>
      <c r="V435" s="181">
        <f t="shared" si="86"/>
        <v>0</v>
      </c>
      <c r="W435" s="198">
        <f t="shared" si="87"/>
        <v>0</v>
      </c>
    </row>
    <row r="436" spans="4:23" ht="15" customHeight="1">
      <c r="D436" s="85" t="str">
        <f xml:space="preserve"> '2.1 Model setup'!K75</f>
        <v>2.2 Indhentning og validering af målerdata</v>
      </c>
      <c r="K436" s="5" t="s">
        <v>4</v>
      </c>
      <c r="L436" s="85"/>
      <c r="O436" s="181">
        <f t="shared" si="85"/>
        <v>0</v>
      </c>
      <c r="P436" s="181">
        <f t="shared" si="85"/>
        <v>0</v>
      </c>
      <c r="Q436" s="202"/>
      <c r="R436" s="181">
        <f t="shared" si="86"/>
        <v>0</v>
      </c>
      <c r="S436" s="181">
        <f t="shared" si="86"/>
        <v>0</v>
      </c>
      <c r="T436" s="181">
        <f t="shared" si="86"/>
        <v>0</v>
      </c>
      <c r="U436" s="181">
        <f t="shared" si="86"/>
        <v>0</v>
      </c>
      <c r="V436" s="181">
        <f t="shared" si="86"/>
        <v>0</v>
      </c>
      <c r="W436" s="198">
        <f t="shared" si="87"/>
        <v>0</v>
      </c>
    </row>
    <row r="437" spans="4:23" ht="15" customHeight="1">
      <c r="D437" s="85" t="str">
        <f xml:space="preserve"> '2.1 Model setup'!K76</f>
        <v>2.3 Måleradministration og kundehåndtering</v>
      </c>
      <c r="K437" s="5" t="s">
        <v>4</v>
      </c>
      <c r="L437" s="85"/>
      <c r="O437" s="181">
        <f t="shared" si="85"/>
        <v>0</v>
      </c>
      <c r="P437" s="181">
        <f t="shared" si="85"/>
        <v>0</v>
      </c>
      <c r="Q437" s="202"/>
      <c r="R437" s="181">
        <f t="shared" si="86"/>
        <v>0</v>
      </c>
      <c r="S437" s="181">
        <f t="shared" si="86"/>
        <v>0</v>
      </c>
      <c r="T437" s="181">
        <f t="shared" si="86"/>
        <v>0</v>
      </c>
      <c r="U437" s="181">
        <f t="shared" si="86"/>
        <v>0</v>
      </c>
      <c r="V437" s="181">
        <f t="shared" si="86"/>
        <v>0</v>
      </c>
      <c r="W437" s="198">
        <f t="shared" si="87"/>
        <v>0</v>
      </c>
    </row>
    <row r="438" spans="4:23" ht="15" customHeight="1">
      <c r="D438" s="85" t="str">
        <f xml:space="preserve"> '2.1 Model setup'!K77</f>
        <v>3.1 Generel administration</v>
      </c>
      <c r="K438" s="5" t="s">
        <v>4</v>
      </c>
      <c r="L438" s="85"/>
      <c r="O438" s="181">
        <f t="shared" si="85"/>
        <v>0</v>
      </c>
      <c r="P438" s="181">
        <f t="shared" si="85"/>
        <v>0</v>
      </c>
      <c r="Q438" s="202"/>
      <c r="R438" s="181">
        <f t="shared" si="86"/>
        <v>0</v>
      </c>
      <c r="S438" s="181">
        <f t="shared" si="86"/>
        <v>0</v>
      </c>
      <c r="T438" s="181">
        <f t="shared" si="86"/>
        <v>0</v>
      </c>
      <c r="U438" s="181">
        <f t="shared" si="86"/>
        <v>0</v>
      </c>
      <c r="V438" s="181">
        <f t="shared" si="86"/>
        <v>0</v>
      </c>
      <c r="W438" s="198">
        <f t="shared" si="87"/>
        <v>0</v>
      </c>
    </row>
    <row r="439" spans="4:23" ht="15" customHeight="1">
      <c r="D439" s="85" t="str">
        <f xml:space="preserve"> '2.1 Model setup'!K78</f>
        <v>4.1 Omkostninger vedrørende nettab i transformerstationer</v>
      </c>
      <c r="K439" s="5" t="s">
        <v>4</v>
      </c>
      <c r="L439" s="85"/>
      <c r="O439" s="181">
        <f t="shared" si="85"/>
        <v>0</v>
      </c>
      <c r="P439" s="181">
        <f t="shared" si="85"/>
        <v>0</v>
      </c>
      <c r="Q439" s="202"/>
      <c r="R439" s="181">
        <f t="shared" si="86"/>
        <v>0</v>
      </c>
      <c r="S439" s="181">
        <f t="shared" si="86"/>
        <v>0</v>
      </c>
      <c r="T439" s="181">
        <f t="shared" si="86"/>
        <v>0</v>
      </c>
      <c r="U439" s="181">
        <f t="shared" si="86"/>
        <v>0</v>
      </c>
      <c r="V439" s="181">
        <f t="shared" si="86"/>
        <v>0</v>
      </c>
      <c r="W439" s="198">
        <f t="shared" si="87"/>
        <v>0</v>
      </c>
    </row>
    <row r="440" spans="4:23" ht="15" customHeight="1">
      <c r="D440" s="85" t="str">
        <f xml:space="preserve"> '2.1 Model setup'!K79</f>
        <v>4.2 Omkostninger vedrørende nettab i ledningsnettet</v>
      </c>
      <c r="K440" s="5" t="s">
        <v>4</v>
      </c>
      <c r="L440" s="85"/>
      <c r="O440" s="181">
        <f t="shared" si="85"/>
        <v>0</v>
      </c>
      <c r="P440" s="181">
        <f t="shared" si="85"/>
        <v>0</v>
      </c>
      <c r="Q440" s="202"/>
      <c r="R440" s="181">
        <f t="shared" si="86"/>
        <v>0</v>
      </c>
      <c r="S440" s="181">
        <f t="shared" si="86"/>
        <v>0</v>
      </c>
      <c r="T440" s="181">
        <f t="shared" si="86"/>
        <v>0</v>
      </c>
      <c r="U440" s="181">
        <f t="shared" si="86"/>
        <v>0</v>
      </c>
      <c r="V440" s="181">
        <f t="shared" si="86"/>
        <v>0</v>
      </c>
      <c r="W440" s="198">
        <f t="shared" si="87"/>
        <v>0</v>
      </c>
    </row>
    <row r="441" spans="4:23" ht="15" customHeight="1">
      <c r="D441" s="85" t="str">
        <f xml:space="preserve"> '2.1 Model setup'!K88</f>
        <v>5.1 Omkostninger til overliggende net ifm. indfødning</v>
      </c>
      <c r="K441" s="5" t="s">
        <v>4</v>
      </c>
      <c r="L441" s="85"/>
      <c r="O441" s="181">
        <f t="shared" si="85"/>
        <v>0</v>
      </c>
      <c r="P441" s="181">
        <f t="shared" si="85"/>
        <v>0</v>
      </c>
      <c r="Q441" s="202"/>
      <c r="R441" s="181">
        <f t="shared" si="86"/>
        <v>0</v>
      </c>
      <c r="S441" s="181">
        <f t="shared" si="86"/>
        <v>0</v>
      </c>
      <c r="T441" s="181">
        <f t="shared" si="86"/>
        <v>0</v>
      </c>
      <c r="U441" s="181">
        <f t="shared" si="86"/>
        <v>0</v>
      </c>
      <c r="V441" s="181">
        <f t="shared" si="86"/>
        <v>0</v>
      </c>
      <c r="W441" s="198">
        <f t="shared" si="87"/>
        <v>0</v>
      </c>
    </row>
    <row r="442" spans="4:23" ht="15" customHeight="1">
      <c r="D442" s="85" t="str">
        <f xml:space="preserve"> '2.1 Model setup'!K81</f>
        <v>5.2 Øvrige omkostninger</v>
      </c>
      <c r="K442" s="5" t="s">
        <v>4</v>
      </c>
      <c r="L442" s="85"/>
      <c r="O442" s="181">
        <f t="shared" si="85"/>
        <v>0</v>
      </c>
      <c r="P442" s="181">
        <f t="shared" si="85"/>
        <v>0</v>
      </c>
      <c r="Q442" s="202"/>
      <c r="R442" s="181">
        <f t="shared" si="86"/>
        <v>0</v>
      </c>
      <c r="S442" s="181">
        <f t="shared" si="86"/>
        <v>0</v>
      </c>
      <c r="T442" s="181">
        <f t="shared" si="86"/>
        <v>0</v>
      </c>
      <c r="U442" s="181">
        <f t="shared" si="86"/>
        <v>0</v>
      </c>
      <c r="V442" s="181">
        <f t="shared" si="86"/>
        <v>0</v>
      </c>
      <c r="W442" s="198">
        <f t="shared" si="87"/>
        <v>0</v>
      </c>
    </row>
    <row r="443" spans="4:23" ht="15" customHeight="1">
      <c r="D443" s="85" t="str">
        <f xml:space="preserve"> '2.1 Model setup'!K82</f>
        <v>6.1 Afskrivninger på transformerstationer</v>
      </c>
      <c r="K443" s="5" t="s">
        <v>4</v>
      </c>
      <c r="L443" s="85"/>
      <c r="O443" s="181">
        <f t="shared" si="85"/>
        <v>0</v>
      </c>
      <c r="P443" s="181">
        <f t="shared" si="85"/>
        <v>0</v>
      </c>
      <c r="Q443" s="202"/>
      <c r="R443" s="181">
        <f t="shared" si="86"/>
        <v>0</v>
      </c>
      <c r="S443" s="181">
        <f t="shared" si="86"/>
        <v>0</v>
      </c>
      <c r="T443" s="181">
        <f t="shared" si="86"/>
        <v>0</v>
      </c>
      <c r="U443" s="181">
        <f t="shared" si="86"/>
        <v>0</v>
      </c>
      <c r="V443" s="181">
        <f t="shared" si="86"/>
        <v>0</v>
      </c>
      <c r="W443" s="198">
        <f t="shared" si="87"/>
        <v>0</v>
      </c>
    </row>
    <row r="444" spans="4:23" ht="15" customHeight="1">
      <c r="D444" s="85" t="str">
        <f xml:space="preserve"> '2.1 Model setup'!K83</f>
        <v>6.2 Afskrivninger på netaktiver ekskl. målere og transformerstationer</v>
      </c>
      <c r="K444" s="5" t="s">
        <v>4</v>
      </c>
      <c r="L444" s="85"/>
      <c r="O444" s="181">
        <f t="shared" si="85"/>
        <v>0</v>
      </c>
      <c r="P444" s="181">
        <f t="shared" si="85"/>
        <v>0</v>
      </c>
      <c r="Q444" s="202"/>
      <c r="R444" s="181">
        <f t="shared" si="86"/>
        <v>0</v>
      </c>
      <c r="S444" s="181">
        <f t="shared" si="86"/>
        <v>0</v>
      </c>
      <c r="T444" s="181">
        <f t="shared" si="86"/>
        <v>0</v>
      </c>
      <c r="U444" s="181">
        <f t="shared" si="86"/>
        <v>0</v>
      </c>
      <c r="V444" s="181">
        <f t="shared" si="86"/>
        <v>0</v>
      </c>
      <c r="W444" s="198">
        <f t="shared" si="87"/>
        <v>0</v>
      </c>
    </row>
    <row r="445" spans="4:23" ht="15" customHeight="1">
      <c r="D445" s="99" t="str">
        <f xml:space="preserve"> '2.1 Model setup'!K84</f>
        <v>6.3 Afskrivninger på målere</v>
      </c>
      <c r="E445" s="27"/>
      <c r="F445" s="27"/>
      <c r="G445" s="27"/>
      <c r="H445" s="27"/>
      <c r="I445" s="27"/>
      <c r="J445" s="27"/>
      <c r="K445" s="32" t="s">
        <v>4</v>
      </c>
      <c r="L445" s="99"/>
      <c r="M445" s="27"/>
      <c r="N445" s="27"/>
      <c r="O445" s="182">
        <f t="shared" si="85"/>
        <v>0</v>
      </c>
      <c r="P445" s="182">
        <f t="shared" si="85"/>
        <v>0</v>
      </c>
      <c r="Q445" s="269"/>
      <c r="R445" s="182">
        <f t="shared" si="86"/>
        <v>0</v>
      </c>
      <c r="S445" s="182">
        <f t="shared" si="86"/>
        <v>0</v>
      </c>
      <c r="T445" s="182">
        <f t="shared" si="86"/>
        <v>0</v>
      </c>
      <c r="U445" s="182">
        <f t="shared" si="86"/>
        <v>0</v>
      </c>
      <c r="V445" s="182">
        <f t="shared" si="86"/>
        <v>0</v>
      </c>
      <c r="W445" s="199">
        <f t="shared" si="87"/>
        <v>0</v>
      </c>
    </row>
    <row r="446" spans="4:23" ht="15" customHeight="1">
      <c r="Q446" s="565"/>
      <c r="R446" s="121"/>
    </row>
    <row r="447" spans="4:23" ht="15" customHeight="1">
      <c r="D447" s="35" t="s">
        <v>612</v>
      </c>
      <c r="E447" s="27"/>
      <c r="F447" s="27"/>
      <c r="G447" s="27"/>
      <c r="H447" s="27"/>
      <c r="I447" s="27"/>
      <c r="J447" s="27"/>
      <c r="K447" s="32"/>
      <c r="L447" s="27"/>
      <c r="M447" s="27"/>
      <c r="N447" s="27"/>
      <c r="O447" s="27"/>
      <c r="P447" s="584"/>
      <c r="Q447" s="27"/>
      <c r="R447" s="525"/>
      <c r="W447" s="185" t="s">
        <v>16</v>
      </c>
    </row>
    <row r="448" spans="4:23" ht="15" customHeight="1">
      <c r="D448" s="123" t="str">
        <f xml:space="preserve"> '2.1 Model setup'!K70</f>
        <v>1.1 Drift og vedligeholdelse af transformerstationer</v>
      </c>
      <c r="E448" s="15"/>
      <c r="F448" s="15"/>
      <c r="G448" s="15"/>
      <c r="H448" s="15"/>
      <c r="I448" s="15"/>
      <c r="J448" s="15"/>
      <c r="K448" s="19" t="s">
        <v>4</v>
      </c>
      <c r="L448" s="123"/>
      <c r="M448" s="15"/>
      <c r="N448" s="15"/>
      <c r="O448" s="180">
        <f xml:space="preserve"> IFERROR( IF( $W363 = 0, 0, O363 / $W363), 0 )</f>
        <v>0</v>
      </c>
      <c r="P448" s="586">
        <f xml:space="preserve"> IFERROR( IF( $W363 = 0, 0, IF(OR($D448='2.1 Model setup'!$K$71,$D448='2.1 Model setup'!$K$79),(R363/$W363)*('2.3 Selskabsspecifikke input'!$P$310 * '2.2 Generelle input'!$N$42 / (SUM( '2.3 Selskabsspecifikke input'!$P$310 * '2.2 Generelle input'!$N$42, '2.3 Selskabsspecifikke input'!$R$310 ))),0)),0)</f>
        <v>0</v>
      </c>
      <c r="Q448" s="274"/>
      <c r="R448" s="180">
        <f xml:space="preserve"> IFERROR( IF( $W363 = 0, 0,IF(AND(R$10=$R$10,OR($D448='2.1 Model setup'!$K$71,$D448='2.1 Model setup'!$K$79)),(R363/$W363)*('2.3 Selskabsspecifikke input'!$R$310 / (SUM( '2.3 Selskabsspecifikke input'!$P$310 * '2.2 Generelle input'!$N$42, '2.3 Selskabsspecifikke input'!$R$310 ))),(R363/$W363))),0)</f>
        <v>0</v>
      </c>
      <c r="S448" s="180">
        <f xml:space="preserve"> IFERROR( IF( $W363 = 0, 0,IF(AND(S$10=$R$10,OR($D448='2.1 Model setup'!$K$71,$D448='2.1 Model setup'!$K$79)),(S363/$W363)*('2.3 Selskabsspecifikke input'!$R$310 / (SUM( '2.3 Selskabsspecifikke input'!$P$310 * '2.2 Generelle input'!$N$42, '2.3 Selskabsspecifikke input'!$R$310 ))),(S363/$W363))),0)</f>
        <v>0</v>
      </c>
      <c r="T448" s="180">
        <f xml:space="preserve"> IFERROR( IF( $W363 = 0, 0,IF(AND(T$10=$R$10,OR($D448='2.1 Model setup'!$K$71,$D448='2.1 Model setup'!$K$79)),(T363/$W363)*('2.3 Selskabsspecifikke input'!$R$310 / (SUM( '2.3 Selskabsspecifikke input'!$P$310 * '2.2 Generelle input'!$N$42, '2.3 Selskabsspecifikke input'!$R$310 ))),(T363/$W363))),0)</f>
        <v>0</v>
      </c>
      <c r="U448" s="180">
        <f xml:space="preserve"> IFERROR( IF( $W363 = 0, 0,IF(AND(U$10=$R$10,OR($D448='2.1 Model setup'!$K$71,$D448='2.1 Model setup'!$K$79)),(U363/$W363)*('2.3 Selskabsspecifikke input'!$R$310 / (SUM( '2.3 Selskabsspecifikke input'!$P$310 * '2.2 Generelle input'!$N$42, '2.3 Selskabsspecifikke input'!$R$310 ))),(U363/$W363))),0)</f>
        <v>0</v>
      </c>
      <c r="V448" s="180">
        <f xml:space="preserve"> IFERROR( IF( $W363 = 0, 0,IF(AND(V$10=$R$10,OR($D448='2.1 Model setup'!$K$71,$D448='2.1 Model setup'!$K$79)),(V363/$W363)*('2.3 Selskabsspecifikke input'!$R$310 / (SUM( '2.3 Selskabsspecifikke input'!$P$310 * '2.2 Generelle input'!$N$42, '2.3 Selskabsspecifikke input'!$R$310 ))),(V363/$W363))),0)</f>
        <v>0</v>
      </c>
      <c r="W448" s="354">
        <f xml:space="preserve"> SUM( O448:V448 )</f>
        <v>0</v>
      </c>
    </row>
    <row r="449" spans="4:23" ht="15" customHeight="1">
      <c r="D449" s="85" t="str">
        <f xml:space="preserve"> '2.1 Model setup'!K71</f>
        <v>1.2 Drift og vedligeholdelse af ledningsnet</v>
      </c>
      <c r="K449" s="5" t="s">
        <v>4</v>
      </c>
      <c r="L449" s="85"/>
      <c r="O449" s="181">
        <f t="shared" ref="O449:O462" si="88" xml:space="preserve"> IFERROR( IF( $W364 = 0, 0, O364 / $W364), 0 )</f>
        <v>0</v>
      </c>
      <c r="P449" s="587">
        <f xml:space="preserve"> IFERROR( IF( $W364 = 0, 0, IF(OR($D449='2.1 Model setup'!$K$71,$D449='2.1 Model setup'!$K$79),(R364/$W364)*('2.3 Selskabsspecifikke input'!$P$310 * '2.2 Generelle input'!$N$42 / (SUM( '2.3 Selskabsspecifikke input'!$P$310 * '2.2 Generelle input'!$N$42, '2.3 Selskabsspecifikke input'!$R$310 ))),0)),0)</f>
        <v>0</v>
      </c>
      <c r="Q449" s="202"/>
      <c r="R449" s="181">
        <f xml:space="preserve"> IFERROR( IF( $W364 = 0, 0,IF(AND(R$10=$R$10,OR($D449='2.1 Model setup'!$K$71,$D449='2.1 Model setup'!$K$79)),(R364/$W364)*('2.3 Selskabsspecifikke input'!$R$310 / (SUM( '2.3 Selskabsspecifikke input'!$P$310 * '2.2 Generelle input'!$N$42, '2.3 Selskabsspecifikke input'!$R$310 ))),(R364/$W364))),0)</f>
        <v>0</v>
      </c>
      <c r="S449" s="181">
        <f xml:space="preserve"> IFERROR( IF( $W364 = 0, 0,IF(AND(S$10=$R$10,OR($D449='2.1 Model setup'!$K$71,$D449='2.1 Model setup'!$K$79)),(S364/$W364)*('2.3 Selskabsspecifikke input'!$R$310 / (SUM( '2.3 Selskabsspecifikke input'!$P$310 * '2.2 Generelle input'!$N$42, '2.3 Selskabsspecifikke input'!$R$310 ))),(S364/$W364))),0)</f>
        <v>0</v>
      </c>
      <c r="T449" s="181">
        <f xml:space="preserve"> IFERROR( IF( $W364 = 0, 0,IF(AND(T$10=$R$10,OR($D449='2.1 Model setup'!$K$71,$D449='2.1 Model setup'!$K$79)),(T364/$W364)*('2.3 Selskabsspecifikke input'!$R$310 / (SUM( '2.3 Selskabsspecifikke input'!$P$310 * '2.2 Generelle input'!$N$42, '2.3 Selskabsspecifikke input'!$R$310 ))),(T364/$W364))),0)</f>
        <v>0</v>
      </c>
      <c r="U449" s="181">
        <f xml:space="preserve"> IFERROR( IF( $W364 = 0, 0,IF(AND(U$10=$R$10,OR($D449='2.1 Model setup'!$K$71,$D449='2.1 Model setup'!$K$79)),(U364/$W364)*('2.3 Selskabsspecifikke input'!$R$310 / (SUM( '2.3 Selskabsspecifikke input'!$P$310 * '2.2 Generelle input'!$N$42, '2.3 Selskabsspecifikke input'!$R$310 ))),(U364/$W364))),0)</f>
        <v>0</v>
      </c>
      <c r="V449" s="181">
        <f xml:space="preserve"> IFERROR( IF( $W364 = 0, 0,IF(AND(V$10=$R$10,OR($D449='2.1 Model setup'!$K$71,$D449='2.1 Model setup'!$K$79)),(V364/$W364)*('2.3 Selskabsspecifikke input'!$R$310 / (SUM( '2.3 Selskabsspecifikke input'!$P$310 * '2.2 Generelle input'!$N$42, '2.3 Selskabsspecifikke input'!$R$310 ))),(V364/$W364))),0)</f>
        <v>0</v>
      </c>
      <c r="W449" s="198">
        <f t="shared" ref="W449:W462" si="89" xml:space="preserve"> SUM( O449:V449 )</f>
        <v>0</v>
      </c>
    </row>
    <row r="450" spans="4:23" ht="15" customHeight="1">
      <c r="D450" s="85" t="str">
        <f xml:space="preserve"> '2.1 Model setup'!K72</f>
        <v>1.3 Øvrige omkostninger til drift, styring og kontrol af elnettet</v>
      </c>
      <c r="K450" s="5" t="s">
        <v>4</v>
      </c>
      <c r="L450" s="85"/>
      <c r="O450" s="181">
        <f t="shared" si="88"/>
        <v>0</v>
      </c>
      <c r="P450" s="587">
        <f xml:space="preserve"> IFERROR( IF( $W365 = 0, 0, IF(OR($D450='2.1 Model setup'!$K$71,$D450='2.1 Model setup'!$K$79),(R365/$W365)*('2.3 Selskabsspecifikke input'!$P$310 * '2.2 Generelle input'!$N$42 / (SUM( '2.3 Selskabsspecifikke input'!$P$310 * '2.2 Generelle input'!$N$42, '2.3 Selskabsspecifikke input'!$R$310 ))),0)),0)</f>
        <v>0</v>
      </c>
      <c r="Q450" s="202"/>
      <c r="R450" s="181">
        <f xml:space="preserve"> IFERROR( IF( $W365 = 0, 0,IF(AND(R$10=$R$10,OR($D450='2.1 Model setup'!$K$71,$D450='2.1 Model setup'!$K$79)),(R365/$W365)*('2.3 Selskabsspecifikke input'!$R$310 / (SUM( '2.3 Selskabsspecifikke input'!$P$310 * '2.2 Generelle input'!$N$42, '2.3 Selskabsspecifikke input'!$R$310 ))),(R365/$W365))),0)</f>
        <v>0</v>
      </c>
      <c r="S450" s="181">
        <f xml:space="preserve"> IFERROR( IF( $W365 = 0, 0,IF(AND(S$10=$R$10,OR($D450='2.1 Model setup'!$K$71,$D450='2.1 Model setup'!$K$79)),(S365/$W365)*('2.3 Selskabsspecifikke input'!$R$310 / (SUM( '2.3 Selskabsspecifikke input'!$P$310 * '2.2 Generelle input'!$N$42, '2.3 Selskabsspecifikke input'!$R$310 ))),(S365/$W365))),0)</f>
        <v>0</v>
      </c>
      <c r="T450" s="181">
        <f xml:space="preserve"> IFERROR( IF( $W365 = 0, 0,IF(AND(T$10=$R$10,OR($D450='2.1 Model setup'!$K$71,$D450='2.1 Model setup'!$K$79)),(T365/$W365)*('2.3 Selskabsspecifikke input'!$R$310 / (SUM( '2.3 Selskabsspecifikke input'!$P$310 * '2.2 Generelle input'!$N$42, '2.3 Selskabsspecifikke input'!$R$310 ))),(T365/$W365))),0)</f>
        <v>0</v>
      </c>
      <c r="U450" s="181">
        <f xml:space="preserve"> IFERROR( IF( $W365 = 0, 0,IF(AND(U$10=$R$10,OR($D450='2.1 Model setup'!$K$71,$D450='2.1 Model setup'!$K$79)),(U365/$W365)*('2.3 Selskabsspecifikke input'!$R$310 / (SUM( '2.3 Selskabsspecifikke input'!$P$310 * '2.2 Generelle input'!$N$42, '2.3 Selskabsspecifikke input'!$R$310 ))),(U365/$W365))),0)</f>
        <v>0</v>
      </c>
      <c r="V450" s="181">
        <f xml:space="preserve"> IFERROR( IF( $W365 = 0, 0,IF(AND(V$10=$R$10,OR($D450='2.1 Model setup'!$K$71,$D450='2.1 Model setup'!$K$79)),(V365/$W365)*('2.3 Selskabsspecifikke input'!$R$310 / (SUM( '2.3 Selskabsspecifikke input'!$P$310 * '2.2 Generelle input'!$N$42, '2.3 Selskabsspecifikke input'!$R$310 ))),(V365/$W365))),0)</f>
        <v>0</v>
      </c>
      <c r="W450" s="198">
        <f t="shared" si="89"/>
        <v>0</v>
      </c>
    </row>
    <row r="451" spans="4:23" ht="15" customHeight="1">
      <c r="D451" s="85" t="str">
        <f xml:space="preserve"> '2.1 Model setup'!K73</f>
        <v>1.4 Omkostninger vedrørende 132-150/30-60 kV-stationer</v>
      </c>
      <c r="K451" s="5" t="s">
        <v>4</v>
      </c>
      <c r="L451" s="85"/>
      <c r="O451" s="181">
        <f t="shared" si="88"/>
        <v>0</v>
      </c>
      <c r="P451" s="587">
        <f xml:space="preserve"> IFERROR( IF( $W366 = 0, 0, IF(OR($D451='2.1 Model setup'!$K$71,$D451='2.1 Model setup'!$K$79),(R366/$W366)*('2.3 Selskabsspecifikke input'!$P$310 * '2.2 Generelle input'!$N$42 / (SUM( '2.3 Selskabsspecifikke input'!$P$310 * '2.2 Generelle input'!$N$42, '2.3 Selskabsspecifikke input'!$R$310 ))),0)),0)</f>
        <v>0</v>
      </c>
      <c r="Q451" s="202"/>
      <c r="R451" s="181">
        <f xml:space="preserve"> IFERROR( IF( $W366 = 0, 0,IF(AND(R$10=$R$10,OR($D451='2.1 Model setup'!$K$71,$D451='2.1 Model setup'!$K$79)),(R366/$W366)*('2.3 Selskabsspecifikke input'!$R$310 / (SUM( '2.3 Selskabsspecifikke input'!$P$310 * '2.2 Generelle input'!$N$42, '2.3 Selskabsspecifikke input'!$R$310 ))),(R366/$W366))),0)</f>
        <v>0</v>
      </c>
      <c r="S451" s="181">
        <f xml:space="preserve"> IFERROR( IF( $W366 = 0, 0,IF(AND(S$10=$R$10,OR($D451='2.1 Model setup'!$K$71,$D451='2.1 Model setup'!$K$79)),(S366/$W366)*('2.3 Selskabsspecifikke input'!$R$310 / (SUM( '2.3 Selskabsspecifikke input'!$P$310 * '2.2 Generelle input'!$N$42, '2.3 Selskabsspecifikke input'!$R$310 ))),(S366/$W366))),0)</f>
        <v>0</v>
      </c>
      <c r="T451" s="181">
        <f xml:space="preserve"> IFERROR( IF( $W366 = 0, 0,IF(AND(T$10=$R$10,OR($D451='2.1 Model setup'!$K$71,$D451='2.1 Model setup'!$K$79)),(T366/$W366)*('2.3 Selskabsspecifikke input'!$R$310 / (SUM( '2.3 Selskabsspecifikke input'!$P$310 * '2.2 Generelle input'!$N$42, '2.3 Selskabsspecifikke input'!$R$310 ))),(T366/$W366))),0)</f>
        <v>0</v>
      </c>
      <c r="U451" s="181">
        <f xml:space="preserve"> IFERROR( IF( $W366 = 0, 0,IF(AND(U$10=$R$10,OR($D451='2.1 Model setup'!$K$71,$D451='2.1 Model setup'!$K$79)),(U366/$W366)*('2.3 Selskabsspecifikke input'!$R$310 / (SUM( '2.3 Selskabsspecifikke input'!$P$310 * '2.2 Generelle input'!$N$42, '2.3 Selskabsspecifikke input'!$R$310 ))),(U366/$W366))),0)</f>
        <v>0</v>
      </c>
      <c r="V451" s="181">
        <f xml:space="preserve"> IFERROR( IF( $W366 = 0, 0,IF(AND(V$10=$R$10,OR($D451='2.1 Model setup'!$K$71,$D451='2.1 Model setup'!$K$79)),(V366/$W366)*('2.3 Selskabsspecifikke input'!$R$310 / (SUM( '2.3 Selskabsspecifikke input'!$P$310 * '2.2 Generelle input'!$N$42, '2.3 Selskabsspecifikke input'!$R$310 ))),(V366/$W366))),0)</f>
        <v>0</v>
      </c>
      <c r="W451" s="198">
        <f t="shared" si="89"/>
        <v>0</v>
      </c>
    </row>
    <row r="452" spans="4:23" ht="15" customHeight="1">
      <c r="D452" s="85" t="str">
        <f xml:space="preserve"> '2.1 Model setup'!K74</f>
        <v>2.1 Drift og vedligeholdelse af målere</v>
      </c>
      <c r="K452" s="5" t="s">
        <v>4</v>
      </c>
      <c r="L452" s="85"/>
      <c r="O452" s="181">
        <f t="shared" si="88"/>
        <v>0</v>
      </c>
      <c r="P452" s="587">
        <f xml:space="preserve"> IFERROR( IF( $W367 = 0, 0, IF(OR($D452='2.1 Model setup'!$K$71,$D452='2.1 Model setup'!$K$79),(R367/$W367)*('2.3 Selskabsspecifikke input'!$P$310 * '2.2 Generelle input'!$N$42 / (SUM( '2.3 Selskabsspecifikke input'!$P$310 * '2.2 Generelle input'!$N$42, '2.3 Selskabsspecifikke input'!$R$310 ))),0)),0)</f>
        <v>0</v>
      </c>
      <c r="Q452" s="202"/>
      <c r="R452" s="181">
        <f xml:space="preserve"> IFERROR( IF( $W367 = 0, 0,IF(AND(R$10=$R$10,OR($D452='2.1 Model setup'!$K$71,$D452='2.1 Model setup'!$K$79)),(R367/$W367)*('2.3 Selskabsspecifikke input'!$R$310 / (SUM( '2.3 Selskabsspecifikke input'!$P$310 * '2.2 Generelle input'!$N$42, '2.3 Selskabsspecifikke input'!$R$310 ))),(R367/$W367))),0)</f>
        <v>0</v>
      </c>
      <c r="S452" s="181">
        <f xml:space="preserve"> IFERROR( IF( $W367 = 0, 0,IF(AND(S$10=$R$10,OR($D452='2.1 Model setup'!$K$71,$D452='2.1 Model setup'!$K$79)),(S367/$W367)*('2.3 Selskabsspecifikke input'!$R$310 / (SUM( '2.3 Selskabsspecifikke input'!$P$310 * '2.2 Generelle input'!$N$42, '2.3 Selskabsspecifikke input'!$R$310 ))),(S367/$W367))),0)</f>
        <v>0</v>
      </c>
      <c r="T452" s="181">
        <f xml:space="preserve"> IFERROR( IF( $W367 = 0, 0,IF(AND(T$10=$R$10,OR($D452='2.1 Model setup'!$K$71,$D452='2.1 Model setup'!$K$79)),(T367/$W367)*('2.3 Selskabsspecifikke input'!$R$310 / (SUM( '2.3 Selskabsspecifikke input'!$P$310 * '2.2 Generelle input'!$N$42, '2.3 Selskabsspecifikke input'!$R$310 ))),(T367/$W367))),0)</f>
        <v>0</v>
      </c>
      <c r="U452" s="181">
        <f xml:space="preserve"> IFERROR( IF( $W367 = 0, 0,IF(AND(U$10=$R$10,OR($D452='2.1 Model setup'!$K$71,$D452='2.1 Model setup'!$K$79)),(U367/$W367)*('2.3 Selskabsspecifikke input'!$R$310 / (SUM( '2.3 Selskabsspecifikke input'!$P$310 * '2.2 Generelle input'!$N$42, '2.3 Selskabsspecifikke input'!$R$310 ))),(U367/$W367))),0)</f>
        <v>0</v>
      </c>
      <c r="V452" s="181">
        <f xml:space="preserve"> IFERROR( IF( $W367 = 0, 0,IF(AND(V$10=$R$10,OR($D452='2.1 Model setup'!$K$71,$D452='2.1 Model setup'!$K$79)),(V367/$W367)*('2.3 Selskabsspecifikke input'!$R$310 / (SUM( '2.3 Selskabsspecifikke input'!$P$310 * '2.2 Generelle input'!$N$42, '2.3 Selskabsspecifikke input'!$R$310 ))),(V367/$W367))),0)</f>
        <v>0</v>
      </c>
      <c r="W452" s="198">
        <f t="shared" si="89"/>
        <v>0</v>
      </c>
    </row>
    <row r="453" spans="4:23" ht="15" customHeight="1">
      <c r="D453" s="85" t="str">
        <f xml:space="preserve"> '2.1 Model setup'!K75</f>
        <v>2.2 Indhentning og validering af målerdata</v>
      </c>
      <c r="K453" s="5" t="s">
        <v>4</v>
      </c>
      <c r="L453" s="85"/>
      <c r="O453" s="181">
        <f t="shared" si="88"/>
        <v>0</v>
      </c>
      <c r="P453" s="587">
        <f xml:space="preserve"> IFERROR( IF( $W368 = 0, 0, IF(OR($D453='2.1 Model setup'!$K$71,$D453='2.1 Model setup'!$K$79),(R368/$W368)*('2.3 Selskabsspecifikke input'!$P$310 * '2.2 Generelle input'!$N$42 / (SUM( '2.3 Selskabsspecifikke input'!$P$310 * '2.2 Generelle input'!$N$42, '2.3 Selskabsspecifikke input'!$R$310 ))),0)),0)</f>
        <v>0</v>
      </c>
      <c r="Q453" s="202"/>
      <c r="R453" s="181">
        <f xml:space="preserve"> IFERROR( IF( $W368 = 0, 0,IF(AND(R$10=$R$10,OR($D453='2.1 Model setup'!$K$71,$D453='2.1 Model setup'!$K$79)),(R368/$W368)*('2.3 Selskabsspecifikke input'!$R$310 / (SUM( '2.3 Selskabsspecifikke input'!$P$310 * '2.2 Generelle input'!$N$42, '2.3 Selskabsspecifikke input'!$R$310 ))),(R368/$W368))),0)</f>
        <v>0</v>
      </c>
      <c r="S453" s="181">
        <f xml:space="preserve"> IFERROR( IF( $W368 = 0, 0,IF(AND(S$10=$R$10,OR($D453='2.1 Model setup'!$K$71,$D453='2.1 Model setup'!$K$79)),(S368/$W368)*('2.3 Selskabsspecifikke input'!$R$310 / (SUM( '2.3 Selskabsspecifikke input'!$P$310 * '2.2 Generelle input'!$N$42, '2.3 Selskabsspecifikke input'!$R$310 ))),(S368/$W368))),0)</f>
        <v>0</v>
      </c>
      <c r="T453" s="181">
        <f xml:space="preserve"> IFERROR( IF( $W368 = 0, 0,IF(AND(T$10=$R$10,OR($D453='2.1 Model setup'!$K$71,$D453='2.1 Model setup'!$K$79)),(T368/$W368)*('2.3 Selskabsspecifikke input'!$R$310 / (SUM( '2.3 Selskabsspecifikke input'!$P$310 * '2.2 Generelle input'!$N$42, '2.3 Selskabsspecifikke input'!$R$310 ))),(T368/$W368))),0)</f>
        <v>0</v>
      </c>
      <c r="U453" s="181">
        <f xml:space="preserve"> IFERROR( IF( $W368 = 0, 0,IF(AND(U$10=$R$10,OR($D453='2.1 Model setup'!$K$71,$D453='2.1 Model setup'!$K$79)),(U368/$W368)*('2.3 Selskabsspecifikke input'!$R$310 / (SUM( '2.3 Selskabsspecifikke input'!$P$310 * '2.2 Generelle input'!$N$42, '2.3 Selskabsspecifikke input'!$R$310 ))),(U368/$W368))),0)</f>
        <v>0</v>
      </c>
      <c r="V453" s="181">
        <f xml:space="preserve"> IFERROR( IF( $W368 = 0, 0,IF(AND(V$10=$R$10,OR($D453='2.1 Model setup'!$K$71,$D453='2.1 Model setup'!$K$79)),(V368/$W368)*('2.3 Selskabsspecifikke input'!$R$310 / (SUM( '2.3 Selskabsspecifikke input'!$P$310 * '2.2 Generelle input'!$N$42, '2.3 Selskabsspecifikke input'!$R$310 ))),(V368/$W368))),0)</f>
        <v>0</v>
      </c>
      <c r="W453" s="198">
        <f t="shared" si="89"/>
        <v>0</v>
      </c>
    </row>
    <row r="454" spans="4:23" ht="15" customHeight="1">
      <c r="D454" s="85" t="str">
        <f xml:space="preserve"> '2.1 Model setup'!K76</f>
        <v>2.3 Måleradministration og kundehåndtering</v>
      </c>
      <c r="K454" s="5" t="s">
        <v>4</v>
      </c>
      <c r="L454" s="85"/>
      <c r="O454" s="181">
        <f t="shared" si="88"/>
        <v>0</v>
      </c>
      <c r="P454" s="587">
        <f xml:space="preserve"> IFERROR( IF( $W369 = 0, 0, IF(OR($D454='2.1 Model setup'!$K$71,$D454='2.1 Model setup'!$K$79),(R369/$W369)*('2.3 Selskabsspecifikke input'!$P$310 * '2.2 Generelle input'!$N$42 / (SUM( '2.3 Selskabsspecifikke input'!$P$310 * '2.2 Generelle input'!$N$42, '2.3 Selskabsspecifikke input'!$R$310 ))),0)),0)</f>
        <v>0</v>
      </c>
      <c r="Q454" s="202"/>
      <c r="R454" s="181">
        <f xml:space="preserve"> IFERROR( IF( $W369 = 0, 0,IF(AND(R$10=$R$10,OR($D454='2.1 Model setup'!$K$71,$D454='2.1 Model setup'!$K$79)),(R369/$W369)*('2.3 Selskabsspecifikke input'!$R$310 / (SUM( '2.3 Selskabsspecifikke input'!$P$310 * '2.2 Generelle input'!$N$42, '2.3 Selskabsspecifikke input'!$R$310 ))),(R369/$W369))),0)</f>
        <v>0</v>
      </c>
      <c r="S454" s="181">
        <f xml:space="preserve"> IFERROR( IF( $W369 = 0, 0,IF(AND(S$10=$R$10,OR($D454='2.1 Model setup'!$K$71,$D454='2.1 Model setup'!$K$79)),(S369/$W369)*('2.3 Selskabsspecifikke input'!$R$310 / (SUM( '2.3 Selskabsspecifikke input'!$P$310 * '2.2 Generelle input'!$N$42, '2.3 Selskabsspecifikke input'!$R$310 ))),(S369/$W369))),0)</f>
        <v>0</v>
      </c>
      <c r="T454" s="181">
        <f xml:space="preserve"> IFERROR( IF( $W369 = 0, 0,IF(AND(T$10=$R$10,OR($D454='2.1 Model setup'!$K$71,$D454='2.1 Model setup'!$K$79)),(T369/$W369)*('2.3 Selskabsspecifikke input'!$R$310 / (SUM( '2.3 Selskabsspecifikke input'!$P$310 * '2.2 Generelle input'!$N$42, '2.3 Selskabsspecifikke input'!$R$310 ))),(T369/$W369))),0)</f>
        <v>0</v>
      </c>
      <c r="U454" s="181">
        <f xml:space="preserve"> IFERROR( IF( $W369 = 0, 0,IF(AND(U$10=$R$10,OR($D454='2.1 Model setup'!$K$71,$D454='2.1 Model setup'!$K$79)),(U369/$W369)*('2.3 Selskabsspecifikke input'!$R$310 / (SUM( '2.3 Selskabsspecifikke input'!$P$310 * '2.2 Generelle input'!$N$42, '2.3 Selskabsspecifikke input'!$R$310 ))),(U369/$W369))),0)</f>
        <v>0</v>
      </c>
      <c r="V454" s="181">
        <f xml:space="preserve"> IFERROR( IF( $W369 = 0, 0,IF(AND(V$10=$R$10,OR($D454='2.1 Model setup'!$K$71,$D454='2.1 Model setup'!$K$79)),(V369/$W369)*('2.3 Selskabsspecifikke input'!$R$310 / (SUM( '2.3 Selskabsspecifikke input'!$P$310 * '2.2 Generelle input'!$N$42, '2.3 Selskabsspecifikke input'!$R$310 ))),(V369/$W369))),0)</f>
        <v>0</v>
      </c>
      <c r="W454" s="198">
        <f t="shared" si="89"/>
        <v>0</v>
      </c>
    </row>
    <row r="455" spans="4:23" ht="15" customHeight="1">
      <c r="D455" s="85" t="str">
        <f xml:space="preserve"> '2.1 Model setup'!K77</f>
        <v>3.1 Generel administration</v>
      </c>
      <c r="K455" s="5" t="s">
        <v>4</v>
      </c>
      <c r="L455" s="85"/>
      <c r="O455" s="181">
        <f t="shared" si="88"/>
        <v>0</v>
      </c>
      <c r="P455" s="587">
        <f xml:space="preserve"> IFERROR( IF( $W370 = 0, 0, IF(OR($D455='2.1 Model setup'!$K$71,$D455='2.1 Model setup'!$K$79),(R370/$W370)*('2.3 Selskabsspecifikke input'!$P$310 * '2.2 Generelle input'!$N$42 / (SUM( '2.3 Selskabsspecifikke input'!$P$310 * '2.2 Generelle input'!$N$42, '2.3 Selskabsspecifikke input'!$R$310 ))),0)),0)</f>
        <v>0</v>
      </c>
      <c r="Q455" s="202"/>
      <c r="R455" s="181">
        <f xml:space="preserve"> IFERROR( IF( $W370 = 0, 0,IF(AND(R$10=$R$10,OR($D455='2.1 Model setup'!$K$71,$D455='2.1 Model setup'!$K$79)),(R370/$W370)*('2.3 Selskabsspecifikke input'!$R$310 / (SUM( '2.3 Selskabsspecifikke input'!$P$310 * '2.2 Generelle input'!$N$42, '2.3 Selskabsspecifikke input'!$R$310 ))),(R370/$W370))),0)</f>
        <v>0</v>
      </c>
      <c r="S455" s="181">
        <f xml:space="preserve"> IFERROR( IF( $W370 = 0, 0,IF(AND(S$10=$R$10,OR($D455='2.1 Model setup'!$K$71,$D455='2.1 Model setup'!$K$79)),(S370/$W370)*('2.3 Selskabsspecifikke input'!$R$310 / (SUM( '2.3 Selskabsspecifikke input'!$P$310 * '2.2 Generelle input'!$N$42, '2.3 Selskabsspecifikke input'!$R$310 ))),(S370/$W370))),0)</f>
        <v>0</v>
      </c>
      <c r="T455" s="181">
        <f xml:space="preserve"> IFERROR( IF( $W370 = 0, 0,IF(AND(T$10=$R$10,OR($D455='2.1 Model setup'!$K$71,$D455='2.1 Model setup'!$K$79)),(T370/$W370)*('2.3 Selskabsspecifikke input'!$R$310 / (SUM( '2.3 Selskabsspecifikke input'!$P$310 * '2.2 Generelle input'!$N$42, '2.3 Selskabsspecifikke input'!$R$310 ))),(T370/$W370))),0)</f>
        <v>0</v>
      </c>
      <c r="U455" s="181">
        <f xml:space="preserve"> IFERROR( IF( $W370 = 0, 0,IF(AND(U$10=$R$10,OR($D455='2.1 Model setup'!$K$71,$D455='2.1 Model setup'!$K$79)),(U370/$W370)*('2.3 Selskabsspecifikke input'!$R$310 / (SUM( '2.3 Selskabsspecifikke input'!$P$310 * '2.2 Generelle input'!$N$42, '2.3 Selskabsspecifikke input'!$R$310 ))),(U370/$W370))),0)</f>
        <v>0</v>
      </c>
      <c r="V455" s="181">
        <f xml:space="preserve"> IFERROR( IF( $W370 = 0, 0,IF(AND(V$10=$R$10,OR($D455='2.1 Model setup'!$K$71,$D455='2.1 Model setup'!$K$79)),(V370/$W370)*('2.3 Selskabsspecifikke input'!$R$310 / (SUM( '2.3 Selskabsspecifikke input'!$P$310 * '2.2 Generelle input'!$N$42, '2.3 Selskabsspecifikke input'!$R$310 ))),(V370/$W370))),0)</f>
        <v>0</v>
      </c>
      <c r="W455" s="198">
        <f t="shared" si="89"/>
        <v>0</v>
      </c>
    </row>
    <row r="456" spans="4:23" ht="15" customHeight="1">
      <c r="D456" s="85" t="str">
        <f xml:space="preserve"> '2.1 Model setup'!K78</f>
        <v>4.1 Omkostninger vedrørende nettab i transformerstationer</v>
      </c>
      <c r="K456" s="5" t="s">
        <v>4</v>
      </c>
      <c r="L456" s="85"/>
      <c r="O456" s="181">
        <f t="shared" si="88"/>
        <v>0</v>
      </c>
      <c r="P456" s="587">
        <f xml:space="preserve"> IFERROR( IF( $W371 = 0, 0, IF(OR($D456='2.1 Model setup'!$K$71,$D456='2.1 Model setup'!$K$79),(R371/$W371)*('2.3 Selskabsspecifikke input'!$P$310 * '2.2 Generelle input'!$N$42 / (SUM( '2.3 Selskabsspecifikke input'!$P$310 * '2.2 Generelle input'!$N$42, '2.3 Selskabsspecifikke input'!$R$310 ))),0)),0)</f>
        <v>0</v>
      </c>
      <c r="Q456" s="202"/>
      <c r="R456" s="181">
        <f xml:space="preserve"> IFERROR( IF( $W371 = 0, 0,IF(AND(R$10=$R$10,OR($D456='2.1 Model setup'!$K$71,$D456='2.1 Model setup'!$K$79)),(R371/$W371)*('2.3 Selskabsspecifikke input'!$R$310 / (SUM( '2.3 Selskabsspecifikke input'!$P$310 * '2.2 Generelle input'!$N$42, '2.3 Selskabsspecifikke input'!$R$310 ))),(R371/$W371))),0)</f>
        <v>0</v>
      </c>
      <c r="S456" s="181">
        <f xml:space="preserve"> IFERROR( IF( $W371 = 0, 0,IF(AND(S$10=$R$10,OR($D456='2.1 Model setup'!$K$71,$D456='2.1 Model setup'!$K$79)),(S371/$W371)*('2.3 Selskabsspecifikke input'!$R$310 / (SUM( '2.3 Selskabsspecifikke input'!$P$310 * '2.2 Generelle input'!$N$42, '2.3 Selskabsspecifikke input'!$R$310 ))),(S371/$W371))),0)</f>
        <v>0</v>
      </c>
      <c r="T456" s="181">
        <f xml:space="preserve"> IFERROR( IF( $W371 = 0, 0,IF(AND(T$10=$R$10,OR($D456='2.1 Model setup'!$K$71,$D456='2.1 Model setup'!$K$79)),(T371/$W371)*('2.3 Selskabsspecifikke input'!$R$310 / (SUM( '2.3 Selskabsspecifikke input'!$P$310 * '2.2 Generelle input'!$N$42, '2.3 Selskabsspecifikke input'!$R$310 ))),(T371/$W371))),0)</f>
        <v>0</v>
      </c>
      <c r="U456" s="181">
        <f xml:space="preserve"> IFERROR( IF( $W371 = 0, 0,IF(AND(U$10=$R$10,OR($D456='2.1 Model setup'!$K$71,$D456='2.1 Model setup'!$K$79)),(U371/$W371)*('2.3 Selskabsspecifikke input'!$R$310 / (SUM( '2.3 Selskabsspecifikke input'!$P$310 * '2.2 Generelle input'!$N$42, '2.3 Selskabsspecifikke input'!$R$310 ))),(U371/$W371))),0)</f>
        <v>0</v>
      </c>
      <c r="V456" s="181">
        <f xml:space="preserve"> IFERROR( IF( $W371 = 0, 0,IF(AND(V$10=$R$10,OR($D456='2.1 Model setup'!$K$71,$D456='2.1 Model setup'!$K$79)),(V371/$W371)*('2.3 Selskabsspecifikke input'!$R$310 / (SUM( '2.3 Selskabsspecifikke input'!$P$310 * '2.2 Generelle input'!$N$42, '2.3 Selskabsspecifikke input'!$R$310 ))),(V371/$W371))),0)</f>
        <v>0</v>
      </c>
      <c r="W456" s="198">
        <f t="shared" si="89"/>
        <v>0</v>
      </c>
    </row>
    <row r="457" spans="4:23" ht="15" customHeight="1">
      <c r="D457" s="85" t="str">
        <f xml:space="preserve"> '2.1 Model setup'!K79</f>
        <v>4.2 Omkostninger vedrørende nettab i ledningsnettet</v>
      </c>
      <c r="K457" s="5" t="s">
        <v>4</v>
      </c>
      <c r="L457" s="85"/>
      <c r="O457" s="181">
        <f t="shared" si="88"/>
        <v>0</v>
      </c>
      <c r="P457" s="587">
        <f xml:space="preserve"> IFERROR( IF( $W372 = 0, 0, IF(OR($D457='2.1 Model setup'!$K$71,$D457='2.1 Model setup'!$K$79),(R372/$W372)*('2.3 Selskabsspecifikke input'!$P$310 * '2.2 Generelle input'!$N$42 / (SUM( '2.3 Selskabsspecifikke input'!$P$310 * '2.2 Generelle input'!$N$42, '2.3 Selskabsspecifikke input'!$R$310 ))),0)),0)</f>
        <v>0</v>
      </c>
      <c r="Q457" s="202"/>
      <c r="R457" s="181">
        <f xml:space="preserve"> IFERROR( IF( $W372 = 0, 0,IF(AND(R$10=$R$10,OR($D457='2.1 Model setup'!$K$71,$D457='2.1 Model setup'!$K$79)),(R372/$W372)*('2.3 Selskabsspecifikke input'!$R$310 / (SUM( '2.3 Selskabsspecifikke input'!$P$310 * '2.2 Generelle input'!$N$42, '2.3 Selskabsspecifikke input'!$R$310 ))),(R372/$W372))),0)</f>
        <v>0</v>
      </c>
      <c r="S457" s="181">
        <f xml:space="preserve"> IFERROR( IF( $W372 = 0, 0,IF(AND(S$10=$R$10,OR($D457='2.1 Model setup'!$K$71,$D457='2.1 Model setup'!$K$79)),(S372/$W372)*('2.3 Selskabsspecifikke input'!$R$310 / (SUM( '2.3 Selskabsspecifikke input'!$P$310 * '2.2 Generelle input'!$N$42, '2.3 Selskabsspecifikke input'!$R$310 ))),(S372/$W372))),0)</f>
        <v>0</v>
      </c>
      <c r="T457" s="181">
        <f xml:space="preserve"> IFERROR( IF( $W372 = 0, 0,IF(AND(T$10=$R$10,OR($D457='2.1 Model setup'!$K$71,$D457='2.1 Model setup'!$K$79)),(T372/$W372)*('2.3 Selskabsspecifikke input'!$R$310 / (SUM( '2.3 Selskabsspecifikke input'!$P$310 * '2.2 Generelle input'!$N$42, '2.3 Selskabsspecifikke input'!$R$310 ))),(T372/$W372))),0)</f>
        <v>0</v>
      </c>
      <c r="U457" s="181">
        <f xml:space="preserve"> IFERROR( IF( $W372 = 0, 0,IF(AND(U$10=$R$10,OR($D457='2.1 Model setup'!$K$71,$D457='2.1 Model setup'!$K$79)),(U372/$W372)*('2.3 Selskabsspecifikke input'!$R$310 / (SUM( '2.3 Selskabsspecifikke input'!$P$310 * '2.2 Generelle input'!$N$42, '2.3 Selskabsspecifikke input'!$R$310 ))),(U372/$W372))),0)</f>
        <v>0</v>
      </c>
      <c r="V457" s="181">
        <f xml:space="preserve"> IFERROR( IF( $W372 = 0, 0,IF(AND(V$10=$R$10,OR($D457='2.1 Model setup'!$K$71,$D457='2.1 Model setup'!$K$79)),(V372/$W372)*('2.3 Selskabsspecifikke input'!$R$310 / (SUM( '2.3 Selskabsspecifikke input'!$P$310 * '2.2 Generelle input'!$N$42, '2.3 Selskabsspecifikke input'!$R$310 ))),(V372/$W372))),0)</f>
        <v>0</v>
      </c>
      <c r="W457" s="198">
        <f t="shared" si="89"/>
        <v>0</v>
      </c>
    </row>
    <row r="458" spans="4:23" ht="15" customHeight="1">
      <c r="D458" s="85" t="str">
        <f xml:space="preserve"> '2.1 Model setup'!K88</f>
        <v>5.1 Omkostninger til overliggende net ifm. indfødning</v>
      </c>
      <c r="K458" s="5" t="s">
        <v>4</v>
      </c>
      <c r="L458" s="85"/>
      <c r="O458" s="181">
        <f t="shared" si="88"/>
        <v>0</v>
      </c>
      <c r="P458" s="587">
        <f xml:space="preserve"> IFERROR( IF( $W373 = 0, 0, IF(OR($D458='2.1 Model setup'!$K$71,$D458='2.1 Model setup'!$K$79),(R373/$W373)*('2.3 Selskabsspecifikke input'!$P$310 * '2.2 Generelle input'!$N$42 / (SUM( '2.3 Selskabsspecifikke input'!$P$310 * '2.2 Generelle input'!$N$42, '2.3 Selskabsspecifikke input'!$R$310 ))),0)),0)</f>
        <v>0</v>
      </c>
      <c r="Q458" s="202"/>
      <c r="R458" s="181">
        <f xml:space="preserve"> IFERROR( IF( $W373 = 0, 0,IF(AND(R$10=$R$10,OR($D458='2.1 Model setup'!$K$71,$D458='2.1 Model setup'!$K$79)),(R373/$W373)*('2.3 Selskabsspecifikke input'!$R$310 / (SUM( '2.3 Selskabsspecifikke input'!$P$310 * '2.2 Generelle input'!$N$42, '2.3 Selskabsspecifikke input'!$R$310 ))),(R373/$W373))),0)</f>
        <v>0</v>
      </c>
      <c r="S458" s="181">
        <f xml:space="preserve"> IFERROR( IF( $W373 = 0, 0,IF(AND(S$10=$R$10,OR($D458='2.1 Model setup'!$K$71,$D458='2.1 Model setup'!$K$79)),(S373/$W373)*('2.3 Selskabsspecifikke input'!$R$310 / (SUM( '2.3 Selskabsspecifikke input'!$P$310 * '2.2 Generelle input'!$N$42, '2.3 Selskabsspecifikke input'!$R$310 ))),(S373/$W373))),0)</f>
        <v>0</v>
      </c>
      <c r="T458" s="181">
        <f xml:space="preserve"> IFERROR( IF( $W373 = 0, 0,IF(AND(T$10=$R$10,OR($D458='2.1 Model setup'!$K$71,$D458='2.1 Model setup'!$K$79)),(T373/$W373)*('2.3 Selskabsspecifikke input'!$R$310 / (SUM( '2.3 Selskabsspecifikke input'!$P$310 * '2.2 Generelle input'!$N$42, '2.3 Selskabsspecifikke input'!$R$310 ))),(T373/$W373))),0)</f>
        <v>0</v>
      </c>
      <c r="U458" s="181">
        <f xml:space="preserve"> IFERROR( IF( $W373 = 0, 0,IF(AND(U$10=$R$10,OR($D458='2.1 Model setup'!$K$71,$D458='2.1 Model setup'!$K$79)),(U373/$W373)*('2.3 Selskabsspecifikke input'!$R$310 / (SUM( '2.3 Selskabsspecifikke input'!$P$310 * '2.2 Generelle input'!$N$42, '2.3 Selskabsspecifikke input'!$R$310 ))),(U373/$W373))),0)</f>
        <v>0</v>
      </c>
      <c r="V458" s="181">
        <f xml:space="preserve"> IFERROR( IF( $W373 = 0, 0,IF(AND(V$10=$R$10,OR($D458='2.1 Model setup'!$K$71,$D458='2.1 Model setup'!$K$79)),(V373/$W373)*('2.3 Selskabsspecifikke input'!$R$310 / (SUM( '2.3 Selskabsspecifikke input'!$P$310 * '2.2 Generelle input'!$N$42, '2.3 Selskabsspecifikke input'!$R$310 ))),(V373/$W373))),0)</f>
        <v>0</v>
      </c>
      <c r="W458" s="198">
        <f t="shared" si="89"/>
        <v>0</v>
      </c>
    </row>
    <row r="459" spans="4:23" ht="15" customHeight="1">
      <c r="D459" s="85" t="str">
        <f xml:space="preserve"> '2.1 Model setup'!K81</f>
        <v>5.2 Øvrige omkostninger</v>
      </c>
      <c r="K459" s="5" t="s">
        <v>4</v>
      </c>
      <c r="L459" s="85"/>
      <c r="O459" s="181">
        <f t="shared" si="88"/>
        <v>0</v>
      </c>
      <c r="P459" s="587">
        <f xml:space="preserve"> IFERROR( IF( $W374 = 0, 0, IF(OR($D459='2.1 Model setup'!$K$71,$D459='2.1 Model setup'!$K$79),(R374/$W374)*('2.3 Selskabsspecifikke input'!$P$310 * '2.2 Generelle input'!$N$42 / (SUM( '2.3 Selskabsspecifikke input'!$P$310 * '2.2 Generelle input'!$N$42, '2.3 Selskabsspecifikke input'!$R$310 ))),0)),0)</f>
        <v>0</v>
      </c>
      <c r="Q459" s="202"/>
      <c r="R459" s="181">
        <f xml:space="preserve"> IFERROR( IF( $W374 = 0, 0,IF(AND(R$10=$R$10,OR($D459='2.1 Model setup'!$K$71,$D459='2.1 Model setup'!$K$79)),(R374/$W374)*('2.3 Selskabsspecifikke input'!$R$310 / (SUM( '2.3 Selskabsspecifikke input'!$P$310 * '2.2 Generelle input'!$N$42, '2.3 Selskabsspecifikke input'!$R$310 ))),(R374/$W374))),0)</f>
        <v>0</v>
      </c>
      <c r="S459" s="181">
        <f xml:space="preserve"> IFERROR( IF( $W374 = 0, 0,IF(AND(S$10=$R$10,OR($D459='2.1 Model setup'!$K$71,$D459='2.1 Model setup'!$K$79)),(S374/$W374)*('2.3 Selskabsspecifikke input'!$R$310 / (SUM( '2.3 Selskabsspecifikke input'!$P$310 * '2.2 Generelle input'!$N$42, '2.3 Selskabsspecifikke input'!$R$310 ))),(S374/$W374))),0)</f>
        <v>0</v>
      </c>
      <c r="T459" s="181">
        <f xml:space="preserve"> IFERROR( IF( $W374 = 0, 0,IF(AND(T$10=$R$10,OR($D459='2.1 Model setup'!$K$71,$D459='2.1 Model setup'!$K$79)),(T374/$W374)*('2.3 Selskabsspecifikke input'!$R$310 / (SUM( '2.3 Selskabsspecifikke input'!$P$310 * '2.2 Generelle input'!$N$42, '2.3 Selskabsspecifikke input'!$R$310 ))),(T374/$W374))),0)</f>
        <v>0</v>
      </c>
      <c r="U459" s="181">
        <f xml:space="preserve"> IFERROR( IF( $W374 = 0, 0,IF(AND(U$10=$R$10,OR($D459='2.1 Model setup'!$K$71,$D459='2.1 Model setup'!$K$79)),(U374/$W374)*('2.3 Selskabsspecifikke input'!$R$310 / (SUM( '2.3 Selskabsspecifikke input'!$P$310 * '2.2 Generelle input'!$N$42, '2.3 Selskabsspecifikke input'!$R$310 ))),(U374/$W374))),0)</f>
        <v>0</v>
      </c>
      <c r="V459" s="181">
        <f xml:space="preserve"> IFERROR( IF( $W374 = 0, 0,IF(AND(V$10=$R$10,OR($D459='2.1 Model setup'!$K$71,$D459='2.1 Model setup'!$K$79)),(V374/$W374)*('2.3 Selskabsspecifikke input'!$R$310 / (SUM( '2.3 Selskabsspecifikke input'!$P$310 * '2.2 Generelle input'!$N$42, '2.3 Selskabsspecifikke input'!$R$310 ))),(V374/$W374))),0)</f>
        <v>0</v>
      </c>
      <c r="W459" s="198">
        <f t="shared" si="89"/>
        <v>0</v>
      </c>
    </row>
    <row r="460" spans="4:23" ht="15" customHeight="1">
      <c r="D460" s="85" t="str">
        <f xml:space="preserve"> '2.1 Model setup'!K82</f>
        <v>6.1 Afskrivninger på transformerstationer</v>
      </c>
      <c r="K460" s="5" t="s">
        <v>4</v>
      </c>
      <c r="L460" s="85"/>
      <c r="O460" s="181">
        <f t="shared" si="88"/>
        <v>0</v>
      </c>
      <c r="P460" s="587">
        <f xml:space="preserve"> IFERROR( IF( $W375 = 0, 0, IF(OR($D460='2.1 Model setup'!$K$71,$D460='2.1 Model setup'!$K$79),(R375/$W375)*('2.3 Selskabsspecifikke input'!$P$310 * '2.2 Generelle input'!$N$42 / (SUM( '2.3 Selskabsspecifikke input'!$P$310 * '2.2 Generelle input'!$N$42, '2.3 Selskabsspecifikke input'!$R$310 ))),0)),0)</f>
        <v>0</v>
      </c>
      <c r="Q460" s="202"/>
      <c r="R460" s="181">
        <f xml:space="preserve"> IFERROR( IF( $W375 = 0, 0,IF(AND(R$10=$R$10,OR($D460='2.1 Model setup'!$K$71,$D460='2.1 Model setup'!$K$79)),(R375/$W375)*('2.3 Selskabsspecifikke input'!$R$310 / (SUM( '2.3 Selskabsspecifikke input'!$P$310 * '2.2 Generelle input'!$N$42, '2.3 Selskabsspecifikke input'!$R$310 ))),(R375/$W375))),0)</f>
        <v>0</v>
      </c>
      <c r="S460" s="181">
        <f xml:space="preserve"> IFERROR( IF( $W375 = 0, 0,IF(AND(S$10=$R$10,OR($D460='2.1 Model setup'!$K$71,$D460='2.1 Model setup'!$K$79)),(S375/$W375)*('2.3 Selskabsspecifikke input'!$R$310 / (SUM( '2.3 Selskabsspecifikke input'!$P$310 * '2.2 Generelle input'!$N$42, '2.3 Selskabsspecifikke input'!$R$310 ))),(S375/$W375))),0)</f>
        <v>0</v>
      </c>
      <c r="T460" s="181">
        <f xml:space="preserve"> IFERROR( IF( $W375 = 0, 0,IF(AND(T$10=$R$10,OR($D460='2.1 Model setup'!$K$71,$D460='2.1 Model setup'!$K$79)),(T375/$W375)*('2.3 Selskabsspecifikke input'!$R$310 / (SUM( '2.3 Selskabsspecifikke input'!$P$310 * '2.2 Generelle input'!$N$42, '2.3 Selskabsspecifikke input'!$R$310 ))),(T375/$W375))),0)</f>
        <v>0</v>
      </c>
      <c r="U460" s="181">
        <f xml:space="preserve"> IFERROR( IF( $W375 = 0, 0,IF(AND(U$10=$R$10,OR($D460='2.1 Model setup'!$K$71,$D460='2.1 Model setup'!$K$79)),(U375/$W375)*('2.3 Selskabsspecifikke input'!$R$310 / (SUM( '2.3 Selskabsspecifikke input'!$P$310 * '2.2 Generelle input'!$N$42, '2.3 Selskabsspecifikke input'!$R$310 ))),(U375/$W375))),0)</f>
        <v>0</v>
      </c>
      <c r="V460" s="181">
        <f xml:space="preserve"> IFERROR( IF( $W375 = 0, 0,IF(AND(V$10=$R$10,OR($D460='2.1 Model setup'!$K$71,$D460='2.1 Model setup'!$K$79)),(V375/$W375)*('2.3 Selskabsspecifikke input'!$R$310 / (SUM( '2.3 Selskabsspecifikke input'!$P$310 * '2.2 Generelle input'!$N$42, '2.3 Selskabsspecifikke input'!$R$310 ))),(V375/$W375))),0)</f>
        <v>0</v>
      </c>
      <c r="W460" s="198">
        <f t="shared" si="89"/>
        <v>0</v>
      </c>
    </row>
    <row r="461" spans="4:23" ht="15" customHeight="1">
      <c r="D461" s="85" t="str">
        <f xml:space="preserve"> '2.1 Model setup'!K83</f>
        <v>6.2 Afskrivninger på netaktiver ekskl. målere og transformerstationer</v>
      </c>
      <c r="K461" s="5" t="s">
        <v>4</v>
      </c>
      <c r="L461" s="85"/>
      <c r="O461" s="181">
        <f t="shared" si="88"/>
        <v>0</v>
      </c>
      <c r="P461" s="587">
        <f xml:space="preserve"> IFERROR( IF( $W376 = 0, 0, IF(OR($D461='2.1 Model setup'!$K$71,$D461='2.1 Model setup'!$K$79),(R376/$W376)*('2.3 Selskabsspecifikke input'!$P$310 * '2.2 Generelle input'!$N$42 / (SUM( '2.3 Selskabsspecifikke input'!$P$310 * '2.2 Generelle input'!$N$42, '2.3 Selskabsspecifikke input'!$R$310 ))),0)),0)</f>
        <v>0</v>
      </c>
      <c r="Q461" s="202"/>
      <c r="R461" s="181">
        <f xml:space="preserve"> IFERROR( IF( $W376 = 0, 0,IF(AND(R$10=$R$10,OR($D461='2.1 Model setup'!$K$71,$D461='2.1 Model setup'!$K$79)),(R376/$W376)*('2.3 Selskabsspecifikke input'!$R$310 / (SUM( '2.3 Selskabsspecifikke input'!$P$310 * '2.2 Generelle input'!$N$42, '2.3 Selskabsspecifikke input'!$R$310 ))),(R376/$W376))),0)</f>
        <v>0</v>
      </c>
      <c r="S461" s="181">
        <f xml:space="preserve"> IFERROR( IF( $W376 = 0, 0,IF(AND(S$10=$R$10,OR($D461='2.1 Model setup'!$K$71,$D461='2.1 Model setup'!$K$79)),(S376/$W376)*('2.3 Selskabsspecifikke input'!$R$310 / (SUM( '2.3 Selskabsspecifikke input'!$P$310 * '2.2 Generelle input'!$N$42, '2.3 Selskabsspecifikke input'!$R$310 ))),(S376/$W376))),0)</f>
        <v>0</v>
      </c>
      <c r="T461" s="181">
        <f xml:space="preserve"> IFERROR( IF( $W376 = 0, 0,IF(AND(T$10=$R$10,OR($D461='2.1 Model setup'!$K$71,$D461='2.1 Model setup'!$K$79)),(T376/$W376)*('2.3 Selskabsspecifikke input'!$R$310 / (SUM( '2.3 Selskabsspecifikke input'!$P$310 * '2.2 Generelle input'!$N$42, '2.3 Selskabsspecifikke input'!$R$310 ))),(T376/$W376))),0)</f>
        <v>0</v>
      </c>
      <c r="U461" s="181">
        <f xml:space="preserve"> IFERROR( IF( $W376 = 0, 0,IF(AND(U$10=$R$10,OR($D461='2.1 Model setup'!$K$71,$D461='2.1 Model setup'!$K$79)),(U376/$W376)*('2.3 Selskabsspecifikke input'!$R$310 / (SUM( '2.3 Selskabsspecifikke input'!$P$310 * '2.2 Generelle input'!$N$42, '2.3 Selskabsspecifikke input'!$R$310 ))),(U376/$W376))),0)</f>
        <v>0</v>
      </c>
      <c r="V461" s="181">
        <f xml:space="preserve"> IFERROR( IF( $W376 = 0, 0,IF(AND(V$10=$R$10,OR($D461='2.1 Model setup'!$K$71,$D461='2.1 Model setup'!$K$79)),(V376/$W376)*('2.3 Selskabsspecifikke input'!$R$310 / (SUM( '2.3 Selskabsspecifikke input'!$P$310 * '2.2 Generelle input'!$N$42, '2.3 Selskabsspecifikke input'!$R$310 ))),(V376/$W376))),0)</f>
        <v>0</v>
      </c>
      <c r="W461" s="198">
        <f t="shared" si="89"/>
        <v>0</v>
      </c>
    </row>
    <row r="462" spans="4:23" ht="15" customHeight="1">
      <c r="D462" s="99" t="str">
        <f xml:space="preserve"> '2.1 Model setup'!K84</f>
        <v>6.3 Afskrivninger på målere</v>
      </c>
      <c r="E462" s="27"/>
      <c r="F462" s="27"/>
      <c r="G462" s="27"/>
      <c r="H462" s="27"/>
      <c r="I462" s="27"/>
      <c r="J462" s="27"/>
      <c r="K462" s="32" t="s">
        <v>4</v>
      </c>
      <c r="L462" s="99"/>
      <c r="M462" s="27"/>
      <c r="N462" s="27"/>
      <c r="O462" s="182">
        <f t="shared" si="88"/>
        <v>0</v>
      </c>
      <c r="P462" s="638">
        <f xml:space="preserve"> IFERROR( IF( $W377 = 0, 0, IF(OR($D462='2.1 Model setup'!$K$71,$D462='2.1 Model setup'!$K$79),(R377/$W377)*('2.3 Selskabsspecifikke input'!$P$310 * '2.2 Generelle input'!$N$42 / (SUM( '2.3 Selskabsspecifikke input'!$P$310 * '2.2 Generelle input'!$N$42, '2.3 Selskabsspecifikke input'!$R$310 ))),0)),0)</f>
        <v>0</v>
      </c>
      <c r="Q462" s="269"/>
      <c r="R462" s="182">
        <f xml:space="preserve"> IFERROR( IF( $W377 = 0, 0,IF(AND(R$10=$R$10,OR($D462='2.1 Model setup'!$K$71,$D462='2.1 Model setup'!$K$79)),(R377/$W377)*('2.3 Selskabsspecifikke input'!$R$310 / (SUM( '2.3 Selskabsspecifikke input'!$P$310 * '2.2 Generelle input'!$N$42, '2.3 Selskabsspecifikke input'!$R$310 ))),(R377/$W377))),0)</f>
        <v>0</v>
      </c>
      <c r="S462" s="182">
        <f xml:space="preserve"> IFERROR( IF( $W377 = 0, 0,IF(AND(S$10=$R$10,OR($D462='2.1 Model setup'!$K$71,$D462='2.1 Model setup'!$K$79)),(S377/$W377)*('2.3 Selskabsspecifikke input'!$R$310 / (SUM( '2.3 Selskabsspecifikke input'!$P$310 * '2.2 Generelle input'!$N$42, '2.3 Selskabsspecifikke input'!$R$310 ))),(S377/$W377))),0)</f>
        <v>0</v>
      </c>
      <c r="T462" s="182">
        <f xml:space="preserve"> IFERROR( IF( $W377 = 0, 0,IF(AND(T$10=$R$10,OR($D462='2.1 Model setup'!$K$71,$D462='2.1 Model setup'!$K$79)),(T377/$W377)*('2.3 Selskabsspecifikke input'!$R$310 / (SUM( '2.3 Selskabsspecifikke input'!$P$310 * '2.2 Generelle input'!$N$42, '2.3 Selskabsspecifikke input'!$R$310 ))),(T377/$W377))),0)</f>
        <v>0</v>
      </c>
      <c r="U462" s="182">
        <f xml:space="preserve"> IFERROR( IF( $W377 = 0, 0,IF(AND(U$10=$R$10,OR($D462='2.1 Model setup'!$K$71,$D462='2.1 Model setup'!$K$79)),(U377/$W377)*('2.3 Selskabsspecifikke input'!$R$310 / (SUM( '2.3 Selskabsspecifikke input'!$P$310 * '2.2 Generelle input'!$N$42, '2.3 Selskabsspecifikke input'!$R$310 ))),(U377/$W377))),0)</f>
        <v>0</v>
      </c>
      <c r="V462" s="182">
        <f xml:space="preserve"> IFERROR( IF( $W377 = 0, 0,IF(AND(V$10=$R$10,OR($D462='2.1 Model setup'!$K$71,$D462='2.1 Model setup'!$K$79)),(V377/$W377)*('2.3 Selskabsspecifikke input'!$R$310 / (SUM( '2.3 Selskabsspecifikke input'!$P$310 * '2.2 Generelle input'!$N$42, '2.3 Selskabsspecifikke input'!$R$310 ))),(V377/$W377))),0)</f>
        <v>0</v>
      </c>
      <c r="W462" s="199">
        <f t="shared" si="89"/>
        <v>0</v>
      </c>
    </row>
    <row r="464" spans="4:23" ht="15" customHeight="1">
      <c r="D464" s="35" t="s">
        <v>613</v>
      </c>
      <c r="E464" s="27"/>
      <c r="F464" s="27"/>
      <c r="G464" s="27"/>
      <c r="H464" s="27"/>
      <c r="I464" s="27"/>
      <c r="J464" s="27"/>
      <c r="K464" s="32"/>
      <c r="L464" s="27"/>
      <c r="M464" s="27"/>
      <c r="N464" s="27"/>
      <c r="O464" s="27"/>
      <c r="P464" s="27"/>
      <c r="Q464" s="27"/>
      <c r="R464" s="27"/>
      <c r="S464" s="27"/>
      <c r="T464" s="27"/>
      <c r="U464" s="27"/>
      <c r="V464" s="27"/>
      <c r="W464" s="185" t="s">
        <v>16</v>
      </c>
    </row>
    <row r="465" spans="4:23" ht="15" customHeight="1">
      <c r="D465" s="123" t="str">
        <f xml:space="preserve"> '2.1 Model setup'!K70</f>
        <v>1.1 Drift og vedligeholdelse af transformerstationer</v>
      </c>
      <c r="E465" s="15"/>
      <c r="F465" s="15"/>
      <c r="G465" s="15"/>
      <c r="H465" s="15"/>
      <c r="I465" s="15"/>
      <c r="J465" s="15"/>
      <c r="K465" s="19" t="s">
        <v>4</v>
      </c>
      <c r="L465" s="123"/>
      <c r="M465" s="15"/>
      <c r="N465" s="15"/>
      <c r="O465" s="180">
        <f t="shared" ref="O465:P479" si="90" xml:space="preserve"> IF( $W380 = 0, 0, O380 / $W380)</f>
        <v>0</v>
      </c>
      <c r="P465" s="180">
        <f t="shared" si="90"/>
        <v>0</v>
      </c>
      <c r="Q465" s="274"/>
      <c r="R465" s="180">
        <f t="shared" ref="R465:V479" si="91" xml:space="preserve"> IF( $W380 = 0, 0, R380 / $W380)</f>
        <v>0</v>
      </c>
      <c r="S465" s="180">
        <f t="shared" si="91"/>
        <v>0</v>
      </c>
      <c r="T465" s="180">
        <f t="shared" si="91"/>
        <v>0</v>
      </c>
      <c r="U465" s="180">
        <f t="shared" si="91"/>
        <v>0</v>
      </c>
      <c r="V465" s="180">
        <f t="shared" si="91"/>
        <v>0</v>
      </c>
      <c r="W465" s="354">
        <f xml:space="preserve"> SUM( O465:V465 )</f>
        <v>0</v>
      </c>
    </row>
    <row r="466" spans="4:23" ht="15" customHeight="1">
      <c r="D466" s="85" t="str">
        <f xml:space="preserve"> '2.1 Model setup'!K71</f>
        <v>1.2 Drift og vedligeholdelse af ledningsnet</v>
      </c>
      <c r="K466" s="5" t="s">
        <v>4</v>
      </c>
      <c r="L466" s="85"/>
      <c r="O466" s="181">
        <f t="shared" si="90"/>
        <v>0</v>
      </c>
      <c r="P466" s="181">
        <f t="shared" si="90"/>
        <v>0</v>
      </c>
      <c r="Q466" s="202"/>
      <c r="R466" s="181">
        <f t="shared" si="91"/>
        <v>0</v>
      </c>
      <c r="S466" s="181">
        <f t="shared" si="91"/>
        <v>0</v>
      </c>
      <c r="T466" s="181">
        <f t="shared" si="91"/>
        <v>0</v>
      </c>
      <c r="U466" s="181">
        <f t="shared" si="91"/>
        <v>0</v>
      </c>
      <c r="V466" s="181">
        <f t="shared" si="91"/>
        <v>0</v>
      </c>
      <c r="W466" s="198">
        <f t="shared" ref="W466:W479" si="92" xml:space="preserve"> SUM( O466:V466 )</f>
        <v>0</v>
      </c>
    </row>
    <row r="467" spans="4:23" ht="15" customHeight="1">
      <c r="D467" s="85" t="str">
        <f xml:space="preserve"> '2.1 Model setup'!K72</f>
        <v>1.3 Øvrige omkostninger til drift, styring og kontrol af elnettet</v>
      </c>
      <c r="K467" s="5" t="s">
        <v>4</v>
      </c>
      <c r="L467" s="85"/>
      <c r="O467" s="181">
        <f t="shared" si="90"/>
        <v>0</v>
      </c>
      <c r="P467" s="181">
        <f t="shared" si="90"/>
        <v>0</v>
      </c>
      <c r="Q467" s="202"/>
      <c r="R467" s="181">
        <f t="shared" si="91"/>
        <v>0</v>
      </c>
      <c r="S467" s="181">
        <f t="shared" si="91"/>
        <v>0</v>
      </c>
      <c r="T467" s="181">
        <f t="shared" si="91"/>
        <v>0</v>
      </c>
      <c r="U467" s="181">
        <f t="shared" si="91"/>
        <v>0</v>
      </c>
      <c r="V467" s="181">
        <f t="shared" si="91"/>
        <v>0</v>
      </c>
      <c r="W467" s="198">
        <f t="shared" si="92"/>
        <v>0</v>
      </c>
    </row>
    <row r="468" spans="4:23" ht="15" customHeight="1">
      <c r="D468" s="85" t="str">
        <f xml:space="preserve"> '2.1 Model setup'!K73</f>
        <v>1.4 Omkostninger vedrørende 132-150/30-60 kV-stationer</v>
      </c>
      <c r="K468" s="5" t="s">
        <v>4</v>
      </c>
      <c r="L468" s="85"/>
      <c r="O468" s="181">
        <f t="shared" si="90"/>
        <v>0</v>
      </c>
      <c r="P468" s="181">
        <f t="shared" si="90"/>
        <v>0</v>
      </c>
      <c r="Q468" s="202"/>
      <c r="R468" s="181">
        <f t="shared" si="91"/>
        <v>0</v>
      </c>
      <c r="S468" s="181">
        <f t="shared" si="91"/>
        <v>0</v>
      </c>
      <c r="T468" s="181">
        <f t="shared" si="91"/>
        <v>0</v>
      </c>
      <c r="U468" s="181">
        <f t="shared" si="91"/>
        <v>0</v>
      </c>
      <c r="V468" s="181">
        <f t="shared" si="91"/>
        <v>0</v>
      </c>
      <c r="W468" s="198">
        <f t="shared" si="92"/>
        <v>0</v>
      </c>
    </row>
    <row r="469" spans="4:23" ht="15" customHeight="1">
      <c r="D469" s="85" t="str">
        <f xml:space="preserve"> '2.1 Model setup'!K74</f>
        <v>2.1 Drift og vedligeholdelse af målere</v>
      </c>
      <c r="K469" s="5" t="s">
        <v>4</v>
      </c>
      <c r="L469" s="85"/>
      <c r="O469" s="181">
        <f t="shared" si="90"/>
        <v>0</v>
      </c>
      <c r="P469" s="181">
        <f t="shared" si="90"/>
        <v>0</v>
      </c>
      <c r="Q469" s="202"/>
      <c r="R469" s="181">
        <f t="shared" si="91"/>
        <v>0</v>
      </c>
      <c r="S469" s="181">
        <f t="shared" si="91"/>
        <v>0</v>
      </c>
      <c r="T469" s="181">
        <f t="shared" si="91"/>
        <v>0</v>
      </c>
      <c r="U469" s="181">
        <f t="shared" si="91"/>
        <v>0</v>
      </c>
      <c r="V469" s="181">
        <f t="shared" si="91"/>
        <v>0</v>
      </c>
      <c r="W469" s="198">
        <f t="shared" si="92"/>
        <v>0</v>
      </c>
    </row>
    <row r="470" spans="4:23" ht="15" customHeight="1">
      <c r="D470" s="85" t="str">
        <f xml:space="preserve"> '2.1 Model setup'!K75</f>
        <v>2.2 Indhentning og validering af målerdata</v>
      </c>
      <c r="K470" s="5" t="s">
        <v>4</v>
      </c>
      <c r="L470" s="85"/>
      <c r="O470" s="181">
        <f t="shared" si="90"/>
        <v>0</v>
      </c>
      <c r="P470" s="181">
        <f t="shared" si="90"/>
        <v>0</v>
      </c>
      <c r="Q470" s="202"/>
      <c r="R470" s="181">
        <f t="shared" si="91"/>
        <v>0</v>
      </c>
      <c r="S470" s="181">
        <f t="shared" si="91"/>
        <v>0</v>
      </c>
      <c r="T470" s="181">
        <f t="shared" si="91"/>
        <v>0</v>
      </c>
      <c r="U470" s="181">
        <f t="shared" si="91"/>
        <v>0</v>
      </c>
      <c r="V470" s="181">
        <f t="shared" si="91"/>
        <v>0</v>
      </c>
      <c r="W470" s="198">
        <f t="shared" si="92"/>
        <v>0</v>
      </c>
    </row>
    <row r="471" spans="4:23" ht="15" customHeight="1">
      <c r="D471" s="85" t="str">
        <f xml:space="preserve"> '2.1 Model setup'!K76</f>
        <v>2.3 Måleradministration og kundehåndtering</v>
      </c>
      <c r="K471" s="5" t="s">
        <v>4</v>
      </c>
      <c r="L471" s="85"/>
      <c r="O471" s="181">
        <f t="shared" si="90"/>
        <v>0</v>
      </c>
      <c r="P471" s="181">
        <f t="shared" si="90"/>
        <v>0</v>
      </c>
      <c r="Q471" s="202"/>
      <c r="R471" s="181">
        <f t="shared" si="91"/>
        <v>0</v>
      </c>
      <c r="S471" s="181">
        <f t="shared" si="91"/>
        <v>0</v>
      </c>
      <c r="T471" s="181">
        <f t="shared" si="91"/>
        <v>0</v>
      </c>
      <c r="U471" s="181">
        <f t="shared" si="91"/>
        <v>0</v>
      </c>
      <c r="V471" s="181">
        <f t="shared" si="91"/>
        <v>0</v>
      </c>
      <c r="W471" s="198">
        <f t="shared" si="92"/>
        <v>0</v>
      </c>
    </row>
    <row r="472" spans="4:23" ht="15" customHeight="1">
      <c r="D472" s="85" t="str">
        <f xml:space="preserve"> '2.1 Model setup'!K77</f>
        <v>3.1 Generel administration</v>
      </c>
      <c r="K472" s="5" t="s">
        <v>4</v>
      </c>
      <c r="L472" s="85"/>
      <c r="O472" s="181">
        <f t="shared" si="90"/>
        <v>0</v>
      </c>
      <c r="P472" s="181">
        <f t="shared" si="90"/>
        <v>0</v>
      </c>
      <c r="Q472" s="202"/>
      <c r="R472" s="181">
        <f t="shared" si="91"/>
        <v>0</v>
      </c>
      <c r="S472" s="181">
        <f t="shared" si="91"/>
        <v>0</v>
      </c>
      <c r="T472" s="181">
        <f t="shared" si="91"/>
        <v>0</v>
      </c>
      <c r="U472" s="181">
        <f t="shared" si="91"/>
        <v>0</v>
      </c>
      <c r="V472" s="181">
        <f t="shared" si="91"/>
        <v>0</v>
      </c>
      <c r="W472" s="198">
        <f t="shared" si="92"/>
        <v>0</v>
      </c>
    </row>
    <row r="473" spans="4:23" ht="15" customHeight="1">
      <c r="D473" s="85" t="str">
        <f xml:space="preserve"> '2.1 Model setup'!K78</f>
        <v>4.1 Omkostninger vedrørende nettab i transformerstationer</v>
      </c>
      <c r="K473" s="5" t="s">
        <v>4</v>
      </c>
      <c r="L473" s="85"/>
      <c r="O473" s="181">
        <f t="shared" si="90"/>
        <v>0</v>
      </c>
      <c r="P473" s="181">
        <f t="shared" si="90"/>
        <v>0</v>
      </c>
      <c r="Q473" s="202"/>
      <c r="R473" s="181">
        <f t="shared" si="91"/>
        <v>0</v>
      </c>
      <c r="S473" s="181">
        <f t="shared" si="91"/>
        <v>0</v>
      </c>
      <c r="T473" s="181">
        <f t="shared" si="91"/>
        <v>0</v>
      </c>
      <c r="U473" s="181">
        <f t="shared" si="91"/>
        <v>0</v>
      </c>
      <c r="V473" s="181">
        <f t="shared" si="91"/>
        <v>0</v>
      </c>
      <c r="W473" s="198">
        <f t="shared" si="92"/>
        <v>0</v>
      </c>
    </row>
    <row r="474" spans="4:23" ht="15" customHeight="1">
      <c r="D474" s="85" t="str">
        <f xml:space="preserve"> '2.1 Model setup'!K79</f>
        <v>4.2 Omkostninger vedrørende nettab i ledningsnettet</v>
      </c>
      <c r="K474" s="5" t="s">
        <v>4</v>
      </c>
      <c r="L474" s="85"/>
      <c r="O474" s="181">
        <f t="shared" si="90"/>
        <v>0</v>
      </c>
      <c r="P474" s="181">
        <f t="shared" si="90"/>
        <v>0</v>
      </c>
      <c r="Q474" s="202"/>
      <c r="R474" s="181">
        <f t="shared" si="91"/>
        <v>0</v>
      </c>
      <c r="S474" s="181">
        <f t="shared" si="91"/>
        <v>0</v>
      </c>
      <c r="T474" s="181">
        <f t="shared" si="91"/>
        <v>0</v>
      </c>
      <c r="U474" s="181">
        <f t="shared" si="91"/>
        <v>0</v>
      </c>
      <c r="V474" s="181">
        <f t="shared" si="91"/>
        <v>0</v>
      </c>
      <c r="W474" s="198">
        <f t="shared" si="92"/>
        <v>0</v>
      </c>
    </row>
    <row r="475" spans="4:23" ht="15" customHeight="1">
      <c r="D475" s="85" t="str">
        <f xml:space="preserve"> '2.1 Model setup'!K88</f>
        <v>5.1 Omkostninger til overliggende net ifm. indfødning</v>
      </c>
      <c r="K475" s="5" t="s">
        <v>4</v>
      </c>
      <c r="L475" s="85"/>
      <c r="O475" s="181">
        <f t="shared" si="90"/>
        <v>0</v>
      </c>
      <c r="P475" s="181">
        <f t="shared" si="90"/>
        <v>0</v>
      </c>
      <c r="Q475" s="202"/>
      <c r="R475" s="181">
        <f t="shared" si="91"/>
        <v>0</v>
      </c>
      <c r="S475" s="181">
        <f t="shared" si="91"/>
        <v>0</v>
      </c>
      <c r="T475" s="181">
        <f t="shared" si="91"/>
        <v>0</v>
      </c>
      <c r="U475" s="181">
        <f t="shared" si="91"/>
        <v>0</v>
      </c>
      <c r="V475" s="181">
        <f t="shared" si="91"/>
        <v>0</v>
      </c>
      <c r="W475" s="198">
        <f t="shared" si="92"/>
        <v>0</v>
      </c>
    </row>
    <row r="476" spans="4:23" ht="15" customHeight="1">
      <c r="D476" s="85" t="str">
        <f xml:space="preserve"> '2.1 Model setup'!K81</f>
        <v>5.2 Øvrige omkostninger</v>
      </c>
      <c r="K476" s="5" t="s">
        <v>4</v>
      </c>
      <c r="L476" s="85"/>
      <c r="O476" s="181">
        <f t="shared" si="90"/>
        <v>0</v>
      </c>
      <c r="P476" s="181">
        <f t="shared" si="90"/>
        <v>0</v>
      </c>
      <c r="Q476" s="202"/>
      <c r="R476" s="181">
        <f t="shared" si="91"/>
        <v>0</v>
      </c>
      <c r="S476" s="181">
        <f t="shared" si="91"/>
        <v>0</v>
      </c>
      <c r="T476" s="181">
        <f t="shared" si="91"/>
        <v>0</v>
      </c>
      <c r="U476" s="181">
        <f t="shared" si="91"/>
        <v>0</v>
      </c>
      <c r="V476" s="181">
        <f t="shared" si="91"/>
        <v>0</v>
      </c>
      <c r="W476" s="198">
        <f t="shared" si="92"/>
        <v>0</v>
      </c>
    </row>
    <row r="477" spans="4:23" ht="15" customHeight="1">
      <c r="D477" s="85" t="str">
        <f xml:space="preserve"> '2.1 Model setup'!K82</f>
        <v>6.1 Afskrivninger på transformerstationer</v>
      </c>
      <c r="K477" s="5" t="s">
        <v>4</v>
      </c>
      <c r="L477" s="85"/>
      <c r="O477" s="181">
        <f t="shared" si="90"/>
        <v>0</v>
      </c>
      <c r="P477" s="181">
        <f t="shared" si="90"/>
        <v>0</v>
      </c>
      <c r="Q477" s="202"/>
      <c r="R477" s="181">
        <f t="shared" si="91"/>
        <v>0</v>
      </c>
      <c r="S477" s="181">
        <f t="shared" si="91"/>
        <v>0</v>
      </c>
      <c r="T477" s="181">
        <f t="shared" si="91"/>
        <v>0</v>
      </c>
      <c r="U477" s="181">
        <f t="shared" si="91"/>
        <v>0</v>
      </c>
      <c r="V477" s="181">
        <f t="shared" si="91"/>
        <v>0</v>
      </c>
      <c r="W477" s="198">
        <f t="shared" si="92"/>
        <v>0</v>
      </c>
    </row>
    <row r="478" spans="4:23" ht="15" customHeight="1">
      <c r="D478" s="85" t="str">
        <f xml:space="preserve"> '2.1 Model setup'!K83</f>
        <v>6.2 Afskrivninger på netaktiver ekskl. målere og transformerstationer</v>
      </c>
      <c r="K478" s="5" t="s">
        <v>4</v>
      </c>
      <c r="L478" s="85"/>
      <c r="O478" s="181">
        <f t="shared" si="90"/>
        <v>0</v>
      </c>
      <c r="P478" s="181">
        <f t="shared" si="90"/>
        <v>0</v>
      </c>
      <c r="Q478" s="202"/>
      <c r="R478" s="181">
        <f t="shared" si="91"/>
        <v>0</v>
      </c>
      <c r="S478" s="181">
        <f t="shared" si="91"/>
        <v>0</v>
      </c>
      <c r="T478" s="181">
        <f t="shared" si="91"/>
        <v>0</v>
      </c>
      <c r="U478" s="181">
        <f t="shared" si="91"/>
        <v>0</v>
      </c>
      <c r="V478" s="181">
        <f t="shared" si="91"/>
        <v>0</v>
      </c>
      <c r="W478" s="198">
        <f t="shared" si="92"/>
        <v>0</v>
      </c>
    </row>
    <row r="479" spans="4:23" ht="15" customHeight="1">
      <c r="D479" s="99" t="str">
        <f xml:space="preserve"> '2.1 Model setup'!K84</f>
        <v>6.3 Afskrivninger på målere</v>
      </c>
      <c r="E479" s="27"/>
      <c r="F479" s="27"/>
      <c r="G479" s="27"/>
      <c r="H479" s="27"/>
      <c r="I479" s="27"/>
      <c r="J479" s="27"/>
      <c r="K479" s="32" t="s">
        <v>4</v>
      </c>
      <c r="L479" s="99"/>
      <c r="M479" s="27"/>
      <c r="N479" s="27"/>
      <c r="O479" s="182">
        <f t="shared" si="90"/>
        <v>0</v>
      </c>
      <c r="P479" s="182">
        <f t="shared" si="90"/>
        <v>0</v>
      </c>
      <c r="Q479" s="269"/>
      <c r="R479" s="182">
        <f t="shared" si="91"/>
        <v>0</v>
      </c>
      <c r="S479" s="182">
        <f t="shared" si="91"/>
        <v>0</v>
      </c>
      <c r="T479" s="182">
        <f t="shared" si="91"/>
        <v>0</v>
      </c>
      <c r="U479" s="182">
        <f t="shared" si="91"/>
        <v>0</v>
      </c>
      <c r="V479" s="182">
        <f t="shared" si="91"/>
        <v>0</v>
      </c>
      <c r="W479" s="199">
        <f t="shared" si="92"/>
        <v>0</v>
      </c>
    </row>
    <row r="481" spans="4:23" ht="15" customHeight="1">
      <c r="D481" s="35" t="s">
        <v>614</v>
      </c>
      <c r="E481" s="27"/>
      <c r="F481" s="27"/>
      <c r="G481" s="27"/>
      <c r="H481" s="27"/>
      <c r="I481" s="27"/>
      <c r="J481" s="27"/>
      <c r="K481" s="32"/>
      <c r="L481" s="27"/>
      <c r="M481" s="27"/>
      <c r="N481" s="27"/>
      <c r="O481" s="27"/>
      <c r="P481" s="27"/>
      <c r="Q481" s="27"/>
      <c r="R481" s="27"/>
      <c r="S481" s="27"/>
      <c r="T481" s="27"/>
      <c r="U481" s="27"/>
      <c r="V481" s="27"/>
      <c r="W481" s="185" t="s">
        <v>16</v>
      </c>
    </row>
    <row r="482" spans="4:23" ht="15" customHeight="1">
      <c r="D482" s="123" t="str">
        <f xml:space="preserve"> '2.1 Model setup'!K70</f>
        <v>1.1 Drift og vedligeholdelse af transformerstationer</v>
      </c>
      <c r="E482" s="15"/>
      <c r="F482" s="15"/>
      <c r="G482" s="15"/>
      <c r="H482" s="15"/>
      <c r="I482" s="15"/>
      <c r="J482" s="15"/>
      <c r="K482" s="19" t="s">
        <v>4</v>
      </c>
      <c r="L482" s="123"/>
      <c r="M482" s="15"/>
      <c r="N482" s="15"/>
      <c r="O482" s="180">
        <f t="shared" ref="O482:P496" si="93" xml:space="preserve"> IF( $W397 = 0, 0, O397 / $W397)</f>
        <v>0</v>
      </c>
      <c r="P482" s="180">
        <f t="shared" si="93"/>
        <v>0</v>
      </c>
      <c r="Q482" s="274"/>
      <c r="R482" s="180">
        <f t="shared" ref="R482:V496" si="94" xml:space="preserve"> IF( $W397 = 0, 0, R397 / $W397)</f>
        <v>0</v>
      </c>
      <c r="S482" s="180">
        <f t="shared" si="94"/>
        <v>0</v>
      </c>
      <c r="T482" s="180">
        <f t="shared" si="94"/>
        <v>0</v>
      </c>
      <c r="U482" s="180">
        <f t="shared" si="94"/>
        <v>0</v>
      </c>
      <c r="V482" s="180">
        <f t="shared" si="94"/>
        <v>0</v>
      </c>
      <c r="W482" s="354">
        <f xml:space="preserve"> SUM( O482:V482 )</f>
        <v>0</v>
      </c>
    </row>
    <row r="483" spans="4:23" ht="15" customHeight="1">
      <c r="D483" s="85" t="str">
        <f xml:space="preserve"> '2.1 Model setup'!K71</f>
        <v>1.2 Drift og vedligeholdelse af ledningsnet</v>
      </c>
      <c r="K483" s="5" t="s">
        <v>4</v>
      </c>
      <c r="L483" s="85"/>
      <c r="O483" s="181">
        <f t="shared" si="93"/>
        <v>0</v>
      </c>
      <c r="P483" s="181">
        <f t="shared" si="93"/>
        <v>0</v>
      </c>
      <c r="Q483" s="202"/>
      <c r="R483" s="181">
        <f t="shared" si="94"/>
        <v>0</v>
      </c>
      <c r="S483" s="181">
        <f t="shared" si="94"/>
        <v>0</v>
      </c>
      <c r="T483" s="181">
        <f t="shared" si="94"/>
        <v>0</v>
      </c>
      <c r="U483" s="181">
        <f t="shared" si="94"/>
        <v>0</v>
      </c>
      <c r="V483" s="181">
        <f t="shared" si="94"/>
        <v>0</v>
      </c>
      <c r="W483" s="198">
        <f t="shared" ref="W483:W496" si="95" xml:space="preserve"> SUM( O483:V483 )</f>
        <v>0</v>
      </c>
    </row>
    <row r="484" spans="4:23" ht="15" customHeight="1">
      <c r="D484" s="85" t="str">
        <f xml:space="preserve"> '2.1 Model setup'!K72</f>
        <v>1.3 Øvrige omkostninger til drift, styring og kontrol af elnettet</v>
      </c>
      <c r="K484" s="5" t="s">
        <v>4</v>
      </c>
      <c r="L484" s="85"/>
      <c r="O484" s="181">
        <f t="shared" si="93"/>
        <v>0</v>
      </c>
      <c r="P484" s="181">
        <f t="shared" si="93"/>
        <v>0</v>
      </c>
      <c r="Q484" s="202"/>
      <c r="R484" s="181">
        <f t="shared" si="94"/>
        <v>0</v>
      </c>
      <c r="S484" s="181">
        <f t="shared" si="94"/>
        <v>0</v>
      </c>
      <c r="T484" s="181">
        <f t="shared" si="94"/>
        <v>0</v>
      </c>
      <c r="U484" s="181">
        <f t="shared" si="94"/>
        <v>0</v>
      </c>
      <c r="V484" s="181">
        <f t="shared" si="94"/>
        <v>0</v>
      </c>
      <c r="W484" s="198">
        <f t="shared" si="95"/>
        <v>0</v>
      </c>
    </row>
    <row r="485" spans="4:23" ht="15" customHeight="1">
      <c r="D485" s="85" t="str">
        <f xml:space="preserve"> '2.1 Model setup'!K73</f>
        <v>1.4 Omkostninger vedrørende 132-150/30-60 kV-stationer</v>
      </c>
      <c r="K485" s="5" t="s">
        <v>4</v>
      </c>
      <c r="L485" s="85"/>
      <c r="O485" s="181">
        <f t="shared" si="93"/>
        <v>0</v>
      </c>
      <c r="P485" s="181">
        <f t="shared" si="93"/>
        <v>0</v>
      </c>
      <c r="Q485" s="202"/>
      <c r="R485" s="181">
        <f t="shared" si="94"/>
        <v>0</v>
      </c>
      <c r="S485" s="181">
        <f t="shared" si="94"/>
        <v>0</v>
      </c>
      <c r="T485" s="181">
        <f t="shared" si="94"/>
        <v>0</v>
      </c>
      <c r="U485" s="181">
        <f t="shared" si="94"/>
        <v>0</v>
      </c>
      <c r="V485" s="181">
        <f t="shared" si="94"/>
        <v>0</v>
      </c>
      <c r="W485" s="198">
        <f t="shared" si="95"/>
        <v>0</v>
      </c>
    </row>
    <row r="486" spans="4:23" ht="15" customHeight="1">
      <c r="D486" s="85" t="str">
        <f xml:space="preserve"> '2.1 Model setup'!K74</f>
        <v>2.1 Drift og vedligeholdelse af målere</v>
      </c>
      <c r="K486" s="5" t="s">
        <v>4</v>
      </c>
      <c r="L486" s="85"/>
      <c r="O486" s="181">
        <f t="shared" si="93"/>
        <v>0</v>
      </c>
      <c r="P486" s="181">
        <f t="shared" si="93"/>
        <v>0</v>
      </c>
      <c r="Q486" s="202"/>
      <c r="R486" s="181">
        <f t="shared" si="94"/>
        <v>0</v>
      </c>
      <c r="S486" s="181">
        <f t="shared" si="94"/>
        <v>0</v>
      </c>
      <c r="T486" s="181">
        <f t="shared" si="94"/>
        <v>0</v>
      </c>
      <c r="U486" s="181">
        <f t="shared" si="94"/>
        <v>0</v>
      </c>
      <c r="V486" s="181">
        <f t="shared" si="94"/>
        <v>0</v>
      </c>
      <c r="W486" s="198">
        <f t="shared" si="95"/>
        <v>0</v>
      </c>
    </row>
    <row r="487" spans="4:23" ht="15" customHeight="1">
      <c r="D487" s="85" t="str">
        <f xml:space="preserve"> '2.1 Model setup'!K75</f>
        <v>2.2 Indhentning og validering af målerdata</v>
      </c>
      <c r="K487" s="5" t="s">
        <v>4</v>
      </c>
      <c r="L487" s="85"/>
      <c r="O487" s="181">
        <f t="shared" si="93"/>
        <v>0</v>
      </c>
      <c r="P487" s="181">
        <f t="shared" si="93"/>
        <v>0</v>
      </c>
      <c r="Q487" s="202"/>
      <c r="R487" s="181">
        <f t="shared" si="94"/>
        <v>0</v>
      </c>
      <c r="S487" s="181">
        <f t="shared" si="94"/>
        <v>0</v>
      </c>
      <c r="T487" s="181">
        <f t="shared" si="94"/>
        <v>0</v>
      </c>
      <c r="U487" s="181">
        <f t="shared" si="94"/>
        <v>0</v>
      </c>
      <c r="V487" s="181">
        <f t="shared" si="94"/>
        <v>0</v>
      </c>
      <c r="W487" s="198">
        <f t="shared" si="95"/>
        <v>0</v>
      </c>
    </row>
    <row r="488" spans="4:23" ht="15" customHeight="1">
      <c r="D488" s="85" t="str">
        <f xml:space="preserve"> '2.1 Model setup'!K76</f>
        <v>2.3 Måleradministration og kundehåndtering</v>
      </c>
      <c r="K488" s="5" t="s">
        <v>4</v>
      </c>
      <c r="L488" s="85"/>
      <c r="O488" s="181">
        <f t="shared" si="93"/>
        <v>0</v>
      </c>
      <c r="P488" s="181">
        <f t="shared" si="93"/>
        <v>0</v>
      </c>
      <c r="Q488" s="202"/>
      <c r="R488" s="181">
        <f t="shared" si="94"/>
        <v>0</v>
      </c>
      <c r="S488" s="181">
        <f t="shared" si="94"/>
        <v>0</v>
      </c>
      <c r="T488" s="181">
        <f t="shared" si="94"/>
        <v>0</v>
      </c>
      <c r="U488" s="181">
        <f t="shared" si="94"/>
        <v>0</v>
      </c>
      <c r="V488" s="181">
        <f t="shared" si="94"/>
        <v>0</v>
      </c>
      <c r="W488" s="198">
        <f t="shared" si="95"/>
        <v>0</v>
      </c>
    </row>
    <row r="489" spans="4:23" ht="15" customHeight="1">
      <c r="D489" s="85" t="str">
        <f xml:space="preserve"> '2.1 Model setup'!K77</f>
        <v>3.1 Generel administration</v>
      </c>
      <c r="K489" s="5" t="s">
        <v>4</v>
      </c>
      <c r="L489" s="85"/>
      <c r="O489" s="181">
        <f t="shared" si="93"/>
        <v>0</v>
      </c>
      <c r="P489" s="181">
        <f t="shared" si="93"/>
        <v>0</v>
      </c>
      <c r="Q489" s="202"/>
      <c r="R489" s="181">
        <f t="shared" si="94"/>
        <v>0</v>
      </c>
      <c r="S489" s="181">
        <f t="shared" si="94"/>
        <v>0</v>
      </c>
      <c r="T489" s="181">
        <f t="shared" si="94"/>
        <v>0</v>
      </c>
      <c r="U489" s="181">
        <f t="shared" si="94"/>
        <v>0</v>
      </c>
      <c r="V489" s="181">
        <f t="shared" si="94"/>
        <v>0</v>
      </c>
      <c r="W489" s="198">
        <f t="shared" si="95"/>
        <v>0</v>
      </c>
    </row>
    <row r="490" spans="4:23" ht="15" customHeight="1">
      <c r="D490" s="85" t="str">
        <f xml:space="preserve"> '2.1 Model setup'!K78</f>
        <v>4.1 Omkostninger vedrørende nettab i transformerstationer</v>
      </c>
      <c r="K490" s="5" t="s">
        <v>4</v>
      </c>
      <c r="L490" s="85"/>
      <c r="O490" s="181">
        <f t="shared" si="93"/>
        <v>0</v>
      </c>
      <c r="P490" s="181">
        <f t="shared" si="93"/>
        <v>0</v>
      </c>
      <c r="Q490" s="202"/>
      <c r="R490" s="181">
        <f t="shared" si="94"/>
        <v>0</v>
      </c>
      <c r="S490" s="181">
        <f t="shared" si="94"/>
        <v>0</v>
      </c>
      <c r="T490" s="181">
        <f t="shared" si="94"/>
        <v>0</v>
      </c>
      <c r="U490" s="181">
        <f t="shared" si="94"/>
        <v>0</v>
      </c>
      <c r="V490" s="181">
        <f t="shared" si="94"/>
        <v>0</v>
      </c>
      <c r="W490" s="198">
        <f t="shared" si="95"/>
        <v>0</v>
      </c>
    </row>
    <row r="491" spans="4:23" ht="15" customHeight="1">
      <c r="D491" s="85" t="str">
        <f xml:space="preserve"> '2.1 Model setup'!K79</f>
        <v>4.2 Omkostninger vedrørende nettab i ledningsnettet</v>
      </c>
      <c r="K491" s="5" t="s">
        <v>4</v>
      </c>
      <c r="L491" s="85"/>
      <c r="O491" s="181">
        <f t="shared" si="93"/>
        <v>0</v>
      </c>
      <c r="P491" s="181">
        <f t="shared" si="93"/>
        <v>0</v>
      </c>
      <c r="Q491" s="202"/>
      <c r="R491" s="181">
        <f t="shared" si="94"/>
        <v>0</v>
      </c>
      <c r="S491" s="181">
        <f t="shared" si="94"/>
        <v>0</v>
      </c>
      <c r="T491" s="181">
        <f t="shared" si="94"/>
        <v>0</v>
      </c>
      <c r="U491" s="181">
        <f t="shared" si="94"/>
        <v>0</v>
      </c>
      <c r="V491" s="181">
        <f t="shared" si="94"/>
        <v>0</v>
      </c>
      <c r="W491" s="198">
        <f t="shared" si="95"/>
        <v>0</v>
      </c>
    </row>
    <row r="492" spans="4:23" ht="15" customHeight="1">
      <c r="D492" s="85" t="str">
        <f xml:space="preserve"> '2.1 Model setup'!K88</f>
        <v>5.1 Omkostninger til overliggende net ifm. indfødning</v>
      </c>
      <c r="K492" s="5" t="s">
        <v>4</v>
      </c>
      <c r="L492" s="85"/>
      <c r="O492" s="181">
        <f t="shared" si="93"/>
        <v>0</v>
      </c>
      <c r="P492" s="181">
        <f t="shared" si="93"/>
        <v>0</v>
      </c>
      <c r="Q492" s="202"/>
      <c r="R492" s="181">
        <f t="shared" si="94"/>
        <v>0</v>
      </c>
      <c r="S492" s="181">
        <f t="shared" si="94"/>
        <v>0</v>
      </c>
      <c r="T492" s="181">
        <f t="shared" si="94"/>
        <v>0</v>
      </c>
      <c r="U492" s="181">
        <f t="shared" si="94"/>
        <v>0</v>
      </c>
      <c r="V492" s="181">
        <f t="shared" si="94"/>
        <v>0</v>
      </c>
      <c r="W492" s="198">
        <f t="shared" si="95"/>
        <v>0</v>
      </c>
    </row>
    <row r="493" spans="4:23" ht="15" customHeight="1">
      <c r="D493" s="85" t="str">
        <f xml:space="preserve"> '2.1 Model setup'!K81</f>
        <v>5.2 Øvrige omkostninger</v>
      </c>
      <c r="K493" s="5" t="s">
        <v>4</v>
      </c>
      <c r="L493" s="85"/>
      <c r="O493" s="181">
        <f t="shared" si="93"/>
        <v>0</v>
      </c>
      <c r="P493" s="181">
        <f t="shared" si="93"/>
        <v>0</v>
      </c>
      <c r="Q493" s="202"/>
      <c r="R493" s="181">
        <f t="shared" si="94"/>
        <v>0</v>
      </c>
      <c r="S493" s="181">
        <f t="shared" si="94"/>
        <v>0</v>
      </c>
      <c r="T493" s="181">
        <f t="shared" si="94"/>
        <v>0</v>
      </c>
      <c r="U493" s="181">
        <f t="shared" si="94"/>
        <v>0</v>
      </c>
      <c r="V493" s="181">
        <f t="shared" si="94"/>
        <v>0</v>
      </c>
      <c r="W493" s="198">
        <f t="shared" si="95"/>
        <v>0</v>
      </c>
    </row>
    <row r="494" spans="4:23" ht="15" customHeight="1">
      <c r="D494" s="85" t="str">
        <f xml:space="preserve"> '2.1 Model setup'!K82</f>
        <v>6.1 Afskrivninger på transformerstationer</v>
      </c>
      <c r="K494" s="5" t="s">
        <v>4</v>
      </c>
      <c r="L494" s="85"/>
      <c r="O494" s="181">
        <f t="shared" si="93"/>
        <v>0</v>
      </c>
      <c r="P494" s="181">
        <f t="shared" si="93"/>
        <v>0</v>
      </c>
      <c r="Q494" s="202"/>
      <c r="R494" s="181">
        <f t="shared" si="94"/>
        <v>0</v>
      </c>
      <c r="S494" s="181">
        <f t="shared" si="94"/>
        <v>0</v>
      </c>
      <c r="T494" s="181">
        <f t="shared" si="94"/>
        <v>0</v>
      </c>
      <c r="U494" s="181">
        <f t="shared" si="94"/>
        <v>0</v>
      </c>
      <c r="V494" s="181">
        <f t="shared" si="94"/>
        <v>0</v>
      </c>
      <c r="W494" s="198">
        <f t="shared" si="95"/>
        <v>0</v>
      </c>
    </row>
    <row r="495" spans="4:23" ht="15" customHeight="1">
      <c r="D495" s="85" t="str">
        <f xml:space="preserve"> '2.1 Model setup'!K83</f>
        <v>6.2 Afskrivninger på netaktiver ekskl. målere og transformerstationer</v>
      </c>
      <c r="K495" s="5" t="s">
        <v>4</v>
      </c>
      <c r="L495" s="85"/>
      <c r="O495" s="181">
        <f t="shared" si="93"/>
        <v>0</v>
      </c>
      <c r="P495" s="181">
        <f t="shared" si="93"/>
        <v>0</v>
      </c>
      <c r="Q495" s="202"/>
      <c r="R495" s="181">
        <f t="shared" si="94"/>
        <v>0</v>
      </c>
      <c r="S495" s="181">
        <f t="shared" si="94"/>
        <v>0</v>
      </c>
      <c r="T495" s="181">
        <f t="shared" si="94"/>
        <v>0</v>
      </c>
      <c r="U495" s="181">
        <f t="shared" si="94"/>
        <v>0</v>
      </c>
      <c r="V495" s="181">
        <f t="shared" si="94"/>
        <v>0</v>
      </c>
      <c r="W495" s="198">
        <f t="shared" si="95"/>
        <v>0</v>
      </c>
    </row>
    <row r="496" spans="4:23" ht="15" customHeight="1">
      <c r="D496" s="99" t="str">
        <f xml:space="preserve"> '2.1 Model setup'!K84</f>
        <v>6.3 Afskrivninger på målere</v>
      </c>
      <c r="E496" s="27"/>
      <c r="F496" s="27"/>
      <c r="G496" s="27"/>
      <c r="H496" s="27"/>
      <c r="I496" s="27"/>
      <c r="J496" s="27"/>
      <c r="K496" s="32" t="s">
        <v>4</v>
      </c>
      <c r="L496" s="99"/>
      <c r="M496" s="27"/>
      <c r="N496" s="27"/>
      <c r="O496" s="182">
        <f t="shared" si="93"/>
        <v>0</v>
      </c>
      <c r="P496" s="182">
        <f t="shared" si="93"/>
        <v>0</v>
      </c>
      <c r="Q496" s="269"/>
      <c r="R496" s="182">
        <f t="shared" si="94"/>
        <v>0</v>
      </c>
      <c r="S496" s="182">
        <f t="shared" si="94"/>
        <v>0</v>
      </c>
      <c r="T496" s="182">
        <f t="shared" si="94"/>
        <v>0</v>
      </c>
      <c r="U496" s="182">
        <f t="shared" si="94"/>
        <v>0</v>
      </c>
      <c r="V496" s="182">
        <f t="shared" si="94"/>
        <v>0</v>
      </c>
      <c r="W496" s="199">
        <f t="shared" si="95"/>
        <v>0</v>
      </c>
    </row>
    <row r="498" spans="4:23" ht="15" customHeight="1">
      <c r="D498" s="35" t="s">
        <v>593</v>
      </c>
      <c r="E498" s="27"/>
      <c r="F498" s="27"/>
      <c r="G498" s="27"/>
      <c r="H498" s="27"/>
      <c r="I498" s="27"/>
      <c r="J498" s="27"/>
      <c r="K498" s="32"/>
      <c r="L498" s="27"/>
      <c r="M498" s="27"/>
      <c r="N498" s="27"/>
      <c r="O498" s="27"/>
      <c r="P498" s="27"/>
      <c r="Q498" s="27"/>
      <c r="R498" s="27"/>
      <c r="S498" s="27"/>
      <c r="T498" s="27"/>
      <c r="U498" s="27"/>
      <c r="V498" s="27"/>
      <c r="W498" s="185" t="s">
        <v>16</v>
      </c>
    </row>
    <row r="499" spans="4:23" ht="15" customHeight="1">
      <c r="D499" s="123" t="str">
        <f xml:space="preserve"> '2.1 Model setup'!K70</f>
        <v>1.1 Drift og vedligeholdelse af transformerstationer</v>
      </c>
      <c r="E499" s="15"/>
      <c r="F499" s="15"/>
      <c r="G499" s="15"/>
      <c r="H499" s="15"/>
      <c r="I499" s="15"/>
      <c r="J499" s="15"/>
      <c r="K499" s="19" t="str">
        <f t="shared" ref="K499:K532" si="96" xml:space="preserve"> Model.Units</f>
        <v>DKKt</v>
      </c>
      <c r="L499" s="123"/>
      <c r="M499" s="15"/>
      <c r="N499" s="15"/>
      <c r="O499" s="15">
        <f xml:space="preserve"> ( $N305 = '2.1 Model setup'!$K$41 ) *  $O249 * O414</f>
        <v>0</v>
      </c>
      <c r="P499" s="15">
        <f xml:space="preserve"> ( $N305 = '2.1 Model setup'!$K$41 ) *  $O249 * P414</f>
        <v>0</v>
      </c>
      <c r="Q499" s="274"/>
      <c r="R499" s="15">
        <f xml:space="preserve"> ( $N305 = '2.1 Model setup'!$K$41 ) *  $O249 * R414</f>
        <v>0</v>
      </c>
      <c r="S499" s="15">
        <f xml:space="preserve"> ( $N305 = '2.1 Model setup'!$K$41 ) *  $O249 * S414</f>
        <v>0</v>
      </c>
      <c r="T499" s="15">
        <f xml:space="preserve"> ( $N305 = '2.1 Model setup'!$K$41 ) *  $O249 * T414</f>
        <v>0</v>
      </c>
      <c r="U499" s="15">
        <f xml:space="preserve"> ( $N305 = '2.1 Model setup'!$K$41 ) *  $O249 * U414</f>
        <v>0</v>
      </c>
      <c r="V499" s="15">
        <f xml:space="preserve"> ( $N305 = '2.1 Model setup'!$K$41 ) *  $O249 * V414</f>
        <v>0</v>
      </c>
      <c r="W499" s="18">
        <f xml:space="preserve"> SUM( O499:V499 )</f>
        <v>0</v>
      </c>
    </row>
    <row r="500" spans="4:23" ht="15" customHeight="1">
      <c r="D500" s="85" t="str">
        <f xml:space="preserve"> '2.1 Model setup'!K71</f>
        <v>1.2 Drift og vedligeholdelse af ledningsnet</v>
      </c>
      <c r="K500" s="5" t="str">
        <f t="shared" si="96"/>
        <v>DKKt</v>
      </c>
      <c r="L500" s="85"/>
      <c r="O500" s="1">
        <f xml:space="preserve"> ( $N306 = '2.1 Model setup'!$K$41 ) *  $O250 * O415</f>
        <v>0</v>
      </c>
      <c r="P500" s="1">
        <f xml:space="preserve"> ( $N306 = '2.1 Model setup'!$K$41 ) *  $O250 * P415</f>
        <v>0</v>
      </c>
      <c r="Q500" s="202"/>
      <c r="R500" s="1">
        <f xml:space="preserve"> ( $N306 = '2.1 Model setup'!$K$41 ) *  $O250 * R415</f>
        <v>0</v>
      </c>
      <c r="S500" s="1">
        <f xml:space="preserve"> ( $N306 = '2.1 Model setup'!$K$41 ) *  $O250 * S415</f>
        <v>0</v>
      </c>
      <c r="T500" s="1">
        <f xml:space="preserve"> ( $N306 = '2.1 Model setup'!$K$41 ) *  $O250 * T415</f>
        <v>0</v>
      </c>
      <c r="U500" s="1">
        <f xml:space="preserve"> ( $N306 = '2.1 Model setup'!$K$41 ) *  $O250 * U415</f>
        <v>0</v>
      </c>
      <c r="V500" s="1">
        <f xml:space="preserve"> ( $N306 = '2.1 Model setup'!$K$41 ) *  $O250 * V415</f>
        <v>0</v>
      </c>
      <c r="W500" s="4">
        <f t="shared" ref="W500:W513" si="97" xml:space="preserve"> SUM( O500:V500 )</f>
        <v>0</v>
      </c>
    </row>
    <row r="501" spans="4:23" ht="15" customHeight="1">
      <c r="D501" s="85" t="str">
        <f xml:space="preserve"> '2.1 Model setup'!K72</f>
        <v>1.3 Øvrige omkostninger til drift, styring og kontrol af elnettet</v>
      </c>
      <c r="K501" s="5" t="str">
        <f t="shared" si="96"/>
        <v>DKKt</v>
      </c>
      <c r="L501" s="85"/>
      <c r="O501" s="1">
        <f xml:space="preserve"> ( $N307 = '2.1 Model setup'!$K$41 ) *  $O251 * O416</f>
        <v>0</v>
      </c>
      <c r="P501" s="1">
        <f xml:space="preserve"> ( $N307 = '2.1 Model setup'!$K$41 ) *  $O251 * P416</f>
        <v>0</v>
      </c>
      <c r="Q501" s="202"/>
      <c r="R501" s="1">
        <f xml:space="preserve"> ( $N307 = '2.1 Model setup'!$K$41 ) *  $O251 * R416</f>
        <v>0</v>
      </c>
      <c r="S501" s="1">
        <f xml:space="preserve"> ( $N307 = '2.1 Model setup'!$K$41 ) *  $O251 * S416</f>
        <v>0</v>
      </c>
      <c r="T501" s="1">
        <f xml:space="preserve"> ( $N307 = '2.1 Model setup'!$K$41 ) *  $O251 * T416</f>
        <v>0</v>
      </c>
      <c r="U501" s="1">
        <f xml:space="preserve"> ( $N307 = '2.1 Model setup'!$K$41 ) *  $O251 * U416</f>
        <v>0</v>
      </c>
      <c r="V501" s="1">
        <f xml:space="preserve"> ( $N307 = '2.1 Model setup'!$K$41 ) *  $O251 * V416</f>
        <v>0</v>
      </c>
      <c r="W501" s="4">
        <f t="shared" si="97"/>
        <v>0</v>
      </c>
    </row>
    <row r="502" spans="4:23" ht="15" customHeight="1">
      <c r="D502" s="85" t="str">
        <f xml:space="preserve"> '2.1 Model setup'!K73</f>
        <v>1.4 Omkostninger vedrørende 132-150/30-60 kV-stationer</v>
      </c>
      <c r="K502" s="5" t="str">
        <f t="shared" si="96"/>
        <v>DKKt</v>
      </c>
      <c r="L502" s="85"/>
      <c r="O502" s="1">
        <f xml:space="preserve"> ( $N308 = '2.1 Model setup'!$K$41 ) *  $O252 * O417</f>
        <v>0</v>
      </c>
      <c r="P502" s="1">
        <f xml:space="preserve"> ( $N308 = '2.1 Model setup'!$K$41 ) *  $O252 * P417</f>
        <v>0</v>
      </c>
      <c r="Q502" s="202"/>
      <c r="R502" s="1">
        <f xml:space="preserve"> ( $N308 = '2.1 Model setup'!$K$41 ) *  $O252 * R417</f>
        <v>0</v>
      </c>
      <c r="S502" s="1">
        <f xml:space="preserve"> ( $N308 = '2.1 Model setup'!$K$41 ) *  $O252 * S417</f>
        <v>0</v>
      </c>
      <c r="T502" s="1">
        <f xml:space="preserve"> ( $N308 = '2.1 Model setup'!$K$41 ) *  $O252 * T417</f>
        <v>0</v>
      </c>
      <c r="U502" s="1">
        <f xml:space="preserve"> ( $N308 = '2.1 Model setup'!$K$41 ) *  $O252 * U417</f>
        <v>0</v>
      </c>
      <c r="V502" s="1">
        <f xml:space="preserve"> ( $N308 = '2.1 Model setup'!$K$41 ) *  $O252 * V417</f>
        <v>0</v>
      </c>
      <c r="W502" s="4">
        <f t="shared" si="97"/>
        <v>0</v>
      </c>
    </row>
    <row r="503" spans="4:23" ht="15" customHeight="1">
      <c r="D503" s="85" t="str">
        <f xml:space="preserve"> '2.1 Model setup'!K74</f>
        <v>2.1 Drift og vedligeholdelse af målere</v>
      </c>
      <c r="K503" s="5" t="str">
        <f t="shared" si="96"/>
        <v>DKKt</v>
      </c>
      <c r="L503" s="85"/>
      <c r="O503" s="1">
        <f xml:space="preserve"> ( $N309 = '2.1 Model setup'!$K$41 ) *  $O253 * O418</f>
        <v>0</v>
      </c>
      <c r="P503" s="1">
        <f xml:space="preserve"> ( $N309 = '2.1 Model setup'!$K$41 ) *  $O253 * P418</f>
        <v>0</v>
      </c>
      <c r="Q503" s="202"/>
      <c r="R503" s="1">
        <f xml:space="preserve"> ( $N309 = '2.1 Model setup'!$K$41 ) *  $O253 * R418</f>
        <v>0</v>
      </c>
      <c r="S503" s="1">
        <f xml:space="preserve"> ( $N309 = '2.1 Model setup'!$K$41 ) *  $O253 * S418</f>
        <v>0</v>
      </c>
      <c r="T503" s="1">
        <f xml:space="preserve"> ( $N309 = '2.1 Model setup'!$K$41 ) *  $O253 * T418</f>
        <v>0</v>
      </c>
      <c r="U503" s="1">
        <f xml:space="preserve"> ( $N309 = '2.1 Model setup'!$K$41 ) *  $O253 * U418</f>
        <v>0</v>
      </c>
      <c r="V503" s="1">
        <f xml:space="preserve"> ( $N309 = '2.1 Model setup'!$K$41 ) *  $O253 * V418</f>
        <v>0</v>
      </c>
      <c r="W503" s="4">
        <f t="shared" si="97"/>
        <v>0</v>
      </c>
    </row>
    <row r="504" spans="4:23" ht="15" customHeight="1">
      <c r="D504" s="85" t="str">
        <f xml:space="preserve"> '2.1 Model setup'!K75</f>
        <v>2.2 Indhentning og validering af målerdata</v>
      </c>
      <c r="K504" s="5" t="str">
        <f t="shared" si="96"/>
        <v>DKKt</v>
      </c>
      <c r="L504" s="85"/>
      <c r="O504" s="1">
        <f xml:space="preserve"> ( $N310 = '2.1 Model setup'!$K$41 ) *  $O254 * O419</f>
        <v>0</v>
      </c>
      <c r="P504" s="1">
        <f xml:space="preserve"> ( $N310 = '2.1 Model setup'!$K$41 ) *  $O254 * P419</f>
        <v>0</v>
      </c>
      <c r="Q504" s="202"/>
      <c r="R504" s="1">
        <f xml:space="preserve"> ( $N310 = '2.1 Model setup'!$K$41 ) *  $O254 * R419</f>
        <v>0</v>
      </c>
      <c r="S504" s="1">
        <f xml:space="preserve"> ( $N310 = '2.1 Model setup'!$K$41 ) *  $O254 * S419</f>
        <v>0</v>
      </c>
      <c r="T504" s="1">
        <f xml:space="preserve"> ( $N310 = '2.1 Model setup'!$K$41 ) *  $O254 * T419</f>
        <v>0</v>
      </c>
      <c r="U504" s="1">
        <f xml:space="preserve"> ( $N310 = '2.1 Model setup'!$K$41 ) *  $O254 * U419</f>
        <v>0</v>
      </c>
      <c r="V504" s="1">
        <f xml:space="preserve"> ( $N310 = '2.1 Model setup'!$K$41 ) *  $O254 * V419</f>
        <v>0</v>
      </c>
      <c r="W504" s="4">
        <f t="shared" si="97"/>
        <v>0</v>
      </c>
    </row>
    <row r="505" spans="4:23" ht="15" customHeight="1">
      <c r="D505" s="85" t="str">
        <f xml:space="preserve"> '2.1 Model setup'!K76</f>
        <v>2.3 Måleradministration og kundehåndtering</v>
      </c>
      <c r="K505" s="5" t="str">
        <f t="shared" si="96"/>
        <v>DKKt</v>
      </c>
      <c r="L505" s="85"/>
      <c r="O505" s="1">
        <f xml:space="preserve"> ( $N311 = '2.1 Model setup'!$K$41 ) *  $O255 * O420</f>
        <v>0</v>
      </c>
      <c r="P505" s="1">
        <f xml:space="preserve"> ( $N311 = '2.1 Model setup'!$K$41 ) *  $O255 * P420</f>
        <v>0</v>
      </c>
      <c r="Q505" s="202"/>
      <c r="R505" s="1">
        <f xml:space="preserve"> ( $N311 = '2.1 Model setup'!$K$41 ) *  $O255 * R420</f>
        <v>0</v>
      </c>
      <c r="S505" s="1">
        <f xml:space="preserve"> ( $N311 = '2.1 Model setup'!$K$41 ) *  $O255 * S420</f>
        <v>0</v>
      </c>
      <c r="T505" s="1">
        <f xml:space="preserve"> ( $N311 = '2.1 Model setup'!$K$41 ) *  $O255 * T420</f>
        <v>0</v>
      </c>
      <c r="U505" s="1">
        <f xml:space="preserve"> ( $N311 = '2.1 Model setup'!$K$41 ) *  $O255 * U420</f>
        <v>0</v>
      </c>
      <c r="V505" s="1">
        <f xml:space="preserve"> ( $N311 = '2.1 Model setup'!$K$41 ) *  $O255 * V420</f>
        <v>0</v>
      </c>
      <c r="W505" s="4">
        <f t="shared" si="97"/>
        <v>0</v>
      </c>
    </row>
    <row r="506" spans="4:23" ht="15" customHeight="1">
      <c r="D506" s="85" t="str">
        <f xml:space="preserve"> '2.1 Model setup'!K77</f>
        <v>3.1 Generel administration</v>
      </c>
      <c r="K506" s="5" t="str">
        <f t="shared" si="96"/>
        <v>DKKt</v>
      </c>
      <c r="L506" s="85"/>
      <c r="O506" s="1">
        <f xml:space="preserve"> ( $N312 = '2.1 Model setup'!$K$41 ) *  $O256 * O421</f>
        <v>0</v>
      </c>
      <c r="P506" s="1">
        <f xml:space="preserve"> ( $N312 = '2.1 Model setup'!$K$41 ) *  $O256 * P421</f>
        <v>0</v>
      </c>
      <c r="Q506" s="202"/>
      <c r="R506" s="1">
        <f xml:space="preserve"> ( $N312 = '2.1 Model setup'!$K$41 ) *  $O256 * R421</f>
        <v>0</v>
      </c>
      <c r="S506" s="1">
        <f xml:space="preserve"> ( $N312 = '2.1 Model setup'!$K$41 ) *  $O256 * S421</f>
        <v>0</v>
      </c>
      <c r="T506" s="1">
        <f xml:space="preserve"> ( $N312 = '2.1 Model setup'!$K$41 ) *  $O256 * T421</f>
        <v>0</v>
      </c>
      <c r="U506" s="1">
        <f xml:space="preserve"> ( $N312 = '2.1 Model setup'!$K$41 ) *  $O256 * U421</f>
        <v>0</v>
      </c>
      <c r="V506" s="1">
        <f xml:space="preserve"> ( $N312 = '2.1 Model setup'!$K$41 ) *  $O256 * V421</f>
        <v>0</v>
      </c>
      <c r="W506" s="4">
        <f t="shared" si="97"/>
        <v>0</v>
      </c>
    </row>
    <row r="507" spans="4:23" ht="15" customHeight="1">
      <c r="D507" s="85" t="str">
        <f xml:space="preserve"> '2.1 Model setup'!K78</f>
        <v>4.1 Omkostninger vedrørende nettab i transformerstationer</v>
      </c>
      <c r="K507" s="5" t="str">
        <f t="shared" si="96"/>
        <v>DKKt</v>
      </c>
      <c r="L507" s="85"/>
      <c r="O507" s="1">
        <f xml:space="preserve"> ( $N313 = '2.1 Model setup'!$K$41 ) *  $O257 * O422</f>
        <v>0</v>
      </c>
      <c r="P507" s="1">
        <f xml:space="preserve"> ( $N313 = '2.1 Model setup'!$K$41 ) *  $O257 * P422</f>
        <v>0</v>
      </c>
      <c r="Q507" s="202"/>
      <c r="R507" s="1">
        <f xml:space="preserve"> ( $N313 = '2.1 Model setup'!$K$41 ) *  $O257 * R422</f>
        <v>0</v>
      </c>
      <c r="S507" s="1">
        <f xml:space="preserve"> ( $N313 = '2.1 Model setup'!$K$41 ) *  $O257 * S422</f>
        <v>0</v>
      </c>
      <c r="T507" s="1">
        <f xml:space="preserve"> ( $N313 = '2.1 Model setup'!$K$41 ) *  $O257 * T422</f>
        <v>0</v>
      </c>
      <c r="U507" s="1">
        <f xml:space="preserve"> ( $N313 = '2.1 Model setup'!$K$41 ) *  $O257 * U422</f>
        <v>0</v>
      </c>
      <c r="V507" s="1">
        <f xml:space="preserve"> ( $N313 = '2.1 Model setup'!$K$41 ) *  $O257 * V422</f>
        <v>0</v>
      </c>
      <c r="W507" s="4">
        <f t="shared" si="97"/>
        <v>0</v>
      </c>
    </row>
    <row r="508" spans="4:23" ht="15" customHeight="1">
      <c r="D508" s="85" t="str">
        <f xml:space="preserve"> '2.1 Model setup'!K79</f>
        <v>4.2 Omkostninger vedrørende nettab i ledningsnettet</v>
      </c>
      <c r="K508" s="5" t="str">
        <f t="shared" si="96"/>
        <v>DKKt</v>
      </c>
      <c r="L508" s="85"/>
      <c r="O508" s="1">
        <f xml:space="preserve"> ( $N314 = '2.1 Model setup'!$K$41 ) *  $O258 * O423</f>
        <v>0</v>
      </c>
      <c r="P508" s="1">
        <f xml:space="preserve"> ( $N314 = '2.1 Model setup'!$K$41 ) *  $O258 * P423</f>
        <v>0</v>
      </c>
      <c r="Q508" s="202"/>
      <c r="R508" s="1">
        <f xml:space="preserve"> ( $N314 = '2.1 Model setup'!$K$41 ) *  $O258 * R423</f>
        <v>0</v>
      </c>
      <c r="S508" s="1">
        <f xml:space="preserve"> ( $N314 = '2.1 Model setup'!$K$41 ) *  $O258 * S423</f>
        <v>0</v>
      </c>
      <c r="T508" s="1">
        <f xml:space="preserve"> ( $N314 = '2.1 Model setup'!$K$41 ) *  $O258 * T423</f>
        <v>0</v>
      </c>
      <c r="U508" s="1">
        <f xml:space="preserve"> ( $N314 = '2.1 Model setup'!$K$41 ) *  $O258 * U423</f>
        <v>0</v>
      </c>
      <c r="V508" s="1">
        <f xml:space="preserve"> ( $N314 = '2.1 Model setup'!$K$41 ) *  $O258 * V423</f>
        <v>0</v>
      </c>
      <c r="W508" s="4">
        <f t="shared" si="97"/>
        <v>0</v>
      </c>
    </row>
    <row r="509" spans="4:23" ht="15" customHeight="1">
      <c r="D509" s="85" t="str">
        <f xml:space="preserve"> '2.1 Model setup'!K88</f>
        <v>5.1 Omkostninger til overliggende net ifm. indfødning</v>
      </c>
      <c r="K509" s="5" t="str">
        <f t="shared" si="96"/>
        <v>DKKt</v>
      </c>
      <c r="L509" s="85"/>
      <c r="O509" s="1">
        <f xml:space="preserve"> ( $N315 = '2.1 Model setup'!$K$41 ) *  $O259 * O424</f>
        <v>0</v>
      </c>
      <c r="P509" s="1">
        <f xml:space="preserve"> ( $N315 = '2.1 Model setup'!$K$41 ) *  $O259 * P424</f>
        <v>0</v>
      </c>
      <c r="Q509" s="202"/>
      <c r="R509" s="1">
        <f xml:space="preserve"> ( $N315 = '2.1 Model setup'!$K$41 ) *  $O259 * R424</f>
        <v>0</v>
      </c>
      <c r="S509" s="1">
        <f xml:space="preserve"> ( $N315 = '2.1 Model setup'!$K$41 ) *  $O259 * S424</f>
        <v>0</v>
      </c>
      <c r="T509" s="1">
        <f xml:space="preserve"> ( $N315 = '2.1 Model setup'!$K$41 ) *  $O259 * T424</f>
        <v>0</v>
      </c>
      <c r="U509" s="1">
        <f xml:space="preserve"> ( $N315 = '2.1 Model setup'!$K$41 ) *  $O259 * U424</f>
        <v>0</v>
      </c>
      <c r="V509" s="1">
        <f xml:space="preserve"> ( $N315 = '2.1 Model setup'!$K$41 ) *  $O259 * V424</f>
        <v>0</v>
      </c>
      <c r="W509" s="4">
        <f t="shared" si="97"/>
        <v>0</v>
      </c>
    </row>
    <row r="510" spans="4:23" ht="15" customHeight="1">
      <c r="D510" s="85" t="str">
        <f xml:space="preserve"> '2.1 Model setup'!K81</f>
        <v>5.2 Øvrige omkostninger</v>
      </c>
      <c r="K510" s="5" t="str">
        <f t="shared" si="96"/>
        <v>DKKt</v>
      </c>
      <c r="L510" s="85"/>
      <c r="O510" s="1">
        <f xml:space="preserve"> ( $N316 = '2.1 Model setup'!$K$41 ) *  $O260 * O425</f>
        <v>0</v>
      </c>
      <c r="P510" s="1">
        <f xml:space="preserve"> ( $N316 = '2.1 Model setup'!$K$41 ) *  $O260 * P425</f>
        <v>0</v>
      </c>
      <c r="Q510" s="202"/>
      <c r="R510" s="1">
        <f xml:space="preserve"> ( $N316 = '2.1 Model setup'!$K$41 ) *  $O260 * R425</f>
        <v>0</v>
      </c>
      <c r="S510" s="1">
        <f xml:space="preserve"> ( $N316 = '2.1 Model setup'!$K$41 ) *  $O260 * S425</f>
        <v>0</v>
      </c>
      <c r="T510" s="1">
        <f xml:space="preserve"> ( $N316 = '2.1 Model setup'!$K$41 ) *  $O260 * T425</f>
        <v>0</v>
      </c>
      <c r="U510" s="1">
        <f xml:space="preserve"> ( $N316 = '2.1 Model setup'!$K$41 ) *  $O260 * U425</f>
        <v>0</v>
      </c>
      <c r="V510" s="1">
        <f xml:space="preserve"> ( $N316 = '2.1 Model setup'!$K$41 ) *  $O260 * V425</f>
        <v>0</v>
      </c>
      <c r="W510" s="4">
        <f t="shared" si="97"/>
        <v>0</v>
      </c>
    </row>
    <row r="511" spans="4:23" ht="15" customHeight="1">
      <c r="D511" s="85" t="str">
        <f xml:space="preserve"> '2.1 Model setup'!K82</f>
        <v>6.1 Afskrivninger på transformerstationer</v>
      </c>
      <c r="K511" s="5" t="str">
        <f t="shared" si="96"/>
        <v>DKKt</v>
      </c>
      <c r="L511" s="85"/>
      <c r="O511" s="1">
        <f xml:space="preserve"> ( $N317 = '2.1 Model setup'!$K$41 ) *  $O261 * O426</f>
        <v>0</v>
      </c>
      <c r="P511" s="1">
        <f xml:space="preserve"> ( $N317 = '2.1 Model setup'!$K$41 ) *  $O261 * P426</f>
        <v>0</v>
      </c>
      <c r="Q511" s="202"/>
      <c r="R511" s="1">
        <f xml:space="preserve"> ( $N317 = '2.1 Model setup'!$K$41 ) *  $O261 * R426</f>
        <v>0</v>
      </c>
      <c r="S511" s="1">
        <f xml:space="preserve"> ( $N317 = '2.1 Model setup'!$K$41 ) *  $O261 * S426</f>
        <v>0</v>
      </c>
      <c r="T511" s="1">
        <f xml:space="preserve"> ( $N317 = '2.1 Model setup'!$K$41 ) *  $O261 * T426</f>
        <v>0</v>
      </c>
      <c r="U511" s="1">
        <f xml:space="preserve"> ( $N317 = '2.1 Model setup'!$K$41 ) *  $O261 * U426</f>
        <v>0</v>
      </c>
      <c r="V511" s="1">
        <f xml:space="preserve"> ( $N317 = '2.1 Model setup'!$K$41 ) *  $O261 * V426</f>
        <v>0</v>
      </c>
      <c r="W511" s="4">
        <f t="shared" si="97"/>
        <v>0</v>
      </c>
    </row>
    <row r="512" spans="4:23" ht="15" customHeight="1">
      <c r="D512" s="85" t="str">
        <f xml:space="preserve"> '2.1 Model setup'!K83</f>
        <v>6.2 Afskrivninger på netaktiver ekskl. målere og transformerstationer</v>
      </c>
      <c r="K512" s="5" t="str">
        <f t="shared" si="96"/>
        <v>DKKt</v>
      </c>
      <c r="L512" s="85"/>
      <c r="O512" s="1">
        <f xml:space="preserve"> ( $N318 = '2.1 Model setup'!$K$41 ) *  $O262 * O427</f>
        <v>0</v>
      </c>
      <c r="P512" s="1">
        <f xml:space="preserve"> ( $N318 = '2.1 Model setup'!$K$41 ) *  $O262 * P427</f>
        <v>0</v>
      </c>
      <c r="Q512" s="202"/>
      <c r="R512" s="1">
        <f xml:space="preserve"> ( $N318 = '2.1 Model setup'!$K$41 ) *  $O262 * R427</f>
        <v>0</v>
      </c>
      <c r="S512" s="1">
        <f xml:space="preserve"> ( $N318 = '2.1 Model setup'!$K$41 ) *  $O262 * S427</f>
        <v>0</v>
      </c>
      <c r="T512" s="1">
        <f xml:space="preserve"> ( $N318 = '2.1 Model setup'!$K$41 ) *  $O262 * T427</f>
        <v>0</v>
      </c>
      <c r="U512" s="1">
        <f xml:space="preserve"> ( $N318 = '2.1 Model setup'!$K$41 ) *  $O262 * U427</f>
        <v>0</v>
      </c>
      <c r="V512" s="1">
        <f xml:space="preserve"> ( $N318 = '2.1 Model setup'!$K$41 ) *  $O262 * V427</f>
        <v>0</v>
      </c>
      <c r="W512" s="4">
        <f t="shared" si="97"/>
        <v>0</v>
      </c>
    </row>
    <row r="513" spans="4:23" ht="15" customHeight="1">
      <c r="D513" s="99" t="str">
        <f xml:space="preserve"> '2.1 Model setup'!K84</f>
        <v>6.3 Afskrivninger på målere</v>
      </c>
      <c r="E513" s="27"/>
      <c r="F513" s="27"/>
      <c r="G513" s="27"/>
      <c r="H513" s="27"/>
      <c r="I513" s="27"/>
      <c r="J513" s="27"/>
      <c r="K513" s="32" t="str">
        <f t="shared" si="96"/>
        <v>DKKt</v>
      </c>
      <c r="L513" s="99"/>
      <c r="M513" s="27"/>
      <c r="N513" s="27"/>
      <c r="O513" s="27">
        <f xml:space="preserve"> ( $N319 = '2.1 Model setup'!$K$41 ) *  $O263 * O428</f>
        <v>0</v>
      </c>
      <c r="P513" s="27">
        <f xml:space="preserve"> ( $N319 = '2.1 Model setup'!$K$41 ) *  $O263 * P428</f>
        <v>0</v>
      </c>
      <c r="Q513" s="269"/>
      <c r="R513" s="27">
        <f xml:space="preserve"> ( $N319 = '2.1 Model setup'!$K$41 ) *  $O263 * R428</f>
        <v>0</v>
      </c>
      <c r="S513" s="27">
        <f xml:space="preserve"> ( $N319 = '2.1 Model setup'!$K$41 ) *  $O263 * S428</f>
        <v>0</v>
      </c>
      <c r="T513" s="27">
        <f xml:space="preserve"> ( $N319 = '2.1 Model setup'!$K$41 ) *  $O263 * T428</f>
        <v>0</v>
      </c>
      <c r="U513" s="27">
        <f xml:space="preserve"> ( $N319 = '2.1 Model setup'!$K$41 ) *  $O263 * U428</f>
        <v>0</v>
      </c>
      <c r="V513" s="27">
        <f xml:space="preserve"> ( $N319 = '2.1 Model setup'!$K$41 ) *  $O263 * V428</f>
        <v>0</v>
      </c>
      <c r="W513" s="35">
        <f t="shared" si="97"/>
        <v>0</v>
      </c>
    </row>
    <row r="514" spans="4:23" ht="15" customHeight="1">
      <c r="D514" s="105" t="s">
        <v>16</v>
      </c>
      <c r="E514" s="186"/>
      <c r="F514" s="186"/>
      <c r="G514" s="186"/>
      <c r="H514" s="186"/>
      <c r="I514" s="186"/>
      <c r="J514" s="186"/>
      <c r="K514" s="187" t="str">
        <f t="shared" ref="K514" si="98" xml:space="preserve"> Model.Units</f>
        <v>DKKt</v>
      </c>
      <c r="L514" s="105"/>
      <c r="M514" s="186"/>
      <c r="N514" s="186"/>
      <c r="O514" s="186">
        <f xml:space="preserve"> SUM( O499:O513 )</f>
        <v>0</v>
      </c>
      <c r="P514" s="186">
        <f xml:space="preserve"> SUM( P499:P513 )</f>
        <v>0</v>
      </c>
      <c r="Q514" s="388"/>
      <c r="R514" s="186">
        <f t="shared" ref="R514:W514" si="99" xml:space="preserve"> SUM( R499:R513 )</f>
        <v>0</v>
      </c>
      <c r="S514" s="186">
        <f t="shared" si="99"/>
        <v>0</v>
      </c>
      <c r="T514" s="186">
        <f t="shared" si="99"/>
        <v>0</v>
      </c>
      <c r="U514" s="186">
        <f t="shared" si="99"/>
        <v>0</v>
      </c>
      <c r="V514" s="186">
        <f t="shared" si="99"/>
        <v>0</v>
      </c>
      <c r="W514" s="186">
        <f t="shared" si="99"/>
        <v>0</v>
      </c>
    </row>
    <row r="516" spans="4:23" ht="15" customHeight="1">
      <c r="D516" s="35" t="s">
        <v>644</v>
      </c>
      <c r="E516" s="27"/>
      <c r="F516" s="27"/>
      <c r="G516" s="27"/>
      <c r="H516" s="27"/>
      <c r="I516" s="27"/>
      <c r="J516" s="27"/>
      <c r="K516" s="32"/>
      <c r="L516" s="27"/>
      <c r="M516" s="27"/>
      <c r="N516" s="27"/>
      <c r="O516" s="27"/>
      <c r="P516" s="27"/>
      <c r="Q516" s="27"/>
      <c r="R516" s="27"/>
      <c r="S516" s="27"/>
      <c r="T516" s="27"/>
      <c r="U516" s="27"/>
      <c r="V516" s="27"/>
      <c r="W516" s="185" t="s">
        <v>16</v>
      </c>
    </row>
    <row r="517" spans="4:23" ht="15" customHeight="1">
      <c r="D517" s="123" t="str">
        <f xml:space="preserve"> '2.1 Model setup'!K70</f>
        <v>1.1 Drift og vedligeholdelse af transformerstationer</v>
      </c>
      <c r="E517" s="15"/>
      <c r="F517" s="15"/>
      <c r="G517" s="15"/>
      <c r="H517" s="15"/>
      <c r="I517" s="15"/>
      <c r="J517" s="15"/>
      <c r="K517" s="19" t="str">
        <f t="shared" si="96"/>
        <v>DKKt</v>
      </c>
      <c r="L517" s="123"/>
      <c r="M517" s="15"/>
      <c r="N517" s="15"/>
      <c r="O517" s="15">
        <f xml:space="preserve"> ( $N305 = '2.1 Model setup'!$K$41 ) *  $P249 * O431</f>
        <v>0</v>
      </c>
      <c r="P517" s="15">
        <f xml:space="preserve"> ( $N305 = '2.1 Model setup'!$K$41 ) *  $P249 * P431</f>
        <v>0</v>
      </c>
      <c r="Q517" s="274"/>
      <c r="R517" s="15">
        <f xml:space="preserve"> ( $N305 = '2.1 Model setup'!$K$41 ) *  $P249 * R431</f>
        <v>0</v>
      </c>
      <c r="S517" s="15">
        <f xml:space="preserve"> ( $N305 = '2.1 Model setup'!$K$41 ) *  $P249 * S431</f>
        <v>0</v>
      </c>
      <c r="T517" s="15">
        <f xml:space="preserve"> ( $N305 = '2.1 Model setup'!$K$41 ) *  $P249 * T431</f>
        <v>0</v>
      </c>
      <c r="U517" s="15">
        <f xml:space="preserve"> ( $N305 = '2.1 Model setup'!$K$41 ) *  $P249 * U431</f>
        <v>0</v>
      </c>
      <c r="V517" s="15">
        <f xml:space="preserve"> ( $N305 = '2.1 Model setup'!$K$41 ) *  $P249 * V431</f>
        <v>0</v>
      </c>
      <c r="W517" s="18">
        <f xml:space="preserve"> SUM( O517:V517 )</f>
        <v>0</v>
      </c>
    </row>
    <row r="518" spans="4:23" ht="15" customHeight="1">
      <c r="D518" s="85" t="str">
        <f xml:space="preserve"> '2.1 Model setup'!K71</f>
        <v>1.2 Drift og vedligeholdelse af ledningsnet</v>
      </c>
      <c r="K518" s="5" t="str">
        <f t="shared" si="96"/>
        <v>DKKt</v>
      </c>
      <c r="L518" s="85"/>
      <c r="O518" s="1">
        <f xml:space="preserve"> ( $N306 = '2.1 Model setup'!$K$41 ) *  $P250 * O432</f>
        <v>0</v>
      </c>
      <c r="P518" s="1">
        <f xml:space="preserve"> ( $N306 = '2.1 Model setup'!$K$41 ) *  $P250 * P432</f>
        <v>0</v>
      </c>
      <c r="Q518" s="202"/>
      <c r="R518" s="1">
        <f xml:space="preserve"> ( $N306 = '2.1 Model setup'!$K$41 ) *  $P250 * R432</f>
        <v>0</v>
      </c>
      <c r="S518" s="1">
        <f xml:space="preserve"> ( $N306 = '2.1 Model setup'!$K$41 ) *  $P250 * S432</f>
        <v>0</v>
      </c>
      <c r="T518" s="1">
        <f xml:space="preserve"> ( $N306 = '2.1 Model setup'!$K$41 ) *  $P250 * T432</f>
        <v>0</v>
      </c>
      <c r="U518" s="1">
        <f xml:space="preserve"> ( $N306 = '2.1 Model setup'!$K$41 ) *  $P250 * U432</f>
        <v>0</v>
      </c>
      <c r="V518" s="1">
        <f xml:space="preserve"> ( $N306 = '2.1 Model setup'!$K$41 ) *  $P250 * V432</f>
        <v>0</v>
      </c>
      <c r="W518" s="4">
        <f t="shared" ref="W518:W531" si="100" xml:space="preserve"> SUM( O518:V518 )</f>
        <v>0</v>
      </c>
    </row>
    <row r="519" spans="4:23" ht="15" customHeight="1">
      <c r="D519" s="85" t="str">
        <f xml:space="preserve"> '2.1 Model setup'!K72</f>
        <v>1.3 Øvrige omkostninger til drift, styring og kontrol af elnettet</v>
      </c>
      <c r="K519" s="5" t="str">
        <f t="shared" si="96"/>
        <v>DKKt</v>
      </c>
      <c r="L519" s="85"/>
      <c r="O519" s="1">
        <f xml:space="preserve"> ( $N307 = '2.1 Model setup'!$K$41 ) *  $P251 * O433</f>
        <v>0</v>
      </c>
      <c r="P519" s="1">
        <f xml:space="preserve"> ( $N307 = '2.1 Model setup'!$K$41 ) *  $P251 * P433</f>
        <v>0</v>
      </c>
      <c r="Q519" s="202"/>
      <c r="R519" s="1">
        <f xml:space="preserve"> ( $N307 = '2.1 Model setup'!$K$41 ) *  $P251 * R433</f>
        <v>0</v>
      </c>
      <c r="S519" s="1">
        <f xml:space="preserve"> ( $N307 = '2.1 Model setup'!$K$41 ) *  $P251 * S433</f>
        <v>0</v>
      </c>
      <c r="T519" s="1">
        <f xml:space="preserve"> ( $N307 = '2.1 Model setup'!$K$41 ) *  $P251 * T433</f>
        <v>0</v>
      </c>
      <c r="U519" s="1">
        <f xml:space="preserve"> ( $N307 = '2.1 Model setup'!$K$41 ) *  $P251 * U433</f>
        <v>0</v>
      </c>
      <c r="V519" s="1">
        <f xml:space="preserve"> ( $N307 = '2.1 Model setup'!$K$41 ) *  $P251 * V433</f>
        <v>0</v>
      </c>
      <c r="W519" s="4">
        <f t="shared" si="100"/>
        <v>0</v>
      </c>
    </row>
    <row r="520" spans="4:23" ht="15" customHeight="1">
      <c r="D520" s="85" t="str">
        <f xml:space="preserve"> '2.1 Model setup'!K73</f>
        <v>1.4 Omkostninger vedrørende 132-150/30-60 kV-stationer</v>
      </c>
      <c r="K520" s="5" t="str">
        <f t="shared" si="96"/>
        <v>DKKt</v>
      </c>
      <c r="L520" s="85"/>
      <c r="O520" s="1">
        <f xml:space="preserve"> ( $N308 = '2.1 Model setup'!$K$41 ) *  $P252 * O434</f>
        <v>0</v>
      </c>
      <c r="P520" s="1">
        <f xml:space="preserve"> ( $N308 = '2.1 Model setup'!$K$41 ) *  $P252 * P434</f>
        <v>0</v>
      </c>
      <c r="Q520" s="202"/>
      <c r="R520" s="1">
        <f xml:space="preserve"> ( $N308 = '2.1 Model setup'!$K$41 ) *  $P252 * R434</f>
        <v>0</v>
      </c>
      <c r="S520" s="1">
        <f xml:space="preserve"> ( $N308 = '2.1 Model setup'!$K$41 ) *  $P252 * S434</f>
        <v>0</v>
      </c>
      <c r="T520" s="1">
        <f xml:space="preserve"> ( $N308 = '2.1 Model setup'!$K$41 ) *  $P252 * T434</f>
        <v>0</v>
      </c>
      <c r="U520" s="1">
        <f xml:space="preserve"> ( $N308 = '2.1 Model setup'!$K$41 ) *  $P252 * U434</f>
        <v>0</v>
      </c>
      <c r="V520" s="1">
        <f xml:space="preserve"> ( $N308 = '2.1 Model setup'!$K$41 ) *  $P252 * V434</f>
        <v>0</v>
      </c>
      <c r="W520" s="4">
        <f t="shared" si="100"/>
        <v>0</v>
      </c>
    </row>
    <row r="521" spans="4:23" ht="15" customHeight="1">
      <c r="D521" s="85" t="str">
        <f xml:space="preserve"> '2.1 Model setup'!K74</f>
        <v>2.1 Drift og vedligeholdelse af målere</v>
      </c>
      <c r="K521" s="5" t="str">
        <f t="shared" si="96"/>
        <v>DKKt</v>
      </c>
      <c r="L521" s="85"/>
      <c r="O521" s="1">
        <f xml:space="preserve"> ( $N309 = '2.1 Model setup'!$K$41 ) *  $P253 * O435</f>
        <v>0</v>
      </c>
      <c r="P521" s="1">
        <f xml:space="preserve"> ( $N309 = '2.1 Model setup'!$K$41 ) *  $P253 * P435</f>
        <v>0</v>
      </c>
      <c r="Q521" s="202"/>
      <c r="R521" s="1">
        <f xml:space="preserve"> ( $N309 = '2.1 Model setup'!$K$41 ) *  $P253 * R435</f>
        <v>0</v>
      </c>
      <c r="S521" s="1">
        <f xml:space="preserve"> ( $N309 = '2.1 Model setup'!$K$41 ) *  $P253 * S435</f>
        <v>0</v>
      </c>
      <c r="T521" s="1">
        <f xml:space="preserve"> ( $N309 = '2.1 Model setup'!$K$41 ) *  $P253 * T435</f>
        <v>0</v>
      </c>
      <c r="U521" s="1">
        <f xml:space="preserve"> ( $N309 = '2.1 Model setup'!$K$41 ) *  $P253 * U435</f>
        <v>0</v>
      </c>
      <c r="V521" s="1">
        <f xml:space="preserve"> ( $N309 = '2.1 Model setup'!$K$41 ) *  $P253 * V435</f>
        <v>0</v>
      </c>
      <c r="W521" s="4">
        <f t="shared" si="100"/>
        <v>0</v>
      </c>
    </row>
    <row r="522" spans="4:23" ht="15" customHeight="1">
      <c r="D522" s="85" t="str">
        <f xml:space="preserve"> '2.1 Model setup'!K75</f>
        <v>2.2 Indhentning og validering af målerdata</v>
      </c>
      <c r="K522" s="5" t="str">
        <f t="shared" si="96"/>
        <v>DKKt</v>
      </c>
      <c r="L522" s="85"/>
      <c r="O522" s="1">
        <f xml:space="preserve"> ( $N310 = '2.1 Model setup'!$K$41 ) *  $P254 * O436</f>
        <v>0</v>
      </c>
      <c r="P522" s="1">
        <f xml:space="preserve"> ( $N310 = '2.1 Model setup'!$K$41 ) *  $P254 * P436</f>
        <v>0</v>
      </c>
      <c r="Q522" s="202"/>
      <c r="R522" s="1">
        <f xml:space="preserve"> ( $N310 = '2.1 Model setup'!$K$41 ) *  $P254 * R436</f>
        <v>0</v>
      </c>
      <c r="S522" s="1">
        <f xml:space="preserve"> ( $N310 = '2.1 Model setup'!$K$41 ) *  $P254 * S436</f>
        <v>0</v>
      </c>
      <c r="T522" s="1">
        <f xml:space="preserve"> ( $N310 = '2.1 Model setup'!$K$41 ) *  $P254 * T436</f>
        <v>0</v>
      </c>
      <c r="U522" s="1">
        <f xml:space="preserve"> ( $N310 = '2.1 Model setup'!$K$41 ) *  $P254 * U436</f>
        <v>0</v>
      </c>
      <c r="V522" s="1">
        <f xml:space="preserve"> ( $N310 = '2.1 Model setup'!$K$41 ) *  $P254 * V436</f>
        <v>0</v>
      </c>
      <c r="W522" s="4">
        <f t="shared" si="100"/>
        <v>0</v>
      </c>
    </row>
    <row r="523" spans="4:23" ht="15" customHeight="1">
      <c r="D523" s="85" t="str">
        <f xml:space="preserve"> '2.1 Model setup'!K76</f>
        <v>2.3 Måleradministration og kundehåndtering</v>
      </c>
      <c r="K523" s="5" t="str">
        <f t="shared" si="96"/>
        <v>DKKt</v>
      </c>
      <c r="L523" s="85"/>
      <c r="O523" s="1">
        <f xml:space="preserve"> ( $N311 = '2.1 Model setup'!$K$41 ) *  $P255 * O437</f>
        <v>0</v>
      </c>
      <c r="P523" s="1">
        <f xml:space="preserve"> ( $N311 = '2.1 Model setup'!$K$41 ) *  $P255 * P437</f>
        <v>0</v>
      </c>
      <c r="Q523" s="202"/>
      <c r="R523" s="1">
        <f xml:space="preserve"> ( $N311 = '2.1 Model setup'!$K$41 ) *  $P255 * R437</f>
        <v>0</v>
      </c>
      <c r="S523" s="1">
        <f xml:space="preserve"> ( $N311 = '2.1 Model setup'!$K$41 ) *  $P255 * S437</f>
        <v>0</v>
      </c>
      <c r="T523" s="1">
        <f xml:space="preserve"> ( $N311 = '2.1 Model setup'!$K$41 ) *  $P255 * T437</f>
        <v>0</v>
      </c>
      <c r="U523" s="1">
        <f xml:space="preserve"> ( $N311 = '2.1 Model setup'!$K$41 ) *  $P255 * U437</f>
        <v>0</v>
      </c>
      <c r="V523" s="1">
        <f xml:space="preserve"> ( $N311 = '2.1 Model setup'!$K$41 ) *  $P255 * V437</f>
        <v>0</v>
      </c>
      <c r="W523" s="4">
        <f t="shared" si="100"/>
        <v>0</v>
      </c>
    </row>
    <row r="524" spans="4:23" ht="15" customHeight="1">
      <c r="D524" s="85" t="str">
        <f xml:space="preserve"> '2.1 Model setup'!K77</f>
        <v>3.1 Generel administration</v>
      </c>
      <c r="K524" s="5" t="str">
        <f t="shared" si="96"/>
        <v>DKKt</v>
      </c>
      <c r="L524" s="85"/>
      <c r="O524" s="1">
        <f xml:space="preserve"> ( $N312 = '2.1 Model setup'!$K$41 ) *  $P256 * O438</f>
        <v>0</v>
      </c>
      <c r="P524" s="1">
        <f xml:space="preserve"> ( $N312 = '2.1 Model setup'!$K$41 ) *  $P256 * P438</f>
        <v>0</v>
      </c>
      <c r="Q524" s="202"/>
      <c r="R524" s="1">
        <f xml:space="preserve"> ( $N312 = '2.1 Model setup'!$K$41 ) *  $P256 * R438</f>
        <v>0</v>
      </c>
      <c r="S524" s="1">
        <f xml:space="preserve"> ( $N312 = '2.1 Model setup'!$K$41 ) *  $P256 * S438</f>
        <v>0</v>
      </c>
      <c r="T524" s="1">
        <f xml:space="preserve"> ( $N312 = '2.1 Model setup'!$K$41 ) *  $P256 * T438</f>
        <v>0</v>
      </c>
      <c r="U524" s="1">
        <f xml:space="preserve"> ( $N312 = '2.1 Model setup'!$K$41 ) *  $P256 * U438</f>
        <v>0</v>
      </c>
      <c r="V524" s="1">
        <f xml:space="preserve"> ( $N312 = '2.1 Model setup'!$K$41 ) *  $P256 * V438</f>
        <v>0</v>
      </c>
      <c r="W524" s="4">
        <f t="shared" si="100"/>
        <v>0</v>
      </c>
    </row>
    <row r="525" spans="4:23" ht="15" customHeight="1">
      <c r="D525" s="85" t="str">
        <f xml:space="preserve"> '2.1 Model setup'!K78</f>
        <v>4.1 Omkostninger vedrørende nettab i transformerstationer</v>
      </c>
      <c r="K525" s="5" t="str">
        <f t="shared" si="96"/>
        <v>DKKt</v>
      </c>
      <c r="L525" s="85"/>
      <c r="O525" s="1">
        <f xml:space="preserve"> ( $N313 = '2.1 Model setup'!$K$41 ) *  $P257 * O439</f>
        <v>0</v>
      </c>
      <c r="P525" s="1">
        <f xml:space="preserve"> ( $N313 = '2.1 Model setup'!$K$41 ) *  $P257 * P439</f>
        <v>0</v>
      </c>
      <c r="Q525" s="202"/>
      <c r="R525" s="1">
        <f xml:space="preserve"> ( $N313 = '2.1 Model setup'!$K$41 ) *  $P257 * R439</f>
        <v>0</v>
      </c>
      <c r="S525" s="1">
        <f xml:space="preserve"> ( $N313 = '2.1 Model setup'!$K$41 ) *  $P257 * S439</f>
        <v>0</v>
      </c>
      <c r="T525" s="1">
        <f xml:space="preserve"> ( $N313 = '2.1 Model setup'!$K$41 ) *  $P257 * T439</f>
        <v>0</v>
      </c>
      <c r="U525" s="1">
        <f xml:space="preserve"> ( $N313 = '2.1 Model setup'!$K$41 ) *  $P257 * U439</f>
        <v>0</v>
      </c>
      <c r="V525" s="1">
        <f xml:space="preserve"> ( $N313 = '2.1 Model setup'!$K$41 ) *  $P257 * V439</f>
        <v>0</v>
      </c>
      <c r="W525" s="4">
        <f t="shared" si="100"/>
        <v>0</v>
      </c>
    </row>
    <row r="526" spans="4:23" ht="15" customHeight="1">
      <c r="D526" s="85" t="str">
        <f xml:space="preserve"> '2.1 Model setup'!K79</f>
        <v>4.2 Omkostninger vedrørende nettab i ledningsnettet</v>
      </c>
      <c r="K526" s="5" t="str">
        <f t="shared" si="96"/>
        <v>DKKt</v>
      </c>
      <c r="L526" s="85"/>
      <c r="O526" s="1">
        <f xml:space="preserve"> ( $N314 = '2.1 Model setup'!$K$41 ) *  $P258 * O440</f>
        <v>0</v>
      </c>
      <c r="P526" s="1">
        <f xml:space="preserve"> ( $N314 = '2.1 Model setup'!$K$41 ) *  $P258 * P440</f>
        <v>0</v>
      </c>
      <c r="Q526" s="202"/>
      <c r="R526" s="1">
        <f xml:space="preserve"> ( $N314 = '2.1 Model setup'!$K$41 ) *  $P258 * R440</f>
        <v>0</v>
      </c>
      <c r="S526" s="1">
        <f xml:space="preserve"> ( $N314 = '2.1 Model setup'!$K$41 ) *  $P258 * S440</f>
        <v>0</v>
      </c>
      <c r="T526" s="1">
        <f xml:space="preserve"> ( $N314 = '2.1 Model setup'!$K$41 ) *  $P258 * T440</f>
        <v>0</v>
      </c>
      <c r="U526" s="1">
        <f xml:space="preserve"> ( $N314 = '2.1 Model setup'!$K$41 ) *  $P258 * U440</f>
        <v>0</v>
      </c>
      <c r="V526" s="1">
        <f xml:space="preserve"> ( $N314 = '2.1 Model setup'!$K$41 ) *  $P258 * V440</f>
        <v>0</v>
      </c>
      <c r="W526" s="4">
        <f t="shared" si="100"/>
        <v>0</v>
      </c>
    </row>
    <row r="527" spans="4:23" ht="15" customHeight="1">
      <c r="D527" s="85" t="str">
        <f xml:space="preserve"> '2.1 Model setup'!K88</f>
        <v>5.1 Omkostninger til overliggende net ifm. indfødning</v>
      </c>
      <c r="K527" s="5" t="str">
        <f t="shared" si="96"/>
        <v>DKKt</v>
      </c>
      <c r="L527" s="85"/>
      <c r="O527" s="1">
        <f xml:space="preserve"> ( $N315 = '2.1 Model setup'!$K$41 ) *  $P259 * O441</f>
        <v>0</v>
      </c>
      <c r="P527" s="1">
        <f xml:space="preserve"> ( $N315 = '2.1 Model setup'!$K$41 ) *  $P259 * P441</f>
        <v>0</v>
      </c>
      <c r="Q527" s="202"/>
      <c r="R527" s="1">
        <f xml:space="preserve"> ( $N315 = '2.1 Model setup'!$K$41 ) *  $P259 * R441</f>
        <v>0</v>
      </c>
      <c r="S527" s="1">
        <f xml:space="preserve"> ( $N315 = '2.1 Model setup'!$K$41 ) *  $P259 * S441</f>
        <v>0</v>
      </c>
      <c r="T527" s="1">
        <f xml:space="preserve"> ( $N315 = '2.1 Model setup'!$K$41 ) *  $P259 * T441</f>
        <v>0</v>
      </c>
      <c r="U527" s="1">
        <f xml:space="preserve"> ( $N315 = '2.1 Model setup'!$K$41 ) *  $P259 * U441</f>
        <v>0</v>
      </c>
      <c r="V527" s="1">
        <f xml:space="preserve"> ( $N315 = '2.1 Model setup'!$K$41 ) *  $P259 * V441</f>
        <v>0</v>
      </c>
      <c r="W527" s="4">
        <f t="shared" si="100"/>
        <v>0</v>
      </c>
    </row>
    <row r="528" spans="4:23" ht="15" customHeight="1">
      <c r="D528" s="85" t="str">
        <f xml:space="preserve"> '2.1 Model setup'!K81</f>
        <v>5.2 Øvrige omkostninger</v>
      </c>
      <c r="K528" s="5" t="str">
        <f t="shared" si="96"/>
        <v>DKKt</v>
      </c>
      <c r="L528" s="85"/>
      <c r="O528" s="1">
        <f xml:space="preserve"> ( $N316 = '2.1 Model setup'!$K$41 ) *  $P260 * O442</f>
        <v>0</v>
      </c>
      <c r="P528" s="1">
        <f xml:space="preserve"> ( $N316 = '2.1 Model setup'!$K$41 ) *  $P260 * P442</f>
        <v>0</v>
      </c>
      <c r="Q528" s="202"/>
      <c r="R528" s="1">
        <f xml:space="preserve"> ( $N316 = '2.1 Model setup'!$K$41 ) *  $P260 * R442</f>
        <v>0</v>
      </c>
      <c r="S528" s="1">
        <f xml:space="preserve"> ( $N316 = '2.1 Model setup'!$K$41 ) *  $P260 * S442</f>
        <v>0</v>
      </c>
      <c r="T528" s="1">
        <f xml:space="preserve"> ( $N316 = '2.1 Model setup'!$K$41 ) *  $P260 * T442</f>
        <v>0</v>
      </c>
      <c r="U528" s="1">
        <f xml:space="preserve"> ( $N316 = '2.1 Model setup'!$K$41 ) *  $P260 * U442</f>
        <v>0</v>
      </c>
      <c r="V528" s="1">
        <f xml:space="preserve"> ( $N316 = '2.1 Model setup'!$K$41 ) *  $P260 * V442</f>
        <v>0</v>
      </c>
      <c r="W528" s="4">
        <f t="shared" si="100"/>
        <v>0</v>
      </c>
    </row>
    <row r="529" spans="4:23" ht="15" customHeight="1">
      <c r="D529" s="85" t="str">
        <f xml:space="preserve"> '2.1 Model setup'!K82</f>
        <v>6.1 Afskrivninger på transformerstationer</v>
      </c>
      <c r="K529" s="5" t="str">
        <f t="shared" si="96"/>
        <v>DKKt</v>
      </c>
      <c r="L529" s="85"/>
      <c r="O529" s="1">
        <f xml:space="preserve"> ( $N317 = '2.1 Model setup'!$K$41 ) *  $P261 * O443</f>
        <v>0</v>
      </c>
      <c r="P529" s="1">
        <f xml:space="preserve"> ( $N317 = '2.1 Model setup'!$K$41 ) *  $P261 * P443</f>
        <v>0</v>
      </c>
      <c r="Q529" s="202"/>
      <c r="R529" s="1">
        <f xml:space="preserve"> ( $N317 = '2.1 Model setup'!$K$41 ) *  $P261 * R443</f>
        <v>0</v>
      </c>
      <c r="S529" s="1">
        <f xml:space="preserve"> ( $N317 = '2.1 Model setup'!$K$41 ) *  $P261 * S443</f>
        <v>0</v>
      </c>
      <c r="T529" s="1">
        <f xml:space="preserve"> ( $N317 = '2.1 Model setup'!$K$41 ) *  $P261 * T443</f>
        <v>0</v>
      </c>
      <c r="U529" s="1">
        <f xml:space="preserve"> ( $N317 = '2.1 Model setup'!$K$41 ) *  $P261 * U443</f>
        <v>0</v>
      </c>
      <c r="V529" s="1">
        <f xml:space="preserve"> ( $N317 = '2.1 Model setup'!$K$41 ) *  $P261 * V443</f>
        <v>0</v>
      </c>
      <c r="W529" s="4">
        <f t="shared" si="100"/>
        <v>0</v>
      </c>
    </row>
    <row r="530" spans="4:23" ht="15" customHeight="1">
      <c r="D530" s="85" t="str">
        <f xml:space="preserve"> '2.1 Model setup'!K83</f>
        <v>6.2 Afskrivninger på netaktiver ekskl. målere og transformerstationer</v>
      </c>
      <c r="K530" s="5" t="str">
        <f t="shared" si="96"/>
        <v>DKKt</v>
      </c>
      <c r="L530" s="85"/>
      <c r="O530" s="1">
        <f xml:space="preserve"> ( $N318 = '2.1 Model setup'!$K$41 ) *  $P262 * O444</f>
        <v>0</v>
      </c>
      <c r="P530" s="1">
        <f xml:space="preserve"> ( $N318 = '2.1 Model setup'!$K$41 ) *  $P262 * P444</f>
        <v>0</v>
      </c>
      <c r="Q530" s="202"/>
      <c r="R530" s="1">
        <f xml:space="preserve"> ( $N318 = '2.1 Model setup'!$K$41 ) *  $P262 * R444</f>
        <v>0</v>
      </c>
      <c r="S530" s="1">
        <f xml:space="preserve"> ( $N318 = '2.1 Model setup'!$K$41 ) *  $P262 * S444</f>
        <v>0</v>
      </c>
      <c r="T530" s="1">
        <f xml:space="preserve"> ( $N318 = '2.1 Model setup'!$K$41 ) *  $P262 * T444</f>
        <v>0</v>
      </c>
      <c r="U530" s="1">
        <f xml:space="preserve"> ( $N318 = '2.1 Model setup'!$K$41 ) *  $P262 * U444</f>
        <v>0</v>
      </c>
      <c r="V530" s="1">
        <f xml:space="preserve"> ( $N318 = '2.1 Model setup'!$K$41 ) *  $P262 * V444</f>
        <v>0</v>
      </c>
      <c r="W530" s="4">
        <f t="shared" si="100"/>
        <v>0</v>
      </c>
    </row>
    <row r="531" spans="4:23" ht="15" customHeight="1">
      <c r="D531" s="99" t="str">
        <f xml:space="preserve"> '2.1 Model setup'!K84</f>
        <v>6.3 Afskrivninger på målere</v>
      </c>
      <c r="E531" s="27"/>
      <c r="F531" s="27"/>
      <c r="G531" s="27"/>
      <c r="H531" s="27"/>
      <c r="I531" s="27"/>
      <c r="J531" s="27"/>
      <c r="K531" s="32" t="str">
        <f t="shared" si="96"/>
        <v>DKKt</v>
      </c>
      <c r="L531" s="99"/>
      <c r="M531" s="27"/>
      <c r="N531" s="27"/>
      <c r="O531" s="27">
        <f xml:space="preserve"> ( $N319 = '2.1 Model setup'!$K$41 ) *  $P263 * O445</f>
        <v>0</v>
      </c>
      <c r="P531" s="27">
        <f xml:space="preserve"> ( $N319 = '2.1 Model setup'!$K$41 ) *  $P263 * P445</f>
        <v>0</v>
      </c>
      <c r="Q531" s="269"/>
      <c r="R531" s="27">
        <f xml:space="preserve"> ( $N319 = '2.1 Model setup'!$K$41 ) *  $P263 * R445</f>
        <v>0</v>
      </c>
      <c r="S531" s="27">
        <f xml:space="preserve"> ( $N319 = '2.1 Model setup'!$K$41 ) *  $P263 * S445</f>
        <v>0</v>
      </c>
      <c r="T531" s="27">
        <f xml:space="preserve"> ( $N319 = '2.1 Model setup'!$K$41 ) *  $P263 * T445</f>
        <v>0</v>
      </c>
      <c r="U531" s="27">
        <f xml:space="preserve"> ( $N319 = '2.1 Model setup'!$K$41 ) *  $P263 * U445</f>
        <v>0</v>
      </c>
      <c r="V531" s="27">
        <f xml:space="preserve"> ( $N319 = '2.1 Model setup'!$K$41 ) *  $P263 * V445</f>
        <v>0</v>
      </c>
      <c r="W531" s="35">
        <f t="shared" si="100"/>
        <v>0</v>
      </c>
    </row>
    <row r="532" spans="4:23" ht="15" customHeight="1">
      <c r="D532" s="105" t="s">
        <v>16</v>
      </c>
      <c r="E532" s="186"/>
      <c r="F532" s="186"/>
      <c r="G532" s="186"/>
      <c r="H532" s="186"/>
      <c r="I532" s="186"/>
      <c r="J532" s="186"/>
      <c r="K532" s="187" t="str">
        <f t="shared" si="96"/>
        <v>DKKt</v>
      </c>
      <c r="L532" s="105"/>
      <c r="M532" s="186"/>
      <c r="N532" s="186"/>
      <c r="O532" s="186">
        <f xml:space="preserve"> SUM( O517:O531 )</f>
        <v>0</v>
      </c>
      <c r="P532" s="186">
        <f xml:space="preserve"> SUM( P517:P531 )</f>
        <v>0</v>
      </c>
      <c r="Q532" s="388"/>
      <c r="R532" s="186">
        <f t="shared" ref="R532" si="101" xml:space="preserve"> SUM( R517:R531 )</f>
        <v>0</v>
      </c>
      <c r="S532" s="186">
        <f t="shared" ref="S532" si="102" xml:space="preserve"> SUM( S517:S531 )</f>
        <v>0</v>
      </c>
      <c r="T532" s="186">
        <f t="shared" ref="T532" si="103" xml:space="preserve"> SUM( T517:T531 )</f>
        <v>0</v>
      </c>
      <c r="U532" s="186">
        <f t="shared" ref="U532" si="104" xml:space="preserve"> SUM( U517:U531 )</f>
        <v>0</v>
      </c>
      <c r="V532" s="186">
        <f t="shared" ref="V532" si="105" xml:space="preserve"> SUM( V517:V531 )</f>
        <v>0</v>
      </c>
      <c r="W532" s="186">
        <f t="shared" ref="W532" si="106" xml:space="preserve"> SUM( W517:W531 )</f>
        <v>0</v>
      </c>
    </row>
    <row r="534" spans="4:23" ht="15" customHeight="1">
      <c r="D534" s="35" t="s">
        <v>594</v>
      </c>
      <c r="E534" s="27"/>
      <c r="F534" s="27"/>
      <c r="G534" s="27"/>
      <c r="H534" s="27"/>
      <c r="I534" s="27"/>
      <c r="J534" s="27"/>
      <c r="K534" s="32"/>
      <c r="L534" s="27"/>
      <c r="M534" s="27"/>
      <c r="N534" s="27"/>
      <c r="O534" s="27"/>
      <c r="P534" s="27"/>
      <c r="Q534" s="27"/>
      <c r="R534" s="27"/>
      <c r="S534" s="27"/>
      <c r="T534" s="27"/>
      <c r="U534" s="27"/>
      <c r="V534" s="27"/>
      <c r="W534" s="185" t="s">
        <v>16</v>
      </c>
    </row>
    <row r="535" spans="4:23" ht="15" customHeight="1">
      <c r="D535" s="123" t="str">
        <f xml:space="preserve"> '2.1 Model setup'!K70</f>
        <v>1.1 Drift og vedligeholdelse af transformerstationer</v>
      </c>
      <c r="E535" s="15"/>
      <c r="F535" s="15"/>
      <c r="G535" s="15"/>
      <c r="H535" s="15"/>
      <c r="I535" s="15"/>
      <c r="J535" s="15"/>
      <c r="K535" s="19" t="str">
        <f t="shared" ref="K535:K550" si="107" xml:space="preserve"> Model.Units</f>
        <v>DKKt</v>
      </c>
      <c r="L535" s="123"/>
      <c r="M535" s="15"/>
      <c r="N535" s="15"/>
      <c r="O535" s="15">
        <f xml:space="preserve"> ( $N305 = '2.1 Model setup'!$K$41 ) *  $R249 * O448</f>
        <v>0</v>
      </c>
      <c r="P535" s="15">
        <f xml:space="preserve"> ( $N305 = '2.1 Model setup'!$K$41 ) *  $R249 * P448</f>
        <v>0</v>
      </c>
      <c r="Q535" s="274"/>
      <c r="R535" s="15">
        <f xml:space="preserve"> ( $N305 = '2.1 Model setup'!$K$41 ) *  $R249 * R448</f>
        <v>0</v>
      </c>
      <c r="S535" s="15">
        <f xml:space="preserve"> ( $N305 = '2.1 Model setup'!$K$41 ) *  $R249 * S448</f>
        <v>0</v>
      </c>
      <c r="T535" s="15">
        <f xml:space="preserve"> ( $N305 = '2.1 Model setup'!$K$41 ) *  $R249 * T448</f>
        <v>0</v>
      </c>
      <c r="U535" s="15">
        <f xml:space="preserve"> ( $N305 = '2.1 Model setup'!$K$41 ) *  $R249 * U448</f>
        <v>0</v>
      </c>
      <c r="V535" s="15">
        <f xml:space="preserve"> ( $N305 = '2.1 Model setup'!$K$41 ) *  $R249 * V448</f>
        <v>0</v>
      </c>
      <c r="W535" s="18">
        <f xml:space="preserve"> SUM( O535:V535 )</f>
        <v>0</v>
      </c>
    </row>
    <row r="536" spans="4:23" ht="15" customHeight="1">
      <c r="D536" s="85" t="str">
        <f xml:space="preserve"> '2.1 Model setup'!K71</f>
        <v>1.2 Drift og vedligeholdelse af ledningsnet</v>
      </c>
      <c r="K536" s="5" t="str">
        <f t="shared" si="107"/>
        <v>DKKt</v>
      </c>
      <c r="L536" s="85"/>
      <c r="O536" s="1">
        <f xml:space="preserve"> ( $N306 = '2.1 Model setup'!$K$41 ) *  $R250 * O449</f>
        <v>0</v>
      </c>
      <c r="P536" s="1">
        <f xml:space="preserve"> ( $N306 = '2.1 Model setup'!$K$41 ) *  $R250 * P449</f>
        <v>0</v>
      </c>
      <c r="Q536" s="202"/>
      <c r="R536" s="1">
        <f xml:space="preserve"> ( $N306 = '2.1 Model setup'!$K$41 ) *  $R250 * R449</f>
        <v>0</v>
      </c>
      <c r="S536" s="1">
        <f xml:space="preserve"> ( $N306 = '2.1 Model setup'!$K$41 ) *  $R250 * S449</f>
        <v>0</v>
      </c>
      <c r="T536" s="1">
        <f xml:space="preserve"> ( $N306 = '2.1 Model setup'!$K$41 ) *  $R250 * T449</f>
        <v>0</v>
      </c>
      <c r="U536" s="1">
        <f xml:space="preserve"> ( $N306 = '2.1 Model setup'!$K$41 ) *  $R250 * U449</f>
        <v>0</v>
      </c>
      <c r="V536" s="1">
        <f xml:space="preserve"> ( $N306 = '2.1 Model setup'!$K$41 ) *  $R250 * V449</f>
        <v>0</v>
      </c>
      <c r="W536" s="4">
        <f t="shared" ref="W536:W549" si="108" xml:space="preserve"> SUM( O536:V536 )</f>
        <v>0</v>
      </c>
    </row>
    <row r="537" spans="4:23" ht="15" customHeight="1">
      <c r="D537" s="85" t="str">
        <f xml:space="preserve"> '2.1 Model setup'!K72</f>
        <v>1.3 Øvrige omkostninger til drift, styring og kontrol af elnettet</v>
      </c>
      <c r="K537" s="5" t="str">
        <f t="shared" si="107"/>
        <v>DKKt</v>
      </c>
      <c r="L537" s="85"/>
      <c r="O537" s="1">
        <f xml:space="preserve"> ( $N307 = '2.1 Model setup'!$K$41 ) *  $R251 * O450</f>
        <v>0</v>
      </c>
      <c r="P537" s="1">
        <f xml:space="preserve"> ( $N307 = '2.1 Model setup'!$K$41 ) *  $R251 * P450</f>
        <v>0</v>
      </c>
      <c r="Q537" s="202"/>
      <c r="R537" s="1">
        <f xml:space="preserve"> ( $N307 = '2.1 Model setup'!$K$41 ) *  $R251 * R450</f>
        <v>0</v>
      </c>
      <c r="S537" s="1">
        <f xml:space="preserve"> ( $N307 = '2.1 Model setup'!$K$41 ) *  $R251 * S450</f>
        <v>0</v>
      </c>
      <c r="T537" s="1">
        <f xml:space="preserve"> ( $N307 = '2.1 Model setup'!$K$41 ) *  $R251 * T450</f>
        <v>0</v>
      </c>
      <c r="U537" s="1">
        <f xml:space="preserve"> ( $N307 = '2.1 Model setup'!$K$41 ) *  $R251 * U450</f>
        <v>0</v>
      </c>
      <c r="V537" s="1">
        <f xml:space="preserve"> ( $N307 = '2.1 Model setup'!$K$41 ) *  $R251 * V450</f>
        <v>0</v>
      </c>
      <c r="W537" s="4">
        <f t="shared" si="108"/>
        <v>0</v>
      </c>
    </row>
    <row r="538" spans="4:23" ht="15" customHeight="1">
      <c r="D538" s="85" t="str">
        <f xml:space="preserve"> '2.1 Model setup'!K73</f>
        <v>1.4 Omkostninger vedrørende 132-150/30-60 kV-stationer</v>
      </c>
      <c r="K538" s="5" t="str">
        <f t="shared" si="107"/>
        <v>DKKt</v>
      </c>
      <c r="L538" s="85"/>
      <c r="O538" s="1">
        <f xml:space="preserve"> ( $N308 = '2.1 Model setup'!$K$41 ) *  $R252 * O451</f>
        <v>0</v>
      </c>
      <c r="P538" s="1">
        <f xml:space="preserve"> ( $N308 = '2.1 Model setup'!$K$41 ) *  $R252 * P451</f>
        <v>0</v>
      </c>
      <c r="Q538" s="202"/>
      <c r="R538" s="1">
        <f xml:space="preserve"> ( $N308 = '2.1 Model setup'!$K$41 ) *  $R252 * R451</f>
        <v>0</v>
      </c>
      <c r="S538" s="1">
        <f xml:space="preserve"> ( $N308 = '2.1 Model setup'!$K$41 ) *  $R252 * S451</f>
        <v>0</v>
      </c>
      <c r="T538" s="1">
        <f xml:space="preserve"> ( $N308 = '2.1 Model setup'!$K$41 ) *  $R252 * T451</f>
        <v>0</v>
      </c>
      <c r="U538" s="1">
        <f xml:space="preserve"> ( $N308 = '2.1 Model setup'!$K$41 ) *  $R252 * U451</f>
        <v>0</v>
      </c>
      <c r="V538" s="1">
        <f xml:space="preserve"> ( $N308 = '2.1 Model setup'!$K$41 ) *  $R252 * V451</f>
        <v>0</v>
      </c>
      <c r="W538" s="4">
        <f t="shared" si="108"/>
        <v>0</v>
      </c>
    </row>
    <row r="539" spans="4:23" ht="15" customHeight="1">
      <c r="D539" s="85" t="str">
        <f xml:space="preserve"> '2.1 Model setup'!K74</f>
        <v>2.1 Drift og vedligeholdelse af målere</v>
      </c>
      <c r="K539" s="5" t="str">
        <f t="shared" si="107"/>
        <v>DKKt</v>
      </c>
      <c r="L539" s="85"/>
      <c r="O539" s="1">
        <f xml:space="preserve"> ( $N309 = '2.1 Model setup'!$K$41 ) *  $R253 * O452</f>
        <v>0</v>
      </c>
      <c r="P539" s="1">
        <f xml:space="preserve"> ( $N309 = '2.1 Model setup'!$K$41 ) *  $R253 * P452</f>
        <v>0</v>
      </c>
      <c r="Q539" s="202"/>
      <c r="R539" s="1">
        <f xml:space="preserve"> ( $N309 = '2.1 Model setup'!$K$41 ) *  $R253 * R452</f>
        <v>0</v>
      </c>
      <c r="S539" s="1">
        <f xml:space="preserve"> ( $N309 = '2.1 Model setup'!$K$41 ) *  $R253 * S452</f>
        <v>0</v>
      </c>
      <c r="T539" s="1">
        <f xml:space="preserve"> ( $N309 = '2.1 Model setup'!$K$41 ) *  $R253 * T452</f>
        <v>0</v>
      </c>
      <c r="U539" s="1">
        <f xml:space="preserve"> ( $N309 = '2.1 Model setup'!$K$41 ) *  $R253 * U452</f>
        <v>0</v>
      </c>
      <c r="V539" s="1">
        <f xml:space="preserve"> ( $N309 = '2.1 Model setup'!$K$41 ) *  $R253 * V452</f>
        <v>0</v>
      </c>
      <c r="W539" s="4">
        <f t="shared" si="108"/>
        <v>0</v>
      </c>
    </row>
    <row r="540" spans="4:23" ht="15" customHeight="1">
      <c r="D540" s="85" t="str">
        <f xml:space="preserve"> '2.1 Model setup'!K75</f>
        <v>2.2 Indhentning og validering af målerdata</v>
      </c>
      <c r="K540" s="5" t="str">
        <f t="shared" si="107"/>
        <v>DKKt</v>
      </c>
      <c r="L540" s="85"/>
      <c r="O540" s="1">
        <f xml:space="preserve"> ( $N310 = '2.1 Model setup'!$K$41 ) *  $R254 * O453</f>
        <v>0</v>
      </c>
      <c r="P540" s="1">
        <f xml:space="preserve"> ( $N310 = '2.1 Model setup'!$K$41 ) *  $R254 * P453</f>
        <v>0</v>
      </c>
      <c r="Q540" s="202"/>
      <c r="R540" s="1">
        <f xml:space="preserve"> ( $N310 = '2.1 Model setup'!$K$41 ) *  $R254 * R453</f>
        <v>0</v>
      </c>
      <c r="S540" s="1">
        <f xml:space="preserve"> ( $N310 = '2.1 Model setup'!$K$41 ) *  $R254 * S453</f>
        <v>0</v>
      </c>
      <c r="T540" s="1">
        <f xml:space="preserve"> ( $N310 = '2.1 Model setup'!$K$41 ) *  $R254 * T453</f>
        <v>0</v>
      </c>
      <c r="U540" s="1">
        <f xml:space="preserve"> ( $N310 = '2.1 Model setup'!$K$41 ) *  $R254 * U453</f>
        <v>0</v>
      </c>
      <c r="V540" s="1">
        <f xml:space="preserve"> ( $N310 = '2.1 Model setup'!$K$41 ) *  $R254 * V453</f>
        <v>0</v>
      </c>
      <c r="W540" s="4">
        <f t="shared" si="108"/>
        <v>0</v>
      </c>
    </row>
    <row r="541" spans="4:23" ht="15" customHeight="1">
      <c r="D541" s="85" t="str">
        <f xml:space="preserve"> '2.1 Model setup'!K76</f>
        <v>2.3 Måleradministration og kundehåndtering</v>
      </c>
      <c r="K541" s="5" t="str">
        <f t="shared" si="107"/>
        <v>DKKt</v>
      </c>
      <c r="L541" s="85"/>
      <c r="O541" s="1">
        <f xml:space="preserve"> ( $N311 = '2.1 Model setup'!$K$41 ) *  $R255 * O454</f>
        <v>0</v>
      </c>
      <c r="P541" s="1">
        <f xml:space="preserve"> ( $N311 = '2.1 Model setup'!$K$41 ) *  $R255 * P454</f>
        <v>0</v>
      </c>
      <c r="Q541" s="202"/>
      <c r="R541" s="1">
        <f xml:space="preserve"> ( $N311 = '2.1 Model setup'!$K$41 ) *  $R255 * R454</f>
        <v>0</v>
      </c>
      <c r="S541" s="1">
        <f xml:space="preserve"> ( $N311 = '2.1 Model setup'!$K$41 ) *  $R255 * S454</f>
        <v>0</v>
      </c>
      <c r="T541" s="1">
        <f xml:space="preserve"> ( $N311 = '2.1 Model setup'!$K$41 ) *  $R255 * T454</f>
        <v>0</v>
      </c>
      <c r="U541" s="1">
        <f xml:space="preserve"> ( $N311 = '2.1 Model setup'!$K$41 ) *  $R255 * U454</f>
        <v>0</v>
      </c>
      <c r="V541" s="1">
        <f xml:space="preserve"> ( $N311 = '2.1 Model setup'!$K$41 ) *  $R255 * V454</f>
        <v>0</v>
      </c>
      <c r="W541" s="4">
        <f t="shared" si="108"/>
        <v>0</v>
      </c>
    </row>
    <row r="542" spans="4:23" ht="15" customHeight="1">
      <c r="D542" s="85" t="str">
        <f xml:space="preserve"> '2.1 Model setup'!K77</f>
        <v>3.1 Generel administration</v>
      </c>
      <c r="K542" s="5" t="str">
        <f t="shared" si="107"/>
        <v>DKKt</v>
      </c>
      <c r="L542" s="85"/>
      <c r="O542" s="1">
        <f xml:space="preserve"> ( $N312 = '2.1 Model setup'!$K$41 ) *  $R256 * O455</f>
        <v>0</v>
      </c>
      <c r="P542" s="1">
        <f xml:space="preserve"> ( $N312 = '2.1 Model setup'!$K$41 ) *  $R256 * P455</f>
        <v>0</v>
      </c>
      <c r="Q542" s="202"/>
      <c r="R542" s="1">
        <f xml:space="preserve"> ( $N312 = '2.1 Model setup'!$K$41 ) *  $R256 * R455</f>
        <v>0</v>
      </c>
      <c r="S542" s="1">
        <f xml:space="preserve"> ( $N312 = '2.1 Model setup'!$K$41 ) *  $R256 * S455</f>
        <v>0</v>
      </c>
      <c r="T542" s="1">
        <f xml:space="preserve"> ( $N312 = '2.1 Model setup'!$K$41 ) *  $R256 * T455</f>
        <v>0</v>
      </c>
      <c r="U542" s="1">
        <f xml:space="preserve"> ( $N312 = '2.1 Model setup'!$K$41 ) *  $R256 * U455</f>
        <v>0</v>
      </c>
      <c r="V542" s="1">
        <f xml:space="preserve"> ( $N312 = '2.1 Model setup'!$K$41 ) *  $R256 * V455</f>
        <v>0</v>
      </c>
      <c r="W542" s="4">
        <f t="shared" si="108"/>
        <v>0</v>
      </c>
    </row>
    <row r="543" spans="4:23" ht="15" customHeight="1">
      <c r="D543" s="85" t="str">
        <f xml:space="preserve"> '2.1 Model setup'!K78</f>
        <v>4.1 Omkostninger vedrørende nettab i transformerstationer</v>
      </c>
      <c r="K543" s="5" t="str">
        <f t="shared" si="107"/>
        <v>DKKt</v>
      </c>
      <c r="L543" s="85"/>
      <c r="O543" s="1">
        <f xml:space="preserve"> ( $N313 = '2.1 Model setup'!$K$41 ) *  $R257 * O456</f>
        <v>0</v>
      </c>
      <c r="P543" s="1">
        <f xml:space="preserve"> ( $N313 = '2.1 Model setup'!$K$41 ) *  $R257 * P456</f>
        <v>0</v>
      </c>
      <c r="Q543" s="202"/>
      <c r="R543" s="1">
        <f xml:space="preserve"> ( $N313 = '2.1 Model setup'!$K$41 ) *  $R257 * R456</f>
        <v>0</v>
      </c>
      <c r="S543" s="1">
        <f xml:space="preserve"> ( $N313 = '2.1 Model setup'!$K$41 ) *  $R257 * S456</f>
        <v>0</v>
      </c>
      <c r="T543" s="1">
        <f xml:space="preserve"> ( $N313 = '2.1 Model setup'!$K$41 ) *  $R257 * T456</f>
        <v>0</v>
      </c>
      <c r="U543" s="1">
        <f xml:space="preserve"> ( $N313 = '2.1 Model setup'!$K$41 ) *  $R257 * U456</f>
        <v>0</v>
      </c>
      <c r="V543" s="1">
        <f xml:space="preserve"> ( $N313 = '2.1 Model setup'!$K$41 ) *  $R257 * V456</f>
        <v>0</v>
      </c>
      <c r="W543" s="4">
        <f t="shared" si="108"/>
        <v>0</v>
      </c>
    </row>
    <row r="544" spans="4:23" ht="15" customHeight="1">
      <c r="D544" s="85" t="str">
        <f xml:space="preserve"> '2.1 Model setup'!K79</f>
        <v>4.2 Omkostninger vedrørende nettab i ledningsnettet</v>
      </c>
      <c r="K544" s="5" t="str">
        <f t="shared" si="107"/>
        <v>DKKt</v>
      </c>
      <c r="L544" s="85"/>
      <c r="O544" s="1">
        <f xml:space="preserve"> ( $N314 = '2.1 Model setup'!$K$41 ) *  $R258 * O457</f>
        <v>0</v>
      </c>
      <c r="P544" s="1">
        <f xml:space="preserve"> ( $N314 = '2.1 Model setup'!$K$41 ) *  $R258 * P457</f>
        <v>0</v>
      </c>
      <c r="Q544" s="202"/>
      <c r="R544" s="1">
        <f xml:space="preserve"> ( $N314 = '2.1 Model setup'!$K$41 ) *  $R258 * R457</f>
        <v>0</v>
      </c>
      <c r="S544" s="1">
        <f xml:space="preserve"> ( $N314 = '2.1 Model setup'!$K$41 ) *  $R258 * S457</f>
        <v>0</v>
      </c>
      <c r="T544" s="1">
        <f xml:space="preserve"> ( $N314 = '2.1 Model setup'!$K$41 ) *  $R258 * T457</f>
        <v>0</v>
      </c>
      <c r="U544" s="1">
        <f xml:space="preserve"> ( $N314 = '2.1 Model setup'!$K$41 ) *  $R258 * U457</f>
        <v>0</v>
      </c>
      <c r="V544" s="1">
        <f xml:space="preserve"> ( $N314 = '2.1 Model setup'!$K$41 ) *  $R258 * V457</f>
        <v>0</v>
      </c>
      <c r="W544" s="4">
        <f t="shared" si="108"/>
        <v>0</v>
      </c>
    </row>
    <row r="545" spans="4:23" ht="15" customHeight="1">
      <c r="D545" s="85" t="str">
        <f xml:space="preserve"> '2.1 Model setup'!K88</f>
        <v>5.1 Omkostninger til overliggende net ifm. indfødning</v>
      </c>
      <c r="K545" s="5" t="str">
        <f t="shared" si="107"/>
        <v>DKKt</v>
      </c>
      <c r="L545" s="85"/>
      <c r="O545" s="1">
        <f xml:space="preserve"> ( $N315 = '2.1 Model setup'!$K$41 ) *  $R259 * O458</f>
        <v>0</v>
      </c>
      <c r="P545" s="1">
        <f xml:space="preserve"> ( $N315 = '2.1 Model setup'!$K$41 ) *  $R259 * P458</f>
        <v>0</v>
      </c>
      <c r="Q545" s="202"/>
      <c r="R545" s="1">
        <f xml:space="preserve"> ( $N315 = '2.1 Model setup'!$K$41 ) *  $R259 * R458</f>
        <v>0</v>
      </c>
      <c r="S545" s="1">
        <f xml:space="preserve"> ( $N315 = '2.1 Model setup'!$K$41 ) *  $R259 * S458</f>
        <v>0</v>
      </c>
      <c r="T545" s="1">
        <f xml:space="preserve"> ( $N315 = '2.1 Model setup'!$K$41 ) *  $R259 * T458</f>
        <v>0</v>
      </c>
      <c r="U545" s="1">
        <f xml:space="preserve"> ( $N315 = '2.1 Model setup'!$K$41 ) *  $R259 * U458</f>
        <v>0</v>
      </c>
      <c r="V545" s="1">
        <f xml:space="preserve"> ( $N315 = '2.1 Model setup'!$K$41 ) *  $R259 * V458</f>
        <v>0</v>
      </c>
      <c r="W545" s="4">
        <f t="shared" si="108"/>
        <v>0</v>
      </c>
    </row>
    <row r="546" spans="4:23" ht="15" customHeight="1">
      <c r="D546" s="85" t="str">
        <f xml:space="preserve"> '2.1 Model setup'!K81</f>
        <v>5.2 Øvrige omkostninger</v>
      </c>
      <c r="K546" s="5" t="str">
        <f t="shared" si="107"/>
        <v>DKKt</v>
      </c>
      <c r="L546" s="85"/>
      <c r="O546" s="1">
        <f xml:space="preserve"> ( $N316 = '2.1 Model setup'!$K$41 ) *  $R260 * O459</f>
        <v>0</v>
      </c>
      <c r="P546" s="1">
        <f xml:space="preserve"> ( $N316 = '2.1 Model setup'!$K$41 ) *  $R260 * P459</f>
        <v>0</v>
      </c>
      <c r="Q546" s="202"/>
      <c r="R546" s="1">
        <f xml:space="preserve"> ( $N316 = '2.1 Model setup'!$K$41 ) *  $R260 * R459</f>
        <v>0</v>
      </c>
      <c r="S546" s="1">
        <f xml:space="preserve"> ( $N316 = '2.1 Model setup'!$K$41 ) *  $R260 * S459</f>
        <v>0</v>
      </c>
      <c r="T546" s="1">
        <f xml:space="preserve"> ( $N316 = '2.1 Model setup'!$K$41 ) *  $R260 * T459</f>
        <v>0</v>
      </c>
      <c r="U546" s="1">
        <f xml:space="preserve"> ( $N316 = '2.1 Model setup'!$K$41 ) *  $R260 * U459</f>
        <v>0</v>
      </c>
      <c r="V546" s="1">
        <f xml:space="preserve"> ( $N316 = '2.1 Model setup'!$K$41 ) *  $R260 * V459</f>
        <v>0</v>
      </c>
      <c r="W546" s="4">
        <f t="shared" si="108"/>
        <v>0</v>
      </c>
    </row>
    <row r="547" spans="4:23" ht="15" customHeight="1">
      <c r="D547" s="85" t="str">
        <f xml:space="preserve"> '2.1 Model setup'!K82</f>
        <v>6.1 Afskrivninger på transformerstationer</v>
      </c>
      <c r="K547" s="5" t="str">
        <f t="shared" si="107"/>
        <v>DKKt</v>
      </c>
      <c r="L547" s="85"/>
      <c r="O547" s="1">
        <f xml:space="preserve"> ( $N317 = '2.1 Model setup'!$K$41 ) *  $R261 * O460</f>
        <v>0</v>
      </c>
      <c r="P547" s="1">
        <f xml:space="preserve"> ( $N317 = '2.1 Model setup'!$K$41 ) *  $R261 * P460</f>
        <v>0</v>
      </c>
      <c r="Q547" s="202"/>
      <c r="R547" s="1">
        <f xml:space="preserve"> ( $N317 = '2.1 Model setup'!$K$41 ) *  $R261 * R460</f>
        <v>0</v>
      </c>
      <c r="S547" s="1">
        <f xml:space="preserve"> ( $N317 = '2.1 Model setup'!$K$41 ) *  $R261 * S460</f>
        <v>0</v>
      </c>
      <c r="T547" s="1">
        <f xml:space="preserve"> ( $N317 = '2.1 Model setup'!$K$41 ) *  $R261 * T460</f>
        <v>0</v>
      </c>
      <c r="U547" s="1">
        <f xml:space="preserve"> ( $N317 = '2.1 Model setup'!$K$41 ) *  $R261 * U460</f>
        <v>0</v>
      </c>
      <c r="V547" s="1">
        <f xml:space="preserve"> ( $N317 = '2.1 Model setup'!$K$41 ) *  $R261 * V460</f>
        <v>0</v>
      </c>
      <c r="W547" s="4">
        <f t="shared" si="108"/>
        <v>0</v>
      </c>
    </row>
    <row r="548" spans="4:23" ht="15" customHeight="1">
      <c r="D548" s="85" t="str">
        <f xml:space="preserve"> '2.1 Model setup'!K83</f>
        <v>6.2 Afskrivninger på netaktiver ekskl. målere og transformerstationer</v>
      </c>
      <c r="K548" s="5" t="str">
        <f t="shared" si="107"/>
        <v>DKKt</v>
      </c>
      <c r="L548" s="85"/>
      <c r="O548" s="1">
        <f xml:space="preserve"> ( $N318 = '2.1 Model setup'!$K$41 ) *  $R262 * O461</f>
        <v>0</v>
      </c>
      <c r="P548" s="1">
        <f xml:space="preserve"> ( $N318 = '2.1 Model setup'!$K$41 ) *  $R262 * P461</f>
        <v>0</v>
      </c>
      <c r="Q548" s="202"/>
      <c r="R548" s="1">
        <f xml:space="preserve"> ( $N318 = '2.1 Model setup'!$K$41 ) *  $R262 * R461</f>
        <v>0</v>
      </c>
      <c r="S548" s="1">
        <f xml:space="preserve"> ( $N318 = '2.1 Model setup'!$K$41 ) *  $R262 * S461</f>
        <v>0</v>
      </c>
      <c r="T548" s="1">
        <f xml:space="preserve"> ( $N318 = '2.1 Model setup'!$K$41 ) *  $R262 * T461</f>
        <v>0</v>
      </c>
      <c r="U548" s="1">
        <f xml:space="preserve"> ( $N318 = '2.1 Model setup'!$K$41 ) *  $R262 * U461</f>
        <v>0</v>
      </c>
      <c r="V548" s="1">
        <f xml:space="preserve"> ( $N318 = '2.1 Model setup'!$K$41 ) *  $R262 * V461</f>
        <v>0</v>
      </c>
      <c r="W548" s="4">
        <f t="shared" si="108"/>
        <v>0</v>
      </c>
    </row>
    <row r="549" spans="4:23" ht="15" customHeight="1">
      <c r="D549" s="99" t="str">
        <f xml:space="preserve"> '2.1 Model setup'!K84</f>
        <v>6.3 Afskrivninger på målere</v>
      </c>
      <c r="E549" s="27"/>
      <c r="F549" s="27"/>
      <c r="G549" s="27"/>
      <c r="H549" s="27"/>
      <c r="I549" s="27"/>
      <c r="J549" s="27"/>
      <c r="K549" s="32" t="str">
        <f t="shared" si="107"/>
        <v>DKKt</v>
      </c>
      <c r="L549" s="99"/>
      <c r="M549" s="27"/>
      <c r="N549" s="27"/>
      <c r="O549" s="27">
        <f xml:space="preserve"> ( $N319 = '2.1 Model setup'!$K$41 ) *  $R263 * O462</f>
        <v>0</v>
      </c>
      <c r="P549" s="27">
        <f xml:space="preserve"> ( $N319 = '2.1 Model setup'!$K$41 ) *  $R263 * P462</f>
        <v>0</v>
      </c>
      <c r="Q549" s="269"/>
      <c r="R549" s="27">
        <f xml:space="preserve"> ( $N319 = '2.1 Model setup'!$K$41 ) *  $R263 * R462</f>
        <v>0</v>
      </c>
      <c r="S549" s="27">
        <f xml:space="preserve"> ( $N319 = '2.1 Model setup'!$K$41 ) *  $R263 * S462</f>
        <v>0</v>
      </c>
      <c r="T549" s="27">
        <f xml:space="preserve"> ( $N319 = '2.1 Model setup'!$K$41 ) *  $R263 * T462</f>
        <v>0</v>
      </c>
      <c r="U549" s="27">
        <f xml:space="preserve"> ( $N319 = '2.1 Model setup'!$K$41 ) *  $R263 * U462</f>
        <v>0</v>
      </c>
      <c r="V549" s="27">
        <f xml:space="preserve"> ( $N319 = '2.1 Model setup'!$K$41 ) *  $R263 * V462</f>
        <v>0</v>
      </c>
      <c r="W549" s="35">
        <f t="shared" si="108"/>
        <v>0</v>
      </c>
    </row>
    <row r="550" spans="4:23" ht="15" customHeight="1">
      <c r="D550" s="105" t="s">
        <v>16</v>
      </c>
      <c r="E550" s="186"/>
      <c r="F550" s="186"/>
      <c r="G550" s="186"/>
      <c r="H550" s="186"/>
      <c r="I550" s="186"/>
      <c r="J550" s="186"/>
      <c r="K550" s="187" t="str">
        <f t="shared" si="107"/>
        <v>DKKt</v>
      </c>
      <c r="L550" s="105"/>
      <c r="M550" s="186"/>
      <c r="N550" s="186"/>
      <c r="O550" s="186">
        <f xml:space="preserve"> SUM( O535:O549 )</f>
        <v>0</v>
      </c>
      <c r="P550" s="186">
        <f xml:space="preserve"> SUM( P535:P549 )</f>
        <v>0</v>
      </c>
      <c r="Q550" s="388"/>
      <c r="R550" s="186">
        <f t="shared" ref="R550" si="109" xml:space="preserve"> SUM( R535:R549 )</f>
        <v>0</v>
      </c>
      <c r="S550" s="186">
        <f t="shared" ref="S550" si="110" xml:space="preserve"> SUM( S535:S549 )</f>
        <v>0</v>
      </c>
      <c r="T550" s="186">
        <f t="shared" ref="T550" si="111" xml:space="preserve"> SUM( T535:T549 )</f>
        <v>0</v>
      </c>
      <c r="U550" s="186">
        <f t="shared" ref="U550" si="112" xml:space="preserve"> SUM( U535:U549 )</f>
        <v>0</v>
      </c>
      <c r="V550" s="186">
        <f t="shared" ref="V550" si="113" xml:space="preserve"> SUM( V535:V549 )</f>
        <v>0</v>
      </c>
      <c r="W550" s="186">
        <f t="shared" ref="W550" si="114" xml:space="preserve"> SUM( W535:W549 )</f>
        <v>0</v>
      </c>
    </row>
    <row r="552" spans="4:23" ht="15" customHeight="1">
      <c r="D552" s="35" t="s">
        <v>595</v>
      </c>
      <c r="E552" s="27"/>
      <c r="F552" s="27"/>
      <c r="G552" s="27"/>
      <c r="H552" s="27"/>
      <c r="I552" s="27"/>
      <c r="J552" s="27"/>
      <c r="K552" s="32"/>
      <c r="L552" s="27"/>
      <c r="M552" s="27"/>
      <c r="N552" s="27"/>
      <c r="O552" s="27"/>
      <c r="P552" s="27"/>
      <c r="Q552" s="27"/>
      <c r="R552" s="27"/>
      <c r="S552" s="27"/>
      <c r="T552" s="27"/>
      <c r="U552" s="27"/>
      <c r="V552" s="27"/>
      <c r="W552" s="185" t="s">
        <v>16</v>
      </c>
    </row>
    <row r="553" spans="4:23" ht="15" customHeight="1">
      <c r="D553" s="123" t="str">
        <f xml:space="preserve"> '2.1 Model setup'!K70</f>
        <v>1.1 Drift og vedligeholdelse af transformerstationer</v>
      </c>
      <c r="E553" s="15"/>
      <c r="F553" s="15"/>
      <c r="G553" s="15"/>
      <c r="H553" s="15"/>
      <c r="I553" s="15"/>
      <c r="J553" s="15"/>
      <c r="K553" s="19" t="str">
        <f t="shared" ref="K553:K568" si="115" xml:space="preserve"> Model.Units</f>
        <v>DKKt</v>
      </c>
      <c r="L553" s="123"/>
      <c r="M553" s="15"/>
      <c r="N553" s="15"/>
      <c r="O553" s="15">
        <f xml:space="preserve"> ( $N305 = '2.1 Model setup'!$K$41 ) *  $S249 * O465</f>
        <v>0</v>
      </c>
      <c r="P553" s="15">
        <f xml:space="preserve"> ( $N305 = '2.1 Model setup'!$K$41 ) *  $S249 * P465</f>
        <v>0</v>
      </c>
      <c r="Q553" s="274"/>
      <c r="R553" s="15">
        <f xml:space="preserve"> ( $N305 = '2.1 Model setup'!$K$41 ) *  $S249 * R465</f>
        <v>0</v>
      </c>
      <c r="S553" s="15">
        <f xml:space="preserve"> ( $N305 = '2.1 Model setup'!$K$41 ) *  $S249 * S465</f>
        <v>0</v>
      </c>
      <c r="T553" s="15">
        <f xml:space="preserve"> ( $N305 = '2.1 Model setup'!$K$41 ) *  $S249 * T465</f>
        <v>0</v>
      </c>
      <c r="U553" s="15">
        <f xml:space="preserve"> ( $N305 = '2.1 Model setup'!$K$41 ) *  $S249 * U465</f>
        <v>0</v>
      </c>
      <c r="V553" s="15">
        <f xml:space="preserve"> ( $N305 = '2.1 Model setup'!$K$41 ) *  $S249 * V465</f>
        <v>0</v>
      </c>
      <c r="W553" s="18">
        <f xml:space="preserve"> SUM( O553:V553 )</f>
        <v>0</v>
      </c>
    </row>
    <row r="554" spans="4:23" ht="15" customHeight="1">
      <c r="D554" s="85" t="str">
        <f xml:space="preserve"> '2.1 Model setup'!K71</f>
        <v>1.2 Drift og vedligeholdelse af ledningsnet</v>
      </c>
      <c r="K554" s="5" t="str">
        <f t="shared" si="115"/>
        <v>DKKt</v>
      </c>
      <c r="L554" s="85"/>
      <c r="O554" s="1">
        <f xml:space="preserve"> ( $N306 = '2.1 Model setup'!$K$41 ) *  $S250 * O466</f>
        <v>0</v>
      </c>
      <c r="P554" s="1">
        <f xml:space="preserve"> ( $N306 = '2.1 Model setup'!$K$41 ) *  $S250 * P466</f>
        <v>0</v>
      </c>
      <c r="Q554" s="202"/>
      <c r="R554" s="1">
        <f xml:space="preserve"> ( $N306 = '2.1 Model setup'!$K$41 ) *  $S250 * R466</f>
        <v>0</v>
      </c>
      <c r="S554" s="1">
        <f xml:space="preserve"> ( $N306 = '2.1 Model setup'!$K$41 ) *  $S250 * S466</f>
        <v>0</v>
      </c>
      <c r="T554" s="1">
        <f xml:space="preserve"> ( $N306 = '2.1 Model setup'!$K$41 ) *  $S250 * T466</f>
        <v>0</v>
      </c>
      <c r="U554" s="1">
        <f xml:space="preserve"> ( $N306 = '2.1 Model setup'!$K$41 ) *  $S250 * U466</f>
        <v>0</v>
      </c>
      <c r="V554" s="1">
        <f xml:space="preserve"> ( $N306 = '2.1 Model setup'!$K$41 ) *  $S250 * V466</f>
        <v>0</v>
      </c>
      <c r="W554" s="4">
        <f t="shared" ref="W554:W567" si="116" xml:space="preserve"> SUM( O554:V554 )</f>
        <v>0</v>
      </c>
    </row>
    <row r="555" spans="4:23" ht="15" customHeight="1">
      <c r="D555" s="85" t="str">
        <f xml:space="preserve"> '2.1 Model setup'!K72</f>
        <v>1.3 Øvrige omkostninger til drift, styring og kontrol af elnettet</v>
      </c>
      <c r="K555" s="5" t="str">
        <f t="shared" si="115"/>
        <v>DKKt</v>
      </c>
      <c r="L555" s="85"/>
      <c r="O555" s="1">
        <f xml:space="preserve"> ( $N307 = '2.1 Model setup'!$K$41 ) *  $S251 * O467</f>
        <v>0</v>
      </c>
      <c r="P555" s="1">
        <f xml:space="preserve"> ( $N307 = '2.1 Model setup'!$K$41 ) *  $S251 * P467</f>
        <v>0</v>
      </c>
      <c r="Q555" s="202"/>
      <c r="R555" s="1">
        <f xml:space="preserve"> ( $N307 = '2.1 Model setup'!$K$41 ) *  $S251 * R467</f>
        <v>0</v>
      </c>
      <c r="S555" s="1">
        <f xml:space="preserve"> ( $N307 = '2.1 Model setup'!$K$41 ) *  $S251 * S467</f>
        <v>0</v>
      </c>
      <c r="T555" s="1">
        <f xml:space="preserve"> ( $N307 = '2.1 Model setup'!$K$41 ) *  $S251 * T467</f>
        <v>0</v>
      </c>
      <c r="U555" s="1">
        <f xml:space="preserve"> ( $N307 = '2.1 Model setup'!$K$41 ) *  $S251 * U467</f>
        <v>0</v>
      </c>
      <c r="V555" s="1">
        <f xml:space="preserve"> ( $N307 = '2.1 Model setup'!$K$41 ) *  $S251 * V467</f>
        <v>0</v>
      </c>
      <c r="W555" s="4">
        <f t="shared" si="116"/>
        <v>0</v>
      </c>
    </row>
    <row r="556" spans="4:23" ht="15" customHeight="1">
      <c r="D556" s="85" t="str">
        <f xml:space="preserve"> '2.1 Model setup'!K73</f>
        <v>1.4 Omkostninger vedrørende 132-150/30-60 kV-stationer</v>
      </c>
      <c r="K556" s="5" t="str">
        <f t="shared" si="115"/>
        <v>DKKt</v>
      </c>
      <c r="L556" s="85"/>
      <c r="O556" s="1">
        <f xml:space="preserve"> ( $N308 = '2.1 Model setup'!$K$41 ) *  $S252 * O468</f>
        <v>0</v>
      </c>
      <c r="P556" s="1">
        <f xml:space="preserve"> ( $N308 = '2.1 Model setup'!$K$41 ) *  $S252 * P468</f>
        <v>0</v>
      </c>
      <c r="Q556" s="202"/>
      <c r="R556" s="1">
        <f xml:space="preserve"> ( $N308 = '2.1 Model setup'!$K$41 ) *  $S252 * R468</f>
        <v>0</v>
      </c>
      <c r="S556" s="1">
        <f xml:space="preserve"> ( $N308 = '2.1 Model setup'!$K$41 ) *  $S252 * S468</f>
        <v>0</v>
      </c>
      <c r="T556" s="1">
        <f xml:space="preserve"> ( $N308 = '2.1 Model setup'!$K$41 ) *  $S252 * T468</f>
        <v>0</v>
      </c>
      <c r="U556" s="1">
        <f xml:space="preserve"> ( $N308 = '2.1 Model setup'!$K$41 ) *  $S252 * U468</f>
        <v>0</v>
      </c>
      <c r="V556" s="1">
        <f xml:space="preserve"> ( $N308 = '2.1 Model setup'!$K$41 ) *  $S252 * V468</f>
        <v>0</v>
      </c>
      <c r="W556" s="4">
        <f t="shared" si="116"/>
        <v>0</v>
      </c>
    </row>
    <row r="557" spans="4:23" ht="15" customHeight="1">
      <c r="D557" s="85" t="str">
        <f xml:space="preserve"> '2.1 Model setup'!K74</f>
        <v>2.1 Drift og vedligeholdelse af målere</v>
      </c>
      <c r="K557" s="5" t="str">
        <f t="shared" si="115"/>
        <v>DKKt</v>
      </c>
      <c r="L557" s="85"/>
      <c r="O557" s="1">
        <f xml:space="preserve"> ( $N309 = '2.1 Model setup'!$K$41 ) *  $S253 * O469</f>
        <v>0</v>
      </c>
      <c r="P557" s="1">
        <f xml:space="preserve"> ( $N309 = '2.1 Model setup'!$K$41 ) *  $S253 * P469</f>
        <v>0</v>
      </c>
      <c r="Q557" s="202"/>
      <c r="R557" s="1">
        <f xml:space="preserve"> ( $N309 = '2.1 Model setup'!$K$41 ) *  $S253 * R469</f>
        <v>0</v>
      </c>
      <c r="S557" s="1">
        <f xml:space="preserve"> ( $N309 = '2.1 Model setup'!$K$41 ) *  $S253 * S469</f>
        <v>0</v>
      </c>
      <c r="T557" s="1">
        <f xml:space="preserve"> ( $N309 = '2.1 Model setup'!$K$41 ) *  $S253 * T469</f>
        <v>0</v>
      </c>
      <c r="U557" s="1">
        <f xml:space="preserve"> ( $N309 = '2.1 Model setup'!$K$41 ) *  $S253 * U469</f>
        <v>0</v>
      </c>
      <c r="V557" s="1">
        <f xml:space="preserve"> ( $N309 = '2.1 Model setup'!$K$41 ) *  $S253 * V469</f>
        <v>0</v>
      </c>
      <c r="W557" s="4">
        <f t="shared" si="116"/>
        <v>0</v>
      </c>
    </row>
    <row r="558" spans="4:23" ht="15" customHeight="1">
      <c r="D558" s="85" t="str">
        <f xml:space="preserve"> '2.1 Model setup'!K75</f>
        <v>2.2 Indhentning og validering af målerdata</v>
      </c>
      <c r="K558" s="5" t="str">
        <f t="shared" si="115"/>
        <v>DKKt</v>
      </c>
      <c r="L558" s="85"/>
      <c r="O558" s="1">
        <f xml:space="preserve"> ( $N310 = '2.1 Model setup'!$K$41 ) *  $S254 * O470</f>
        <v>0</v>
      </c>
      <c r="P558" s="1">
        <f xml:space="preserve"> ( $N310 = '2.1 Model setup'!$K$41 ) *  $S254 * P470</f>
        <v>0</v>
      </c>
      <c r="Q558" s="202"/>
      <c r="R558" s="1">
        <f xml:space="preserve"> ( $N310 = '2.1 Model setup'!$K$41 ) *  $S254 * R470</f>
        <v>0</v>
      </c>
      <c r="S558" s="1">
        <f xml:space="preserve"> ( $N310 = '2.1 Model setup'!$K$41 ) *  $S254 * S470</f>
        <v>0</v>
      </c>
      <c r="T558" s="1">
        <f xml:space="preserve"> ( $N310 = '2.1 Model setup'!$K$41 ) *  $S254 * T470</f>
        <v>0</v>
      </c>
      <c r="U558" s="1">
        <f xml:space="preserve"> ( $N310 = '2.1 Model setup'!$K$41 ) *  $S254 * U470</f>
        <v>0</v>
      </c>
      <c r="V558" s="1">
        <f xml:space="preserve"> ( $N310 = '2.1 Model setup'!$K$41 ) *  $S254 * V470</f>
        <v>0</v>
      </c>
      <c r="W558" s="4">
        <f t="shared" si="116"/>
        <v>0</v>
      </c>
    </row>
    <row r="559" spans="4:23" ht="15" customHeight="1">
      <c r="D559" s="85" t="str">
        <f xml:space="preserve"> '2.1 Model setup'!K76</f>
        <v>2.3 Måleradministration og kundehåndtering</v>
      </c>
      <c r="K559" s="5" t="str">
        <f t="shared" si="115"/>
        <v>DKKt</v>
      </c>
      <c r="L559" s="85"/>
      <c r="O559" s="1">
        <f xml:space="preserve"> ( $N311 = '2.1 Model setup'!$K$41 ) *  $S255 * O471</f>
        <v>0</v>
      </c>
      <c r="P559" s="1">
        <f xml:space="preserve"> ( $N311 = '2.1 Model setup'!$K$41 ) *  $S255 * P471</f>
        <v>0</v>
      </c>
      <c r="Q559" s="202"/>
      <c r="R559" s="1">
        <f xml:space="preserve"> ( $N311 = '2.1 Model setup'!$K$41 ) *  $S255 * R471</f>
        <v>0</v>
      </c>
      <c r="S559" s="1">
        <f xml:space="preserve"> ( $N311 = '2.1 Model setup'!$K$41 ) *  $S255 * S471</f>
        <v>0</v>
      </c>
      <c r="T559" s="1">
        <f xml:space="preserve"> ( $N311 = '2.1 Model setup'!$K$41 ) *  $S255 * T471</f>
        <v>0</v>
      </c>
      <c r="U559" s="1">
        <f xml:space="preserve"> ( $N311 = '2.1 Model setup'!$K$41 ) *  $S255 * U471</f>
        <v>0</v>
      </c>
      <c r="V559" s="1">
        <f xml:space="preserve"> ( $N311 = '2.1 Model setup'!$K$41 ) *  $S255 * V471</f>
        <v>0</v>
      </c>
      <c r="W559" s="4">
        <f t="shared" si="116"/>
        <v>0</v>
      </c>
    </row>
    <row r="560" spans="4:23" ht="15" customHeight="1">
      <c r="D560" s="85" t="str">
        <f xml:space="preserve"> '2.1 Model setup'!K77</f>
        <v>3.1 Generel administration</v>
      </c>
      <c r="K560" s="5" t="str">
        <f t="shared" si="115"/>
        <v>DKKt</v>
      </c>
      <c r="L560" s="85"/>
      <c r="O560" s="1">
        <f xml:space="preserve"> ( $N312 = '2.1 Model setup'!$K$41 ) *  $S256 * O472</f>
        <v>0</v>
      </c>
      <c r="P560" s="1">
        <f xml:space="preserve"> ( $N312 = '2.1 Model setup'!$K$41 ) *  $S256 * P472</f>
        <v>0</v>
      </c>
      <c r="Q560" s="202"/>
      <c r="R560" s="1">
        <f xml:space="preserve"> ( $N312 = '2.1 Model setup'!$K$41 ) *  $S256 * R472</f>
        <v>0</v>
      </c>
      <c r="S560" s="1">
        <f xml:space="preserve"> ( $N312 = '2.1 Model setup'!$K$41 ) *  $S256 * S472</f>
        <v>0</v>
      </c>
      <c r="T560" s="1">
        <f xml:space="preserve"> ( $N312 = '2.1 Model setup'!$K$41 ) *  $S256 * T472</f>
        <v>0</v>
      </c>
      <c r="U560" s="1">
        <f xml:space="preserve"> ( $N312 = '2.1 Model setup'!$K$41 ) *  $S256 * U472</f>
        <v>0</v>
      </c>
      <c r="V560" s="1">
        <f xml:space="preserve"> ( $N312 = '2.1 Model setup'!$K$41 ) *  $S256 * V472</f>
        <v>0</v>
      </c>
      <c r="W560" s="4">
        <f t="shared" si="116"/>
        <v>0</v>
      </c>
    </row>
    <row r="561" spans="4:23" ht="15" customHeight="1">
      <c r="D561" s="85" t="str">
        <f xml:space="preserve"> '2.1 Model setup'!K78</f>
        <v>4.1 Omkostninger vedrørende nettab i transformerstationer</v>
      </c>
      <c r="K561" s="5" t="str">
        <f t="shared" si="115"/>
        <v>DKKt</v>
      </c>
      <c r="L561" s="85"/>
      <c r="O561" s="1">
        <f xml:space="preserve"> ( $N313 = '2.1 Model setup'!$K$41 ) *  $S257 * O473</f>
        <v>0</v>
      </c>
      <c r="P561" s="1">
        <f xml:space="preserve"> ( $N313 = '2.1 Model setup'!$K$41 ) *  $S257 * P473</f>
        <v>0</v>
      </c>
      <c r="Q561" s="202"/>
      <c r="R561" s="1">
        <f xml:space="preserve"> ( $N313 = '2.1 Model setup'!$K$41 ) *  $S257 * R473</f>
        <v>0</v>
      </c>
      <c r="S561" s="1">
        <f xml:space="preserve"> ( $N313 = '2.1 Model setup'!$K$41 ) *  $S257 * S473</f>
        <v>0</v>
      </c>
      <c r="T561" s="1">
        <f xml:space="preserve"> ( $N313 = '2.1 Model setup'!$K$41 ) *  $S257 * T473</f>
        <v>0</v>
      </c>
      <c r="U561" s="1">
        <f xml:space="preserve"> ( $N313 = '2.1 Model setup'!$K$41 ) *  $S257 * U473</f>
        <v>0</v>
      </c>
      <c r="V561" s="1">
        <f xml:space="preserve"> ( $N313 = '2.1 Model setup'!$K$41 ) *  $S257 * V473</f>
        <v>0</v>
      </c>
      <c r="W561" s="4">
        <f t="shared" si="116"/>
        <v>0</v>
      </c>
    </row>
    <row r="562" spans="4:23" ht="15" customHeight="1">
      <c r="D562" s="85" t="str">
        <f xml:space="preserve"> '2.1 Model setup'!K79</f>
        <v>4.2 Omkostninger vedrørende nettab i ledningsnettet</v>
      </c>
      <c r="K562" s="5" t="str">
        <f t="shared" si="115"/>
        <v>DKKt</v>
      </c>
      <c r="L562" s="85"/>
      <c r="O562" s="1">
        <f xml:space="preserve"> ( $N314 = '2.1 Model setup'!$K$41 ) *  $S258 * O474</f>
        <v>0</v>
      </c>
      <c r="P562" s="1">
        <f xml:space="preserve"> ( $N314 = '2.1 Model setup'!$K$41 ) *  $S258 * P474</f>
        <v>0</v>
      </c>
      <c r="Q562" s="202"/>
      <c r="R562" s="1">
        <f xml:space="preserve"> ( $N314 = '2.1 Model setup'!$K$41 ) *  $S258 * R474</f>
        <v>0</v>
      </c>
      <c r="S562" s="1">
        <f xml:space="preserve"> ( $N314 = '2.1 Model setup'!$K$41 ) *  $S258 * S474</f>
        <v>0</v>
      </c>
      <c r="T562" s="1">
        <f xml:space="preserve"> ( $N314 = '2.1 Model setup'!$K$41 ) *  $S258 * T474</f>
        <v>0</v>
      </c>
      <c r="U562" s="1">
        <f xml:space="preserve"> ( $N314 = '2.1 Model setup'!$K$41 ) *  $S258 * U474</f>
        <v>0</v>
      </c>
      <c r="V562" s="1">
        <f xml:space="preserve"> ( $N314 = '2.1 Model setup'!$K$41 ) *  $S258 * V474</f>
        <v>0</v>
      </c>
      <c r="W562" s="4">
        <f t="shared" si="116"/>
        <v>0</v>
      </c>
    </row>
    <row r="563" spans="4:23" ht="15" customHeight="1">
      <c r="D563" s="85" t="str">
        <f xml:space="preserve"> '2.1 Model setup'!K88</f>
        <v>5.1 Omkostninger til overliggende net ifm. indfødning</v>
      </c>
      <c r="K563" s="5" t="str">
        <f t="shared" si="115"/>
        <v>DKKt</v>
      </c>
      <c r="L563" s="85"/>
      <c r="O563" s="1">
        <f xml:space="preserve"> ( $N315 = '2.1 Model setup'!$K$41 ) *  $S259 * O475</f>
        <v>0</v>
      </c>
      <c r="P563" s="1">
        <f xml:space="preserve"> ( $N315 = '2.1 Model setup'!$K$41 ) *  $S259 * P475</f>
        <v>0</v>
      </c>
      <c r="Q563" s="202"/>
      <c r="R563" s="1">
        <f xml:space="preserve"> ( $N315 = '2.1 Model setup'!$K$41 ) *  $S259 * R475</f>
        <v>0</v>
      </c>
      <c r="S563" s="1">
        <f xml:space="preserve"> ( $N315 = '2.1 Model setup'!$K$41 ) *  $S259 * S475</f>
        <v>0</v>
      </c>
      <c r="T563" s="1">
        <f xml:space="preserve"> ( $N315 = '2.1 Model setup'!$K$41 ) *  $S259 * T475</f>
        <v>0</v>
      </c>
      <c r="U563" s="1">
        <f xml:space="preserve"> ( $N315 = '2.1 Model setup'!$K$41 ) *  $S259 * U475</f>
        <v>0</v>
      </c>
      <c r="V563" s="1">
        <f xml:space="preserve"> ( $N315 = '2.1 Model setup'!$K$41 ) *  $S259 * V475</f>
        <v>0</v>
      </c>
      <c r="W563" s="4">
        <f t="shared" si="116"/>
        <v>0</v>
      </c>
    </row>
    <row r="564" spans="4:23" ht="15" customHeight="1">
      <c r="D564" s="85" t="str">
        <f xml:space="preserve"> '2.1 Model setup'!K81</f>
        <v>5.2 Øvrige omkostninger</v>
      </c>
      <c r="K564" s="5" t="str">
        <f t="shared" si="115"/>
        <v>DKKt</v>
      </c>
      <c r="L564" s="85"/>
      <c r="O564" s="1">
        <f xml:space="preserve"> ( $N316 = '2.1 Model setup'!$K$41 ) *  $S260 * O476</f>
        <v>0</v>
      </c>
      <c r="P564" s="1">
        <f xml:space="preserve"> ( $N316 = '2.1 Model setup'!$K$41 ) *  $S260 * P476</f>
        <v>0</v>
      </c>
      <c r="Q564" s="202"/>
      <c r="R564" s="1">
        <f xml:space="preserve"> ( $N316 = '2.1 Model setup'!$K$41 ) *  $S260 * R476</f>
        <v>0</v>
      </c>
      <c r="S564" s="1">
        <f xml:space="preserve"> ( $N316 = '2.1 Model setup'!$K$41 ) *  $S260 * S476</f>
        <v>0</v>
      </c>
      <c r="T564" s="1">
        <f xml:space="preserve"> ( $N316 = '2.1 Model setup'!$K$41 ) *  $S260 * T476</f>
        <v>0</v>
      </c>
      <c r="U564" s="1">
        <f xml:space="preserve"> ( $N316 = '2.1 Model setup'!$K$41 ) *  $S260 * U476</f>
        <v>0</v>
      </c>
      <c r="V564" s="1">
        <f xml:space="preserve"> ( $N316 = '2.1 Model setup'!$K$41 ) *  $S260 * V476</f>
        <v>0</v>
      </c>
      <c r="W564" s="4">
        <f t="shared" si="116"/>
        <v>0</v>
      </c>
    </row>
    <row r="565" spans="4:23" ht="15" customHeight="1">
      <c r="D565" s="85" t="str">
        <f xml:space="preserve"> '2.1 Model setup'!K82</f>
        <v>6.1 Afskrivninger på transformerstationer</v>
      </c>
      <c r="K565" s="5" t="str">
        <f t="shared" si="115"/>
        <v>DKKt</v>
      </c>
      <c r="L565" s="85"/>
      <c r="O565" s="1">
        <f xml:space="preserve"> ( $N317 = '2.1 Model setup'!$K$41 ) *  $S261 * O477</f>
        <v>0</v>
      </c>
      <c r="P565" s="1">
        <f xml:space="preserve"> ( $N317 = '2.1 Model setup'!$K$41 ) *  $S261 * P477</f>
        <v>0</v>
      </c>
      <c r="Q565" s="202"/>
      <c r="R565" s="1">
        <f xml:space="preserve"> ( $N317 = '2.1 Model setup'!$K$41 ) *  $S261 * R477</f>
        <v>0</v>
      </c>
      <c r="S565" s="1">
        <f xml:space="preserve"> ( $N317 = '2.1 Model setup'!$K$41 ) *  $S261 * S477</f>
        <v>0</v>
      </c>
      <c r="T565" s="1">
        <f xml:space="preserve"> ( $N317 = '2.1 Model setup'!$K$41 ) *  $S261 * T477</f>
        <v>0</v>
      </c>
      <c r="U565" s="1">
        <f xml:space="preserve"> ( $N317 = '2.1 Model setup'!$K$41 ) *  $S261 * U477</f>
        <v>0</v>
      </c>
      <c r="V565" s="1">
        <f xml:space="preserve"> ( $N317 = '2.1 Model setup'!$K$41 ) *  $S261 * V477</f>
        <v>0</v>
      </c>
      <c r="W565" s="4">
        <f t="shared" si="116"/>
        <v>0</v>
      </c>
    </row>
    <row r="566" spans="4:23" ht="15" customHeight="1">
      <c r="D566" s="85" t="str">
        <f xml:space="preserve"> '2.1 Model setup'!K83</f>
        <v>6.2 Afskrivninger på netaktiver ekskl. målere og transformerstationer</v>
      </c>
      <c r="K566" s="5" t="str">
        <f t="shared" si="115"/>
        <v>DKKt</v>
      </c>
      <c r="L566" s="85"/>
      <c r="O566" s="1">
        <f xml:space="preserve"> ( $N318 = '2.1 Model setup'!$K$41 ) *  $S262 * O478</f>
        <v>0</v>
      </c>
      <c r="P566" s="1">
        <f xml:space="preserve"> ( $N318 = '2.1 Model setup'!$K$41 ) *  $S262 * P478</f>
        <v>0</v>
      </c>
      <c r="Q566" s="202"/>
      <c r="R566" s="1">
        <f xml:space="preserve"> ( $N318 = '2.1 Model setup'!$K$41 ) *  $S262 * R478</f>
        <v>0</v>
      </c>
      <c r="S566" s="1">
        <f xml:space="preserve"> ( $N318 = '2.1 Model setup'!$K$41 ) *  $S262 * S478</f>
        <v>0</v>
      </c>
      <c r="T566" s="1">
        <f xml:space="preserve"> ( $N318 = '2.1 Model setup'!$K$41 ) *  $S262 * T478</f>
        <v>0</v>
      </c>
      <c r="U566" s="1">
        <f xml:space="preserve"> ( $N318 = '2.1 Model setup'!$K$41 ) *  $S262 * U478</f>
        <v>0</v>
      </c>
      <c r="V566" s="1">
        <f xml:space="preserve"> ( $N318 = '2.1 Model setup'!$K$41 ) *  $S262 * V478</f>
        <v>0</v>
      </c>
      <c r="W566" s="4">
        <f t="shared" si="116"/>
        <v>0</v>
      </c>
    </row>
    <row r="567" spans="4:23" ht="15" customHeight="1">
      <c r="D567" s="99" t="str">
        <f xml:space="preserve"> '2.1 Model setup'!K84</f>
        <v>6.3 Afskrivninger på målere</v>
      </c>
      <c r="E567" s="27"/>
      <c r="F567" s="27"/>
      <c r="G567" s="27"/>
      <c r="H567" s="27"/>
      <c r="I567" s="27"/>
      <c r="J567" s="27"/>
      <c r="K567" s="32" t="str">
        <f t="shared" si="115"/>
        <v>DKKt</v>
      </c>
      <c r="L567" s="99"/>
      <c r="M567" s="27"/>
      <c r="N567" s="27"/>
      <c r="O567" s="27">
        <f xml:space="preserve"> ( $N319 = '2.1 Model setup'!$K$41 ) *  $S263 * O479</f>
        <v>0</v>
      </c>
      <c r="P567" s="27">
        <f xml:space="preserve"> ( $N319 = '2.1 Model setup'!$K$41 ) *  $S263 * P479</f>
        <v>0</v>
      </c>
      <c r="Q567" s="269"/>
      <c r="R567" s="27">
        <f xml:space="preserve"> ( $N319 = '2.1 Model setup'!$K$41 ) *  $S263 * R479</f>
        <v>0</v>
      </c>
      <c r="S567" s="27">
        <f xml:space="preserve"> ( $N319 = '2.1 Model setup'!$K$41 ) *  $S263 * S479</f>
        <v>0</v>
      </c>
      <c r="T567" s="27">
        <f xml:space="preserve"> ( $N319 = '2.1 Model setup'!$K$41 ) *  $S263 * T479</f>
        <v>0</v>
      </c>
      <c r="U567" s="27">
        <f xml:space="preserve"> ( $N319 = '2.1 Model setup'!$K$41 ) *  $S263 * U479</f>
        <v>0</v>
      </c>
      <c r="V567" s="27">
        <f xml:space="preserve"> ( $N319 = '2.1 Model setup'!$K$41 ) *  $S263 * V479</f>
        <v>0</v>
      </c>
      <c r="W567" s="35">
        <f t="shared" si="116"/>
        <v>0</v>
      </c>
    </row>
    <row r="568" spans="4:23" ht="15" customHeight="1">
      <c r="D568" s="105" t="s">
        <v>16</v>
      </c>
      <c r="E568" s="186"/>
      <c r="F568" s="186"/>
      <c r="G568" s="186"/>
      <c r="H568" s="186"/>
      <c r="I568" s="186"/>
      <c r="J568" s="186"/>
      <c r="K568" s="187" t="str">
        <f t="shared" si="115"/>
        <v>DKKt</v>
      </c>
      <c r="L568" s="105"/>
      <c r="M568" s="186"/>
      <c r="N568" s="186"/>
      <c r="O568" s="186">
        <f xml:space="preserve"> SUM( O553:O567 )</f>
        <v>0</v>
      </c>
      <c r="P568" s="186">
        <f xml:space="preserve"> SUM( P553:P567 )</f>
        <v>0</v>
      </c>
      <c r="Q568" s="388"/>
      <c r="R568" s="186">
        <f t="shared" ref="R568" si="117" xml:space="preserve"> SUM( R553:R567 )</f>
        <v>0</v>
      </c>
      <c r="S568" s="186">
        <f t="shared" ref="S568" si="118" xml:space="preserve"> SUM( S553:S567 )</f>
        <v>0</v>
      </c>
      <c r="T568" s="186">
        <f t="shared" ref="T568" si="119" xml:space="preserve"> SUM( T553:T567 )</f>
        <v>0</v>
      </c>
      <c r="U568" s="186">
        <f t="shared" ref="U568" si="120" xml:space="preserve"> SUM( U553:U567 )</f>
        <v>0</v>
      </c>
      <c r="V568" s="186">
        <f t="shared" ref="V568" si="121" xml:space="preserve"> SUM( V553:V567 )</f>
        <v>0</v>
      </c>
      <c r="W568" s="186">
        <f t="shared" ref="W568" si="122" xml:space="preserve"> SUM( W553:W567 )</f>
        <v>0</v>
      </c>
    </row>
    <row r="570" spans="4:23" ht="15" customHeight="1">
      <c r="D570" s="35" t="s">
        <v>596</v>
      </c>
      <c r="E570" s="27"/>
      <c r="F570" s="27"/>
      <c r="G570" s="27"/>
      <c r="H570" s="27"/>
      <c r="I570" s="27"/>
      <c r="J570" s="27"/>
      <c r="K570" s="32"/>
      <c r="L570" s="27"/>
      <c r="M570" s="27"/>
      <c r="N570" s="27"/>
      <c r="O570" s="27"/>
      <c r="P570" s="27"/>
      <c r="Q570" s="27"/>
      <c r="R570" s="27"/>
      <c r="S570" s="27"/>
      <c r="T570" s="27"/>
      <c r="U570" s="27"/>
      <c r="V570" s="27"/>
      <c r="W570" s="185" t="s">
        <v>16</v>
      </c>
    </row>
    <row r="571" spans="4:23" ht="15" customHeight="1">
      <c r="D571" s="123" t="str">
        <f xml:space="preserve"> '2.1 Model setup'!K70</f>
        <v>1.1 Drift og vedligeholdelse af transformerstationer</v>
      </c>
      <c r="E571" s="15"/>
      <c r="F571" s="15"/>
      <c r="G571" s="15"/>
      <c r="H571" s="15"/>
      <c r="I571" s="15"/>
      <c r="J571" s="15"/>
      <c r="K571" s="19" t="str">
        <f t="shared" ref="K571:K586" si="123" xml:space="preserve"> Model.Units</f>
        <v>DKKt</v>
      </c>
      <c r="L571" s="123"/>
      <c r="M571" s="15"/>
      <c r="N571" s="15"/>
      <c r="O571" s="15">
        <f xml:space="preserve"> ( $N305 = '2.1 Model setup'!$K$41 ) *  $T249 * O482</f>
        <v>0</v>
      </c>
      <c r="P571" s="15">
        <f xml:space="preserve"> ( $N305 = '2.1 Model setup'!$K$41 ) *  $T249 * P482</f>
        <v>0</v>
      </c>
      <c r="Q571" s="274"/>
      <c r="R571" s="15">
        <f xml:space="preserve"> ( $N305 = '2.1 Model setup'!$K$41 ) *  $T249 * R482</f>
        <v>0</v>
      </c>
      <c r="S571" s="15">
        <f xml:space="preserve"> ( $N305 = '2.1 Model setup'!$K$41 ) *  $T249 * S482</f>
        <v>0</v>
      </c>
      <c r="T571" s="15">
        <f xml:space="preserve"> ( $N305 = '2.1 Model setup'!$K$41 ) *  $T249 * T482</f>
        <v>0</v>
      </c>
      <c r="U571" s="15">
        <f xml:space="preserve"> ( $N305 = '2.1 Model setup'!$K$41 ) *  $T249 * U482</f>
        <v>0</v>
      </c>
      <c r="V571" s="15">
        <f xml:space="preserve"> ( $N305 = '2.1 Model setup'!$K$41 ) *  $T249 * V482</f>
        <v>0</v>
      </c>
      <c r="W571" s="18">
        <f xml:space="preserve"> SUM( O571:V571 )</f>
        <v>0</v>
      </c>
    </row>
    <row r="572" spans="4:23" ht="15" customHeight="1">
      <c r="D572" s="85" t="str">
        <f xml:space="preserve"> '2.1 Model setup'!K71</f>
        <v>1.2 Drift og vedligeholdelse af ledningsnet</v>
      </c>
      <c r="K572" s="5" t="str">
        <f t="shared" si="123"/>
        <v>DKKt</v>
      </c>
      <c r="L572" s="85"/>
      <c r="O572" s="1">
        <f xml:space="preserve"> ( $N306 = '2.1 Model setup'!$K$41 ) *  $T250 * O483</f>
        <v>0</v>
      </c>
      <c r="P572" s="1">
        <f xml:space="preserve"> ( $N306 = '2.1 Model setup'!$K$41 ) *  $T250 * P483</f>
        <v>0</v>
      </c>
      <c r="Q572" s="202"/>
      <c r="R572" s="1">
        <f xml:space="preserve"> ( $N306 = '2.1 Model setup'!$K$41 ) *  $T250 * R483</f>
        <v>0</v>
      </c>
      <c r="S572" s="1">
        <f xml:space="preserve"> ( $N306 = '2.1 Model setup'!$K$41 ) *  $T250 * S483</f>
        <v>0</v>
      </c>
      <c r="T572" s="1">
        <f xml:space="preserve"> ( $N306 = '2.1 Model setup'!$K$41 ) *  $T250 * T483</f>
        <v>0</v>
      </c>
      <c r="U572" s="1">
        <f xml:space="preserve"> ( $N306 = '2.1 Model setup'!$K$41 ) *  $T250 * U483</f>
        <v>0</v>
      </c>
      <c r="V572" s="1">
        <f xml:space="preserve"> ( $N306 = '2.1 Model setup'!$K$41 ) *  $T250 * V483</f>
        <v>0</v>
      </c>
      <c r="W572" s="4">
        <f t="shared" ref="W572:W585" si="124" xml:space="preserve"> SUM( O572:V572 )</f>
        <v>0</v>
      </c>
    </row>
    <row r="573" spans="4:23" ht="15" customHeight="1">
      <c r="D573" s="85" t="str">
        <f xml:space="preserve"> '2.1 Model setup'!K72</f>
        <v>1.3 Øvrige omkostninger til drift, styring og kontrol af elnettet</v>
      </c>
      <c r="K573" s="5" t="str">
        <f t="shared" si="123"/>
        <v>DKKt</v>
      </c>
      <c r="L573" s="85"/>
      <c r="O573" s="1">
        <f xml:space="preserve"> ( $N307 = '2.1 Model setup'!$K$41 ) *  $T251 * O484</f>
        <v>0</v>
      </c>
      <c r="P573" s="1">
        <f xml:space="preserve"> ( $N307 = '2.1 Model setup'!$K$41 ) *  $T251 * P484</f>
        <v>0</v>
      </c>
      <c r="Q573" s="202"/>
      <c r="R573" s="1">
        <f xml:space="preserve"> ( $N307 = '2.1 Model setup'!$K$41 ) *  $T251 * R484</f>
        <v>0</v>
      </c>
      <c r="S573" s="1">
        <f xml:space="preserve"> ( $N307 = '2.1 Model setup'!$K$41 ) *  $T251 * S484</f>
        <v>0</v>
      </c>
      <c r="T573" s="1">
        <f xml:space="preserve"> ( $N307 = '2.1 Model setup'!$K$41 ) *  $T251 * T484</f>
        <v>0</v>
      </c>
      <c r="U573" s="1">
        <f xml:space="preserve"> ( $N307 = '2.1 Model setup'!$K$41 ) *  $T251 * U484</f>
        <v>0</v>
      </c>
      <c r="V573" s="1">
        <f xml:space="preserve"> ( $N307 = '2.1 Model setup'!$K$41 ) *  $T251 * V484</f>
        <v>0</v>
      </c>
      <c r="W573" s="4">
        <f t="shared" si="124"/>
        <v>0</v>
      </c>
    </row>
    <row r="574" spans="4:23" ht="15" customHeight="1">
      <c r="D574" s="85" t="str">
        <f xml:space="preserve"> '2.1 Model setup'!K73</f>
        <v>1.4 Omkostninger vedrørende 132-150/30-60 kV-stationer</v>
      </c>
      <c r="K574" s="5" t="str">
        <f t="shared" si="123"/>
        <v>DKKt</v>
      </c>
      <c r="L574" s="85"/>
      <c r="O574" s="1">
        <f xml:space="preserve"> ( $N308 = '2.1 Model setup'!$K$41 ) *  $T252 * O485</f>
        <v>0</v>
      </c>
      <c r="P574" s="1">
        <f xml:space="preserve"> ( $N308 = '2.1 Model setup'!$K$41 ) *  $T252 * P485</f>
        <v>0</v>
      </c>
      <c r="Q574" s="202"/>
      <c r="R574" s="1">
        <f xml:space="preserve"> ( $N308 = '2.1 Model setup'!$K$41 ) *  $T252 * R485</f>
        <v>0</v>
      </c>
      <c r="S574" s="1">
        <f xml:space="preserve"> ( $N308 = '2.1 Model setup'!$K$41 ) *  $T252 * S485</f>
        <v>0</v>
      </c>
      <c r="T574" s="1">
        <f xml:space="preserve"> ( $N308 = '2.1 Model setup'!$K$41 ) *  $T252 * T485</f>
        <v>0</v>
      </c>
      <c r="U574" s="1">
        <f xml:space="preserve"> ( $N308 = '2.1 Model setup'!$K$41 ) *  $T252 * U485</f>
        <v>0</v>
      </c>
      <c r="V574" s="1">
        <f xml:space="preserve"> ( $N308 = '2.1 Model setup'!$K$41 ) *  $T252 * V485</f>
        <v>0</v>
      </c>
      <c r="W574" s="4">
        <f t="shared" si="124"/>
        <v>0</v>
      </c>
    </row>
    <row r="575" spans="4:23" ht="15" customHeight="1">
      <c r="D575" s="85" t="str">
        <f xml:space="preserve"> '2.1 Model setup'!K74</f>
        <v>2.1 Drift og vedligeholdelse af målere</v>
      </c>
      <c r="K575" s="5" t="str">
        <f t="shared" si="123"/>
        <v>DKKt</v>
      </c>
      <c r="L575" s="85"/>
      <c r="O575" s="1">
        <f xml:space="preserve"> ( $N309 = '2.1 Model setup'!$K$41 ) *  $T253 * O486</f>
        <v>0</v>
      </c>
      <c r="P575" s="1">
        <f xml:space="preserve"> ( $N309 = '2.1 Model setup'!$K$41 ) *  $T253 * P486</f>
        <v>0</v>
      </c>
      <c r="Q575" s="202"/>
      <c r="R575" s="1">
        <f xml:space="preserve"> ( $N309 = '2.1 Model setup'!$K$41 ) *  $T253 * R486</f>
        <v>0</v>
      </c>
      <c r="S575" s="1">
        <f xml:space="preserve"> ( $N309 = '2.1 Model setup'!$K$41 ) *  $T253 * S486</f>
        <v>0</v>
      </c>
      <c r="T575" s="1">
        <f xml:space="preserve"> ( $N309 = '2.1 Model setup'!$K$41 ) *  $T253 * T486</f>
        <v>0</v>
      </c>
      <c r="U575" s="1">
        <f xml:space="preserve"> ( $N309 = '2.1 Model setup'!$K$41 ) *  $T253 * U486</f>
        <v>0</v>
      </c>
      <c r="V575" s="1">
        <f xml:space="preserve"> ( $N309 = '2.1 Model setup'!$K$41 ) *  $T253 * V486</f>
        <v>0</v>
      </c>
      <c r="W575" s="4">
        <f t="shared" si="124"/>
        <v>0</v>
      </c>
    </row>
    <row r="576" spans="4:23" ht="15" customHeight="1">
      <c r="D576" s="85" t="str">
        <f xml:space="preserve"> '2.1 Model setup'!K75</f>
        <v>2.2 Indhentning og validering af målerdata</v>
      </c>
      <c r="K576" s="5" t="str">
        <f t="shared" si="123"/>
        <v>DKKt</v>
      </c>
      <c r="L576" s="85"/>
      <c r="O576" s="1">
        <f xml:space="preserve"> ( $N310 = '2.1 Model setup'!$K$41 ) *  $T254 * O487</f>
        <v>0</v>
      </c>
      <c r="P576" s="1">
        <f xml:space="preserve"> ( $N310 = '2.1 Model setup'!$K$41 ) *  $T254 * P487</f>
        <v>0</v>
      </c>
      <c r="Q576" s="202"/>
      <c r="R576" s="1">
        <f xml:space="preserve"> ( $N310 = '2.1 Model setup'!$K$41 ) *  $T254 * R487</f>
        <v>0</v>
      </c>
      <c r="S576" s="1">
        <f xml:space="preserve"> ( $N310 = '2.1 Model setup'!$K$41 ) *  $T254 * S487</f>
        <v>0</v>
      </c>
      <c r="T576" s="1">
        <f xml:space="preserve"> ( $N310 = '2.1 Model setup'!$K$41 ) *  $T254 * T487</f>
        <v>0</v>
      </c>
      <c r="U576" s="1">
        <f xml:space="preserve"> ( $N310 = '2.1 Model setup'!$K$41 ) *  $T254 * U487</f>
        <v>0</v>
      </c>
      <c r="V576" s="1">
        <f xml:space="preserve"> ( $N310 = '2.1 Model setup'!$K$41 ) *  $T254 * V487</f>
        <v>0</v>
      </c>
      <c r="W576" s="4">
        <f t="shared" si="124"/>
        <v>0</v>
      </c>
    </row>
    <row r="577" spans="4:23" ht="15" customHeight="1">
      <c r="D577" s="85" t="str">
        <f xml:space="preserve"> '2.1 Model setup'!K76</f>
        <v>2.3 Måleradministration og kundehåndtering</v>
      </c>
      <c r="K577" s="5" t="str">
        <f t="shared" si="123"/>
        <v>DKKt</v>
      </c>
      <c r="L577" s="85"/>
      <c r="O577" s="1">
        <f xml:space="preserve"> ( $N311 = '2.1 Model setup'!$K$41 ) *  $T255 * O488</f>
        <v>0</v>
      </c>
      <c r="P577" s="1">
        <f xml:space="preserve"> ( $N311 = '2.1 Model setup'!$K$41 ) *  $T255 * P488</f>
        <v>0</v>
      </c>
      <c r="Q577" s="202"/>
      <c r="R577" s="1">
        <f xml:space="preserve"> ( $N311 = '2.1 Model setup'!$K$41 ) *  $T255 * R488</f>
        <v>0</v>
      </c>
      <c r="S577" s="1">
        <f xml:space="preserve"> ( $N311 = '2.1 Model setup'!$K$41 ) *  $T255 * S488</f>
        <v>0</v>
      </c>
      <c r="T577" s="1">
        <f xml:space="preserve"> ( $N311 = '2.1 Model setup'!$K$41 ) *  $T255 * T488</f>
        <v>0</v>
      </c>
      <c r="U577" s="1">
        <f xml:space="preserve"> ( $N311 = '2.1 Model setup'!$K$41 ) *  $T255 * U488</f>
        <v>0</v>
      </c>
      <c r="V577" s="1">
        <f xml:space="preserve"> ( $N311 = '2.1 Model setup'!$K$41 ) *  $T255 * V488</f>
        <v>0</v>
      </c>
      <c r="W577" s="4">
        <f t="shared" si="124"/>
        <v>0</v>
      </c>
    </row>
    <row r="578" spans="4:23" ht="15" customHeight="1">
      <c r="D578" s="85" t="str">
        <f xml:space="preserve"> '2.1 Model setup'!K77</f>
        <v>3.1 Generel administration</v>
      </c>
      <c r="K578" s="5" t="str">
        <f t="shared" si="123"/>
        <v>DKKt</v>
      </c>
      <c r="L578" s="85"/>
      <c r="O578" s="1">
        <f xml:space="preserve"> ( $N312 = '2.1 Model setup'!$K$41 ) *  $T256 * O489</f>
        <v>0</v>
      </c>
      <c r="P578" s="1">
        <f xml:space="preserve"> ( $N312 = '2.1 Model setup'!$K$41 ) *  $T256 * P489</f>
        <v>0</v>
      </c>
      <c r="Q578" s="202"/>
      <c r="R578" s="1">
        <f xml:space="preserve"> ( $N312 = '2.1 Model setup'!$K$41 ) *  $T256 * R489</f>
        <v>0</v>
      </c>
      <c r="S578" s="1">
        <f xml:space="preserve"> ( $N312 = '2.1 Model setup'!$K$41 ) *  $T256 * S489</f>
        <v>0</v>
      </c>
      <c r="T578" s="1">
        <f xml:space="preserve"> ( $N312 = '2.1 Model setup'!$K$41 ) *  $T256 * T489</f>
        <v>0</v>
      </c>
      <c r="U578" s="1">
        <f xml:space="preserve"> ( $N312 = '2.1 Model setup'!$K$41 ) *  $T256 * U489</f>
        <v>0</v>
      </c>
      <c r="V578" s="1">
        <f xml:space="preserve"> ( $N312 = '2.1 Model setup'!$K$41 ) *  $T256 * V489</f>
        <v>0</v>
      </c>
      <c r="W578" s="4">
        <f t="shared" si="124"/>
        <v>0</v>
      </c>
    </row>
    <row r="579" spans="4:23" ht="15" customHeight="1">
      <c r="D579" s="85" t="str">
        <f xml:space="preserve"> '2.1 Model setup'!K78</f>
        <v>4.1 Omkostninger vedrørende nettab i transformerstationer</v>
      </c>
      <c r="K579" s="5" t="str">
        <f t="shared" si="123"/>
        <v>DKKt</v>
      </c>
      <c r="L579" s="85"/>
      <c r="O579" s="1">
        <f xml:space="preserve"> ( $N313 = '2.1 Model setup'!$K$41 ) *  $T257 * O490</f>
        <v>0</v>
      </c>
      <c r="P579" s="1">
        <f xml:space="preserve"> ( $N313 = '2.1 Model setup'!$K$41 ) *  $T257 * P490</f>
        <v>0</v>
      </c>
      <c r="Q579" s="202"/>
      <c r="R579" s="1">
        <f xml:space="preserve"> ( $N313 = '2.1 Model setup'!$K$41 ) *  $T257 * R490</f>
        <v>0</v>
      </c>
      <c r="S579" s="1">
        <f xml:space="preserve"> ( $N313 = '2.1 Model setup'!$K$41 ) *  $T257 * S490</f>
        <v>0</v>
      </c>
      <c r="T579" s="1">
        <f xml:space="preserve"> ( $N313 = '2.1 Model setup'!$K$41 ) *  $T257 * T490</f>
        <v>0</v>
      </c>
      <c r="U579" s="1">
        <f xml:space="preserve"> ( $N313 = '2.1 Model setup'!$K$41 ) *  $T257 * U490</f>
        <v>0</v>
      </c>
      <c r="V579" s="1">
        <f xml:space="preserve"> ( $N313 = '2.1 Model setup'!$K$41 ) *  $T257 * V490</f>
        <v>0</v>
      </c>
      <c r="W579" s="4">
        <f t="shared" si="124"/>
        <v>0</v>
      </c>
    </row>
    <row r="580" spans="4:23" ht="15" customHeight="1">
      <c r="D580" s="85" t="str">
        <f xml:space="preserve"> '2.1 Model setup'!K79</f>
        <v>4.2 Omkostninger vedrørende nettab i ledningsnettet</v>
      </c>
      <c r="K580" s="5" t="str">
        <f t="shared" si="123"/>
        <v>DKKt</v>
      </c>
      <c r="L580" s="85"/>
      <c r="O580" s="1">
        <f xml:space="preserve"> ( $N314 = '2.1 Model setup'!$K$41 ) *  $T258 * O491</f>
        <v>0</v>
      </c>
      <c r="P580" s="1">
        <f xml:space="preserve"> ( $N314 = '2.1 Model setup'!$K$41 ) *  $T258 * P491</f>
        <v>0</v>
      </c>
      <c r="Q580" s="202"/>
      <c r="R580" s="1">
        <f xml:space="preserve"> ( $N314 = '2.1 Model setup'!$K$41 ) *  $T258 * R491</f>
        <v>0</v>
      </c>
      <c r="S580" s="1">
        <f xml:space="preserve"> ( $N314 = '2.1 Model setup'!$K$41 ) *  $T258 * S491</f>
        <v>0</v>
      </c>
      <c r="T580" s="1">
        <f xml:space="preserve"> ( $N314 = '2.1 Model setup'!$K$41 ) *  $T258 * T491</f>
        <v>0</v>
      </c>
      <c r="U580" s="1">
        <f xml:space="preserve"> ( $N314 = '2.1 Model setup'!$K$41 ) *  $T258 * U491</f>
        <v>0</v>
      </c>
      <c r="V580" s="1">
        <f xml:space="preserve"> ( $N314 = '2.1 Model setup'!$K$41 ) *  $T258 * V491</f>
        <v>0</v>
      </c>
      <c r="W580" s="4">
        <f t="shared" si="124"/>
        <v>0</v>
      </c>
    </row>
    <row r="581" spans="4:23" ht="15" customHeight="1">
      <c r="D581" s="85" t="str">
        <f xml:space="preserve"> '2.1 Model setup'!K88</f>
        <v>5.1 Omkostninger til overliggende net ifm. indfødning</v>
      </c>
      <c r="K581" s="5" t="str">
        <f t="shared" si="123"/>
        <v>DKKt</v>
      </c>
      <c r="L581" s="85"/>
      <c r="O581" s="1">
        <f xml:space="preserve"> ( $N315 = '2.1 Model setup'!$K$41 ) *  $T259 * O492</f>
        <v>0</v>
      </c>
      <c r="P581" s="1">
        <f xml:space="preserve"> ( $N315 = '2.1 Model setup'!$K$41 ) *  $T259 * P492</f>
        <v>0</v>
      </c>
      <c r="Q581" s="202"/>
      <c r="R581" s="1">
        <f xml:space="preserve"> ( $N315 = '2.1 Model setup'!$K$41 ) *  $T259 * R492</f>
        <v>0</v>
      </c>
      <c r="S581" s="1">
        <f xml:space="preserve"> ( $N315 = '2.1 Model setup'!$K$41 ) *  $T259 * S492</f>
        <v>0</v>
      </c>
      <c r="T581" s="1">
        <f xml:space="preserve"> ( $N315 = '2.1 Model setup'!$K$41 ) *  $T259 * T492</f>
        <v>0</v>
      </c>
      <c r="U581" s="1">
        <f xml:space="preserve"> ( $N315 = '2.1 Model setup'!$K$41 ) *  $T259 * U492</f>
        <v>0</v>
      </c>
      <c r="V581" s="1">
        <f xml:space="preserve"> ( $N315 = '2.1 Model setup'!$K$41 ) *  $T259 * V492</f>
        <v>0</v>
      </c>
      <c r="W581" s="4">
        <f t="shared" si="124"/>
        <v>0</v>
      </c>
    </row>
    <row r="582" spans="4:23" ht="15" customHeight="1">
      <c r="D582" s="85" t="str">
        <f xml:space="preserve"> '2.1 Model setup'!K81</f>
        <v>5.2 Øvrige omkostninger</v>
      </c>
      <c r="K582" s="5" t="str">
        <f t="shared" si="123"/>
        <v>DKKt</v>
      </c>
      <c r="L582" s="85"/>
      <c r="O582" s="1">
        <f xml:space="preserve"> ( $N316 = '2.1 Model setup'!$K$41 ) *  $T260 * O493</f>
        <v>0</v>
      </c>
      <c r="P582" s="1">
        <f xml:space="preserve"> ( $N316 = '2.1 Model setup'!$K$41 ) *  $T260 * P493</f>
        <v>0</v>
      </c>
      <c r="Q582" s="202"/>
      <c r="R582" s="1">
        <f xml:space="preserve"> ( $N316 = '2.1 Model setup'!$K$41 ) *  $T260 * R493</f>
        <v>0</v>
      </c>
      <c r="S582" s="1">
        <f xml:space="preserve"> ( $N316 = '2.1 Model setup'!$K$41 ) *  $T260 * S493</f>
        <v>0</v>
      </c>
      <c r="T582" s="1">
        <f xml:space="preserve"> ( $N316 = '2.1 Model setup'!$K$41 ) *  $T260 * T493</f>
        <v>0</v>
      </c>
      <c r="U582" s="1">
        <f xml:space="preserve"> ( $N316 = '2.1 Model setup'!$K$41 ) *  $T260 * U493</f>
        <v>0</v>
      </c>
      <c r="V582" s="1">
        <f xml:space="preserve"> ( $N316 = '2.1 Model setup'!$K$41 ) *  $T260 * V493</f>
        <v>0</v>
      </c>
      <c r="W582" s="4">
        <f t="shared" si="124"/>
        <v>0</v>
      </c>
    </row>
    <row r="583" spans="4:23" ht="15" customHeight="1">
      <c r="D583" s="85" t="str">
        <f xml:space="preserve"> '2.1 Model setup'!K82</f>
        <v>6.1 Afskrivninger på transformerstationer</v>
      </c>
      <c r="K583" s="5" t="str">
        <f t="shared" si="123"/>
        <v>DKKt</v>
      </c>
      <c r="L583" s="85"/>
      <c r="O583" s="1">
        <f xml:space="preserve"> ( $N317 = '2.1 Model setup'!$K$41 ) *  $T261 * O494</f>
        <v>0</v>
      </c>
      <c r="P583" s="1">
        <f xml:space="preserve"> ( $N317 = '2.1 Model setup'!$K$41 ) *  $T261 * P494</f>
        <v>0</v>
      </c>
      <c r="Q583" s="202"/>
      <c r="R583" s="1">
        <f xml:space="preserve"> ( $N317 = '2.1 Model setup'!$K$41 ) *  $T261 * R494</f>
        <v>0</v>
      </c>
      <c r="S583" s="1">
        <f xml:space="preserve"> ( $N317 = '2.1 Model setup'!$K$41 ) *  $T261 * S494</f>
        <v>0</v>
      </c>
      <c r="T583" s="1">
        <f xml:space="preserve"> ( $N317 = '2.1 Model setup'!$K$41 ) *  $T261 * T494</f>
        <v>0</v>
      </c>
      <c r="U583" s="1">
        <f xml:space="preserve"> ( $N317 = '2.1 Model setup'!$K$41 ) *  $T261 * U494</f>
        <v>0</v>
      </c>
      <c r="V583" s="1">
        <f xml:space="preserve"> ( $N317 = '2.1 Model setup'!$K$41 ) *  $T261 * V494</f>
        <v>0</v>
      </c>
      <c r="W583" s="4">
        <f t="shared" si="124"/>
        <v>0</v>
      </c>
    </row>
    <row r="584" spans="4:23" ht="15" customHeight="1">
      <c r="D584" s="85" t="str">
        <f xml:space="preserve"> '2.1 Model setup'!K83</f>
        <v>6.2 Afskrivninger på netaktiver ekskl. målere og transformerstationer</v>
      </c>
      <c r="K584" s="5" t="str">
        <f t="shared" si="123"/>
        <v>DKKt</v>
      </c>
      <c r="L584" s="85"/>
      <c r="O584" s="1">
        <f xml:space="preserve"> ( $N318 = '2.1 Model setup'!$K$41 ) *  $T262 * O495</f>
        <v>0</v>
      </c>
      <c r="P584" s="1">
        <f xml:space="preserve"> ( $N318 = '2.1 Model setup'!$K$41 ) *  $T262 * P495</f>
        <v>0</v>
      </c>
      <c r="Q584" s="202"/>
      <c r="R584" s="1">
        <f xml:space="preserve"> ( $N318 = '2.1 Model setup'!$K$41 ) *  $T262 * R495</f>
        <v>0</v>
      </c>
      <c r="S584" s="1">
        <f xml:space="preserve"> ( $N318 = '2.1 Model setup'!$K$41 ) *  $T262 * S495</f>
        <v>0</v>
      </c>
      <c r="T584" s="1">
        <f xml:space="preserve"> ( $N318 = '2.1 Model setup'!$K$41 ) *  $T262 * T495</f>
        <v>0</v>
      </c>
      <c r="U584" s="1">
        <f xml:space="preserve"> ( $N318 = '2.1 Model setup'!$K$41 ) *  $T262 * U495</f>
        <v>0</v>
      </c>
      <c r="V584" s="1">
        <f xml:space="preserve"> ( $N318 = '2.1 Model setup'!$K$41 ) *  $T262 * V495</f>
        <v>0</v>
      </c>
      <c r="W584" s="4">
        <f t="shared" si="124"/>
        <v>0</v>
      </c>
    </row>
    <row r="585" spans="4:23" ht="15" customHeight="1">
      <c r="D585" s="99" t="str">
        <f xml:space="preserve"> '2.1 Model setup'!K84</f>
        <v>6.3 Afskrivninger på målere</v>
      </c>
      <c r="E585" s="27"/>
      <c r="F585" s="27"/>
      <c r="G585" s="27"/>
      <c r="H585" s="27"/>
      <c r="I585" s="27"/>
      <c r="J585" s="27"/>
      <c r="K585" s="32" t="str">
        <f t="shared" si="123"/>
        <v>DKKt</v>
      </c>
      <c r="L585" s="99"/>
      <c r="M585" s="27"/>
      <c r="N585" s="27"/>
      <c r="O585" s="27">
        <f xml:space="preserve"> ( $N319 = '2.1 Model setup'!$K$41 ) *  $T263 * O496</f>
        <v>0</v>
      </c>
      <c r="P585" s="27">
        <f xml:space="preserve"> ( $N319 = '2.1 Model setup'!$K$41 ) *  $T263 * P496</f>
        <v>0</v>
      </c>
      <c r="Q585" s="269"/>
      <c r="R585" s="27">
        <f xml:space="preserve"> ( $N319 = '2.1 Model setup'!$K$41 ) *  $T263 * R496</f>
        <v>0</v>
      </c>
      <c r="S585" s="27">
        <f xml:space="preserve"> ( $N319 = '2.1 Model setup'!$K$41 ) *  $T263 * S496</f>
        <v>0</v>
      </c>
      <c r="T585" s="27">
        <f xml:space="preserve"> ( $N319 = '2.1 Model setup'!$K$41 ) *  $T263 * T496</f>
        <v>0</v>
      </c>
      <c r="U585" s="27">
        <f xml:space="preserve"> ( $N319 = '2.1 Model setup'!$K$41 ) *  $T263 * U496</f>
        <v>0</v>
      </c>
      <c r="V585" s="27">
        <f xml:space="preserve"> ( $N319 = '2.1 Model setup'!$K$41 ) *  $T263 * V496</f>
        <v>0</v>
      </c>
      <c r="W585" s="35">
        <f t="shared" si="124"/>
        <v>0</v>
      </c>
    </row>
    <row r="586" spans="4:23" ht="15" customHeight="1">
      <c r="D586" s="105" t="s">
        <v>16</v>
      </c>
      <c r="E586" s="186"/>
      <c r="F586" s="186"/>
      <c r="G586" s="186"/>
      <c r="H586" s="186"/>
      <c r="I586" s="186"/>
      <c r="J586" s="186"/>
      <c r="K586" s="187" t="str">
        <f t="shared" si="123"/>
        <v>DKKt</v>
      </c>
      <c r="L586" s="105"/>
      <c r="M586" s="186"/>
      <c r="N586" s="186"/>
      <c r="O586" s="186">
        <f xml:space="preserve"> SUM( O571:O585 )</f>
        <v>0</v>
      </c>
      <c r="P586" s="186">
        <f xml:space="preserve"> SUM( P571:P585 )</f>
        <v>0</v>
      </c>
      <c r="Q586" s="388"/>
      <c r="R586" s="186">
        <f t="shared" ref="R586" si="125" xml:space="preserve"> SUM( R571:R585 )</f>
        <v>0</v>
      </c>
      <c r="S586" s="186">
        <f t="shared" ref="S586" si="126" xml:space="preserve"> SUM( S571:S585 )</f>
        <v>0</v>
      </c>
      <c r="T586" s="186">
        <f t="shared" ref="T586" si="127" xml:space="preserve"> SUM( T571:T585 )</f>
        <v>0</v>
      </c>
      <c r="U586" s="186">
        <f t="shared" ref="U586" si="128" xml:space="preserve"> SUM( U571:U585 )</f>
        <v>0</v>
      </c>
      <c r="V586" s="186">
        <f t="shared" ref="V586" si="129" xml:space="preserve"> SUM( V571:V585 )</f>
        <v>0</v>
      </c>
      <c r="W586" s="186">
        <f t="shared" ref="W586" si="130" xml:space="preserve"> SUM( W571:W585 )</f>
        <v>0</v>
      </c>
    </row>
    <row r="588" spans="4:23" ht="15" customHeight="1">
      <c r="D588" s="35" t="s">
        <v>597</v>
      </c>
      <c r="E588" s="27"/>
      <c r="F588" s="27"/>
      <c r="G588" s="27"/>
      <c r="H588" s="27"/>
      <c r="I588" s="27"/>
      <c r="J588" s="27"/>
      <c r="K588" s="32"/>
      <c r="L588" s="27"/>
      <c r="M588" s="27"/>
      <c r="N588" s="27"/>
      <c r="O588" s="27"/>
      <c r="P588" s="27"/>
      <c r="Q588" s="27"/>
      <c r="R588" s="27"/>
      <c r="S588" s="27"/>
      <c r="T588" s="27"/>
      <c r="U588" s="27"/>
      <c r="V588" s="27"/>
      <c r="W588" s="185" t="s">
        <v>16</v>
      </c>
    </row>
    <row r="589" spans="4:23" ht="15" customHeight="1">
      <c r="D589" s="123" t="str">
        <f xml:space="preserve"> '2.1 Model setup'!K70</f>
        <v>1.1 Drift og vedligeholdelse af transformerstationer</v>
      </c>
      <c r="E589" s="15"/>
      <c r="F589" s="15"/>
      <c r="G589" s="15"/>
      <c r="H589" s="15"/>
      <c r="I589" s="15"/>
      <c r="J589" s="15"/>
      <c r="K589" s="19" t="str">
        <f t="shared" ref="K589:K604" si="131" xml:space="preserve"> Model.Units</f>
        <v>DKKt</v>
      </c>
      <c r="L589" s="123"/>
      <c r="M589" s="15"/>
      <c r="N589" s="15"/>
      <c r="O589" s="15">
        <f xml:space="preserve"> O499 + O517 + O535 + O553 + O571</f>
        <v>0</v>
      </c>
      <c r="P589" s="15">
        <f t="shared" ref="P589:V589" si="132" xml:space="preserve"> P499 + P517 + P535 + P553 + P571</f>
        <v>0</v>
      </c>
      <c r="Q589" s="274"/>
      <c r="R589" s="15">
        <f t="shared" si="132"/>
        <v>0</v>
      </c>
      <c r="S589" s="15">
        <f t="shared" si="132"/>
        <v>0</v>
      </c>
      <c r="T589" s="15">
        <f t="shared" si="132"/>
        <v>0</v>
      </c>
      <c r="U589" s="15">
        <f t="shared" si="132"/>
        <v>0</v>
      </c>
      <c r="V589" s="15">
        <f t="shared" si="132"/>
        <v>0</v>
      </c>
      <c r="W589" s="18">
        <f xml:space="preserve"> SUM( O589:V589 )</f>
        <v>0</v>
      </c>
    </row>
    <row r="590" spans="4:23" ht="15" customHeight="1">
      <c r="D590" s="85" t="str">
        <f xml:space="preserve"> '2.1 Model setup'!K71</f>
        <v>1.2 Drift og vedligeholdelse af ledningsnet</v>
      </c>
      <c r="K590" s="5" t="str">
        <f t="shared" si="131"/>
        <v>DKKt</v>
      </c>
      <c r="L590" s="85"/>
      <c r="O590" s="1">
        <f t="shared" ref="O590:V603" si="133" xml:space="preserve"> O500 + O518 + O536 + O554 + O572</f>
        <v>0</v>
      </c>
      <c r="P590" s="1">
        <f t="shared" si="133"/>
        <v>0</v>
      </c>
      <c r="Q590" s="202"/>
      <c r="R590" s="1">
        <f t="shared" si="133"/>
        <v>0</v>
      </c>
      <c r="S590" s="1">
        <f t="shared" si="133"/>
        <v>0</v>
      </c>
      <c r="T590" s="1">
        <f t="shared" si="133"/>
        <v>0</v>
      </c>
      <c r="U590" s="1">
        <f t="shared" si="133"/>
        <v>0</v>
      </c>
      <c r="V590" s="1">
        <f t="shared" si="133"/>
        <v>0</v>
      </c>
      <c r="W590" s="4">
        <f t="shared" ref="W590:W603" si="134" xml:space="preserve"> SUM( O590:V590 )</f>
        <v>0</v>
      </c>
    </row>
    <row r="591" spans="4:23" ht="15" customHeight="1">
      <c r="D591" s="85" t="str">
        <f xml:space="preserve"> '2.1 Model setup'!K72</f>
        <v>1.3 Øvrige omkostninger til drift, styring og kontrol af elnettet</v>
      </c>
      <c r="K591" s="5" t="str">
        <f t="shared" si="131"/>
        <v>DKKt</v>
      </c>
      <c r="L591" s="85"/>
      <c r="O591" s="1">
        <f t="shared" si="133"/>
        <v>0</v>
      </c>
      <c r="P591" s="1">
        <f t="shared" si="133"/>
        <v>0</v>
      </c>
      <c r="Q591" s="202"/>
      <c r="R591" s="1">
        <f t="shared" si="133"/>
        <v>0</v>
      </c>
      <c r="S591" s="1">
        <f t="shared" si="133"/>
        <v>0</v>
      </c>
      <c r="T591" s="1">
        <f t="shared" si="133"/>
        <v>0</v>
      </c>
      <c r="U591" s="1">
        <f t="shared" si="133"/>
        <v>0</v>
      </c>
      <c r="V591" s="1">
        <f t="shared" si="133"/>
        <v>0</v>
      </c>
      <c r="W591" s="4">
        <f t="shared" si="134"/>
        <v>0</v>
      </c>
    </row>
    <row r="592" spans="4:23" ht="15" customHeight="1">
      <c r="D592" s="85" t="str">
        <f xml:space="preserve"> '2.1 Model setup'!K73</f>
        <v>1.4 Omkostninger vedrørende 132-150/30-60 kV-stationer</v>
      </c>
      <c r="K592" s="5" t="str">
        <f t="shared" si="131"/>
        <v>DKKt</v>
      </c>
      <c r="L592" s="85"/>
      <c r="O592" s="1">
        <f t="shared" si="133"/>
        <v>0</v>
      </c>
      <c r="P592" s="1">
        <f t="shared" si="133"/>
        <v>0</v>
      </c>
      <c r="Q592" s="202"/>
      <c r="R592" s="1">
        <f t="shared" si="133"/>
        <v>0</v>
      </c>
      <c r="S592" s="1">
        <f t="shared" si="133"/>
        <v>0</v>
      </c>
      <c r="T592" s="1">
        <f t="shared" si="133"/>
        <v>0</v>
      </c>
      <c r="U592" s="1">
        <f t="shared" si="133"/>
        <v>0</v>
      </c>
      <c r="V592" s="1">
        <f t="shared" si="133"/>
        <v>0</v>
      </c>
      <c r="W592" s="4">
        <f t="shared" si="134"/>
        <v>0</v>
      </c>
    </row>
    <row r="593" spans="4:23" ht="15" customHeight="1">
      <c r="D593" s="85" t="str">
        <f xml:space="preserve"> '2.1 Model setup'!K74</f>
        <v>2.1 Drift og vedligeholdelse af målere</v>
      </c>
      <c r="K593" s="5" t="str">
        <f t="shared" si="131"/>
        <v>DKKt</v>
      </c>
      <c r="L593" s="85"/>
      <c r="O593" s="1">
        <f t="shared" si="133"/>
        <v>0</v>
      </c>
      <c r="P593" s="1">
        <f t="shared" si="133"/>
        <v>0</v>
      </c>
      <c r="Q593" s="202"/>
      <c r="R593" s="1">
        <f t="shared" si="133"/>
        <v>0</v>
      </c>
      <c r="S593" s="1">
        <f t="shared" si="133"/>
        <v>0</v>
      </c>
      <c r="T593" s="1">
        <f t="shared" si="133"/>
        <v>0</v>
      </c>
      <c r="U593" s="1">
        <f t="shared" si="133"/>
        <v>0</v>
      </c>
      <c r="V593" s="1">
        <f t="shared" si="133"/>
        <v>0</v>
      </c>
      <c r="W593" s="4">
        <f t="shared" si="134"/>
        <v>0</v>
      </c>
    </row>
    <row r="594" spans="4:23" ht="15" customHeight="1">
      <c r="D594" s="85" t="str">
        <f xml:space="preserve"> '2.1 Model setup'!K75</f>
        <v>2.2 Indhentning og validering af målerdata</v>
      </c>
      <c r="K594" s="5" t="str">
        <f t="shared" si="131"/>
        <v>DKKt</v>
      </c>
      <c r="L594" s="85"/>
      <c r="O594" s="1">
        <f t="shared" si="133"/>
        <v>0</v>
      </c>
      <c r="P594" s="1">
        <f t="shared" si="133"/>
        <v>0</v>
      </c>
      <c r="Q594" s="202"/>
      <c r="R594" s="1">
        <f t="shared" si="133"/>
        <v>0</v>
      </c>
      <c r="S594" s="1">
        <f t="shared" si="133"/>
        <v>0</v>
      </c>
      <c r="T594" s="1">
        <f t="shared" si="133"/>
        <v>0</v>
      </c>
      <c r="U594" s="1">
        <f t="shared" si="133"/>
        <v>0</v>
      </c>
      <c r="V594" s="1">
        <f t="shared" si="133"/>
        <v>0</v>
      </c>
      <c r="W594" s="4">
        <f t="shared" si="134"/>
        <v>0</v>
      </c>
    </row>
    <row r="595" spans="4:23" ht="15" customHeight="1">
      <c r="D595" s="85" t="str">
        <f xml:space="preserve"> '2.1 Model setup'!K76</f>
        <v>2.3 Måleradministration og kundehåndtering</v>
      </c>
      <c r="K595" s="5" t="str">
        <f t="shared" si="131"/>
        <v>DKKt</v>
      </c>
      <c r="L595" s="85"/>
      <c r="O595" s="1">
        <f t="shared" si="133"/>
        <v>0</v>
      </c>
      <c r="P595" s="1">
        <f t="shared" si="133"/>
        <v>0</v>
      </c>
      <c r="Q595" s="202"/>
      <c r="R595" s="1">
        <f t="shared" si="133"/>
        <v>0</v>
      </c>
      <c r="S595" s="1">
        <f t="shared" si="133"/>
        <v>0</v>
      </c>
      <c r="T595" s="1">
        <f t="shared" si="133"/>
        <v>0</v>
      </c>
      <c r="U595" s="1">
        <f t="shared" si="133"/>
        <v>0</v>
      </c>
      <c r="V595" s="1">
        <f t="shared" si="133"/>
        <v>0</v>
      </c>
      <c r="W595" s="4">
        <f t="shared" si="134"/>
        <v>0</v>
      </c>
    </row>
    <row r="596" spans="4:23" ht="15" customHeight="1">
      <c r="D596" s="85" t="str">
        <f xml:space="preserve"> '2.1 Model setup'!K77</f>
        <v>3.1 Generel administration</v>
      </c>
      <c r="K596" s="5" t="str">
        <f t="shared" si="131"/>
        <v>DKKt</v>
      </c>
      <c r="L596" s="85"/>
      <c r="O596" s="1">
        <f t="shared" si="133"/>
        <v>0</v>
      </c>
      <c r="P596" s="1">
        <f t="shared" si="133"/>
        <v>0</v>
      </c>
      <c r="Q596" s="202"/>
      <c r="R596" s="1">
        <f t="shared" si="133"/>
        <v>0</v>
      </c>
      <c r="S596" s="1">
        <f t="shared" si="133"/>
        <v>0</v>
      </c>
      <c r="T596" s="1">
        <f t="shared" si="133"/>
        <v>0</v>
      </c>
      <c r="U596" s="1">
        <f t="shared" si="133"/>
        <v>0</v>
      </c>
      <c r="V596" s="1">
        <f t="shared" si="133"/>
        <v>0</v>
      </c>
      <c r="W596" s="4">
        <f t="shared" si="134"/>
        <v>0</v>
      </c>
    </row>
    <row r="597" spans="4:23" ht="15" customHeight="1">
      <c r="D597" s="85" t="str">
        <f xml:space="preserve"> '2.1 Model setup'!K78</f>
        <v>4.1 Omkostninger vedrørende nettab i transformerstationer</v>
      </c>
      <c r="K597" s="5" t="str">
        <f t="shared" si="131"/>
        <v>DKKt</v>
      </c>
      <c r="L597" s="85"/>
      <c r="O597" s="1">
        <f t="shared" si="133"/>
        <v>0</v>
      </c>
      <c r="P597" s="1">
        <f t="shared" si="133"/>
        <v>0</v>
      </c>
      <c r="Q597" s="202"/>
      <c r="R597" s="1">
        <f t="shared" si="133"/>
        <v>0</v>
      </c>
      <c r="S597" s="1">
        <f t="shared" si="133"/>
        <v>0</v>
      </c>
      <c r="T597" s="1">
        <f t="shared" si="133"/>
        <v>0</v>
      </c>
      <c r="U597" s="1">
        <f t="shared" si="133"/>
        <v>0</v>
      </c>
      <c r="V597" s="1">
        <f t="shared" si="133"/>
        <v>0</v>
      </c>
      <c r="W597" s="4">
        <f t="shared" si="134"/>
        <v>0</v>
      </c>
    </row>
    <row r="598" spans="4:23" ht="15" customHeight="1">
      <c r="D598" s="85" t="str">
        <f xml:space="preserve"> '2.1 Model setup'!K79</f>
        <v>4.2 Omkostninger vedrørende nettab i ledningsnettet</v>
      </c>
      <c r="K598" s="5" t="str">
        <f t="shared" si="131"/>
        <v>DKKt</v>
      </c>
      <c r="L598" s="85"/>
      <c r="O598" s="1">
        <f t="shared" si="133"/>
        <v>0</v>
      </c>
      <c r="P598" s="1">
        <f t="shared" si="133"/>
        <v>0</v>
      </c>
      <c r="Q598" s="202"/>
      <c r="R598" s="1">
        <f t="shared" si="133"/>
        <v>0</v>
      </c>
      <c r="S598" s="1">
        <f t="shared" si="133"/>
        <v>0</v>
      </c>
      <c r="T598" s="1">
        <f t="shared" si="133"/>
        <v>0</v>
      </c>
      <c r="U598" s="1">
        <f t="shared" si="133"/>
        <v>0</v>
      </c>
      <c r="V598" s="1">
        <f t="shared" si="133"/>
        <v>0</v>
      </c>
      <c r="W598" s="4">
        <f t="shared" si="134"/>
        <v>0</v>
      </c>
    </row>
    <row r="599" spans="4:23" ht="15" customHeight="1">
      <c r="D599" s="85" t="str">
        <f xml:space="preserve"> '2.1 Model setup'!K88</f>
        <v>5.1 Omkostninger til overliggende net ifm. indfødning</v>
      </c>
      <c r="K599" s="5" t="str">
        <f t="shared" si="131"/>
        <v>DKKt</v>
      </c>
      <c r="L599" s="85"/>
      <c r="O599" s="1">
        <f t="shared" si="133"/>
        <v>0</v>
      </c>
      <c r="P599" s="1">
        <f t="shared" si="133"/>
        <v>0</v>
      </c>
      <c r="Q599" s="202"/>
      <c r="R599" s="1">
        <f t="shared" si="133"/>
        <v>0</v>
      </c>
      <c r="S599" s="1">
        <f t="shared" si="133"/>
        <v>0</v>
      </c>
      <c r="T599" s="1">
        <f t="shared" si="133"/>
        <v>0</v>
      </c>
      <c r="U599" s="1">
        <f t="shared" si="133"/>
        <v>0</v>
      </c>
      <c r="V599" s="1">
        <f t="shared" si="133"/>
        <v>0</v>
      </c>
      <c r="W599" s="4">
        <f t="shared" si="134"/>
        <v>0</v>
      </c>
    </row>
    <row r="600" spans="4:23" ht="15" customHeight="1">
      <c r="D600" s="85" t="str">
        <f xml:space="preserve"> '2.1 Model setup'!K81</f>
        <v>5.2 Øvrige omkostninger</v>
      </c>
      <c r="K600" s="5" t="str">
        <f t="shared" si="131"/>
        <v>DKKt</v>
      </c>
      <c r="L600" s="85"/>
      <c r="O600" s="1">
        <f t="shared" si="133"/>
        <v>0</v>
      </c>
      <c r="P600" s="1">
        <f t="shared" si="133"/>
        <v>0</v>
      </c>
      <c r="Q600" s="202"/>
      <c r="R600" s="1">
        <f t="shared" si="133"/>
        <v>0</v>
      </c>
      <c r="S600" s="1">
        <f t="shared" si="133"/>
        <v>0</v>
      </c>
      <c r="T600" s="1">
        <f t="shared" si="133"/>
        <v>0</v>
      </c>
      <c r="U600" s="1">
        <f t="shared" si="133"/>
        <v>0</v>
      </c>
      <c r="V600" s="1">
        <f t="shared" si="133"/>
        <v>0</v>
      </c>
      <c r="W600" s="4">
        <f t="shared" si="134"/>
        <v>0</v>
      </c>
    </row>
    <row r="601" spans="4:23" ht="15" customHeight="1">
      <c r="D601" s="85" t="str">
        <f xml:space="preserve"> '2.1 Model setup'!K82</f>
        <v>6.1 Afskrivninger på transformerstationer</v>
      </c>
      <c r="K601" s="5" t="str">
        <f t="shared" si="131"/>
        <v>DKKt</v>
      </c>
      <c r="L601" s="85"/>
      <c r="O601" s="1">
        <f t="shared" si="133"/>
        <v>0</v>
      </c>
      <c r="P601" s="1">
        <f t="shared" si="133"/>
        <v>0</v>
      </c>
      <c r="Q601" s="202"/>
      <c r="R601" s="1">
        <f t="shared" si="133"/>
        <v>0</v>
      </c>
      <c r="S601" s="1">
        <f t="shared" si="133"/>
        <v>0</v>
      </c>
      <c r="T601" s="1">
        <f t="shared" si="133"/>
        <v>0</v>
      </c>
      <c r="U601" s="1">
        <f t="shared" si="133"/>
        <v>0</v>
      </c>
      <c r="V601" s="1">
        <f t="shared" si="133"/>
        <v>0</v>
      </c>
      <c r="W601" s="4">
        <f t="shared" si="134"/>
        <v>0</v>
      </c>
    </row>
    <row r="602" spans="4:23" ht="15" customHeight="1">
      <c r="D602" s="85" t="str">
        <f xml:space="preserve"> '2.1 Model setup'!K83</f>
        <v>6.2 Afskrivninger på netaktiver ekskl. målere og transformerstationer</v>
      </c>
      <c r="K602" s="5" t="str">
        <f t="shared" si="131"/>
        <v>DKKt</v>
      </c>
      <c r="L602" s="85"/>
      <c r="O602" s="1">
        <f t="shared" si="133"/>
        <v>0</v>
      </c>
      <c r="P602" s="1">
        <f t="shared" si="133"/>
        <v>0</v>
      </c>
      <c r="Q602" s="202"/>
      <c r="R602" s="1">
        <f t="shared" si="133"/>
        <v>0</v>
      </c>
      <c r="S602" s="1">
        <f t="shared" si="133"/>
        <v>0</v>
      </c>
      <c r="T602" s="1">
        <f t="shared" si="133"/>
        <v>0</v>
      </c>
      <c r="U602" s="1">
        <f t="shared" si="133"/>
        <v>0</v>
      </c>
      <c r="V602" s="1">
        <f t="shared" si="133"/>
        <v>0</v>
      </c>
      <c r="W602" s="4">
        <f t="shared" si="134"/>
        <v>0</v>
      </c>
    </row>
    <row r="603" spans="4:23" ht="15" customHeight="1">
      <c r="D603" s="99" t="str">
        <f xml:space="preserve"> '2.1 Model setup'!K84</f>
        <v>6.3 Afskrivninger på målere</v>
      </c>
      <c r="E603" s="27"/>
      <c r="F603" s="27"/>
      <c r="G603" s="27"/>
      <c r="H603" s="27"/>
      <c r="I603" s="27"/>
      <c r="J603" s="27"/>
      <c r="K603" s="32" t="str">
        <f t="shared" si="131"/>
        <v>DKKt</v>
      </c>
      <c r="L603" s="99"/>
      <c r="M603" s="27"/>
      <c r="N603" s="27"/>
      <c r="O603" s="27">
        <f t="shared" si="133"/>
        <v>0</v>
      </c>
      <c r="P603" s="27">
        <f t="shared" si="133"/>
        <v>0</v>
      </c>
      <c r="Q603" s="269"/>
      <c r="R603" s="27">
        <f t="shared" si="133"/>
        <v>0</v>
      </c>
      <c r="S603" s="27">
        <f t="shared" si="133"/>
        <v>0</v>
      </c>
      <c r="T603" s="27">
        <f t="shared" si="133"/>
        <v>0</v>
      </c>
      <c r="U603" s="27">
        <f t="shared" si="133"/>
        <v>0</v>
      </c>
      <c r="V603" s="27">
        <f t="shared" si="133"/>
        <v>0</v>
      </c>
      <c r="W603" s="35">
        <f t="shared" si="134"/>
        <v>0</v>
      </c>
    </row>
    <row r="604" spans="4:23" ht="15" customHeight="1">
      <c r="D604" s="105" t="s">
        <v>16</v>
      </c>
      <c r="E604" s="186"/>
      <c r="F604" s="186"/>
      <c r="G604" s="186"/>
      <c r="H604" s="186"/>
      <c r="I604" s="186"/>
      <c r="J604" s="186"/>
      <c r="K604" s="187" t="str">
        <f t="shared" si="131"/>
        <v>DKKt</v>
      </c>
      <c r="L604" s="105"/>
      <c r="M604" s="186"/>
      <c r="N604" s="186"/>
      <c r="O604" s="186">
        <f xml:space="preserve"> SUM( O589:O603 )</f>
        <v>0</v>
      </c>
      <c r="P604" s="186">
        <f xml:space="preserve"> SUM( P589:P603 )</f>
        <v>0</v>
      </c>
      <c r="Q604" s="388"/>
      <c r="R604" s="186">
        <f t="shared" ref="R604" si="135" xml:space="preserve"> SUM( R589:R603 )</f>
        <v>0</v>
      </c>
      <c r="S604" s="186">
        <f t="shared" ref="S604" si="136" xml:space="preserve"> SUM( S589:S603 )</f>
        <v>0</v>
      </c>
      <c r="T604" s="186">
        <f t="shared" ref="T604" si="137" xml:space="preserve"> SUM( T589:T603 )</f>
        <v>0</v>
      </c>
      <c r="U604" s="186">
        <f t="shared" ref="U604" si="138" xml:space="preserve"> SUM( U589:U603 )</f>
        <v>0</v>
      </c>
      <c r="V604" s="186">
        <f t="shared" ref="V604" si="139" xml:space="preserve"> SUM( V589:V603 )</f>
        <v>0</v>
      </c>
      <c r="W604" s="186">
        <f t="shared" ref="W604" si="140" xml:space="preserve"> SUM( W589:W603 )</f>
        <v>0</v>
      </c>
    </row>
    <row r="606" spans="4:23" ht="15" customHeight="1">
      <c r="D606" s="35" t="s">
        <v>598</v>
      </c>
      <c r="E606" s="27"/>
      <c r="F606" s="27"/>
      <c r="G606" s="27"/>
      <c r="H606" s="27"/>
      <c r="I606" s="27"/>
      <c r="J606" s="27"/>
      <c r="K606" s="32"/>
      <c r="L606" s="27"/>
      <c r="M606" s="27"/>
      <c r="N606" s="27"/>
      <c r="O606" s="27"/>
      <c r="P606" s="27"/>
      <c r="Q606" s="27"/>
      <c r="R606" s="27"/>
      <c r="S606" s="27"/>
      <c r="T606" s="27"/>
      <c r="U606" s="27"/>
      <c r="V606" s="27"/>
      <c r="W606" s="185" t="s">
        <v>16</v>
      </c>
    </row>
    <row r="607" spans="4:23" ht="15" customHeight="1">
      <c r="D607" s="85" t="str">
        <f xml:space="preserve"> '2.1 Model setup'!K70</f>
        <v>1.1 Drift og vedligeholdelse af transformerstationer</v>
      </c>
      <c r="K607" s="5" t="str">
        <f t="shared" ref="K607:K622" si="141" xml:space="preserve"> Model.Units</f>
        <v>DKKt</v>
      </c>
      <c r="L607" s="85"/>
      <c r="O607" s="1">
        <f xml:space="preserve"> O499 * ( $N305 = '2.1 Model setup'!$K$41 ) + O249 * ( $N305 = '2.1 Model setup'!$K$42 )</f>
        <v>0</v>
      </c>
      <c r="P607" s="322">
        <f xml:space="preserve"> P517 * ( $N305 = '2.1 Model setup'!$K$41 ) + P249 * ( $N305 = '2.1 Model setup'!$K$42 )</f>
        <v>0</v>
      </c>
      <c r="Q607" s="559"/>
      <c r="R607" s="320">
        <f xml:space="preserve"> R535 * ( $N305 = '2.1 Model setup'!$K$41 ) + R249 * ( $N305 = '2.1 Model setup'!$K$42 )</f>
        <v>0</v>
      </c>
      <c r="S607" s="321">
        <f xml:space="preserve"> S553 * ( $N305 = '2.1 Model setup'!$K$41 ) + S249 * ( $N305 = '2.1 Model setup'!$K$42 )</f>
        <v>0</v>
      </c>
      <c r="T607" s="1">
        <f xml:space="preserve"> T571 * ( $N305 = '2.1 Model setup'!$K$41 ) + T249 * ( $N305 = '2.1 Model setup'!$K$42 )</f>
        <v>0</v>
      </c>
      <c r="U607" s="559"/>
      <c r="V607" s="559"/>
      <c r="W607" s="320">
        <f xml:space="preserve"> SUM( O607:V607 )</f>
        <v>0</v>
      </c>
    </row>
    <row r="608" spans="4:23" ht="15" customHeight="1">
      <c r="D608" s="85" t="str">
        <f xml:space="preserve"> '2.1 Model setup'!K71</f>
        <v>1.2 Drift og vedligeholdelse af ledningsnet</v>
      </c>
      <c r="K608" s="5" t="str">
        <f t="shared" si="141"/>
        <v>DKKt</v>
      </c>
      <c r="L608" s="85"/>
      <c r="O608" s="1">
        <f xml:space="preserve"> O500 * ( $N306 = '2.1 Model setup'!$K$41 ) + O250 * ( $N306 = '2.1 Model setup'!$K$42 )</f>
        <v>0</v>
      </c>
      <c r="P608" s="322">
        <f xml:space="preserve"> P518 * ( $N306 = '2.1 Model setup'!$K$41 ) + P250 * ( $N306 = '2.1 Model setup'!$K$42 )</f>
        <v>0</v>
      </c>
      <c r="Q608" s="560"/>
      <c r="R608" s="322">
        <f xml:space="preserve"> R536 * ( $N306 = '2.1 Model setup'!$K$41 ) + R250 * ( $N306 = '2.1 Model setup'!$K$42 )</f>
        <v>0</v>
      </c>
      <c r="S608" s="323">
        <f xml:space="preserve"> S554 * ( $N306 = '2.1 Model setup'!$K$41 ) + S250 * ( $N306 = '2.1 Model setup'!$K$42 )</f>
        <v>0</v>
      </c>
      <c r="T608" s="1">
        <f xml:space="preserve"> T572 * ( $N306 = '2.1 Model setup'!$K$41 ) + T250 * ( $N306 = '2.1 Model setup'!$K$42 )</f>
        <v>0</v>
      </c>
      <c r="U608" s="560"/>
      <c r="V608" s="560"/>
      <c r="W608" s="322">
        <f t="shared" ref="W608:W621" si="142" xml:space="preserve"> SUM( O608:V608 )</f>
        <v>0</v>
      </c>
    </row>
    <row r="609" spans="4:23" ht="15" customHeight="1">
      <c r="D609" s="85" t="str">
        <f xml:space="preserve"> '2.1 Model setup'!K72</f>
        <v>1.3 Øvrige omkostninger til drift, styring og kontrol af elnettet</v>
      </c>
      <c r="K609" s="5" t="str">
        <f t="shared" si="141"/>
        <v>DKKt</v>
      </c>
      <c r="L609" s="85"/>
      <c r="O609" s="1">
        <f xml:space="preserve"> O501 * ( $N307 = '2.1 Model setup'!$K$41 ) + O251 * ( $N307 = '2.1 Model setup'!$K$42 )</f>
        <v>0</v>
      </c>
      <c r="P609" s="322">
        <f xml:space="preserve"> P519 * ( $N307 = '2.1 Model setup'!$K$41 ) + P251 * ( $N307 = '2.1 Model setup'!$K$42 )</f>
        <v>0</v>
      </c>
      <c r="Q609" s="560"/>
      <c r="R609" s="322">
        <f xml:space="preserve"> R537 * ( $N307 = '2.1 Model setup'!$K$41 ) + R251 * ( $N307 = '2.1 Model setup'!$K$42 )</f>
        <v>0</v>
      </c>
      <c r="S609" s="323">
        <f xml:space="preserve"> S555 * ( $N307 = '2.1 Model setup'!$K$41 ) + S251 * ( $N307 = '2.1 Model setup'!$K$42 )</f>
        <v>0</v>
      </c>
      <c r="T609" s="1">
        <f xml:space="preserve"> T573 * ( $N307 = '2.1 Model setup'!$K$41 ) + T251 * ( $N307 = '2.1 Model setup'!$K$42 )</f>
        <v>0</v>
      </c>
      <c r="U609" s="560"/>
      <c r="V609" s="560"/>
      <c r="W609" s="322">
        <f t="shared" si="142"/>
        <v>0</v>
      </c>
    </row>
    <row r="610" spans="4:23" ht="15" customHeight="1">
      <c r="D610" s="85" t="str">
        <f xml:space="preserve"> '2.1 Model setup'!K73</f>
        <v>1.4 Omkostninger vedrørende 132-150/30-60 kV-stationer</v>
      </c>
      <c r="K610" s="5" t="str">
        <f t="shared" si="141"/>
        <v>DKKt</v>
      </c>
      <c r="L610" s="85"/>
      <c r="O610" s="1">
        <f xml:space="preserve"> O502 * ( $N308 = '2.1 Model setup'!$K$41 ) + O252 * ( $N308 = '2.1 Model setup'!$K$42 )</f>
        <v>0</v>
      </c>
      <c r="P610" s="322">
        <f xml:space="preserve"> P520 * ( $N308 = '2.1 Model setup'!$K$41 ) + P252 * ( $N308 = '2.1 Model setup'!$K$42 )</f>
        <v>0</v>
      </c>
      <c r="Q610" s="560"/>
      <c r="R610" s="322">
        <f xml:space="preserve"> R538 * ( $N308 = '2.1 Model setup'!$K$41 ) + R252 * ( $N308 = '2.1 Model setup'!$K$42 )</f>
        <v>0</v>
      </c>
      <c r="S610" s="323">
        <f xml:space="preserve"> S556 * ( $N308 = '2.1 Model setup'!$K$41 ) + S252 * ( $N308 = '2.1 Model setup'!$K$42 )</f>
        <v>0</v>
      </c>
      <c r="T610" s="1">
        <f xml:space="preserve"> T574 * ( $N308 = '2.1 Model setup'!$K$41 ) + T252 * ( $N308 = '2.1 Model setup'!$K$42 )</f>
        <v>0</v>
      </c>
      <c r="U610" s="560"/>
      <c r="V610" s="560"/>
      <c r="W610" s="322">
        <f t="shared" si="142"/>
        <v>0</v>
      </c>
    </row>
    <row r="611" spans="4:23" ht="15" customHeight="1">
      <c r="D611" s="85" t="str">
        <f xml:space="preserve"> '2.1 Model setup'!K74</f>
        <v>2.1 Drift og vedligeholdelse af målere</v>
      </c>
      <c r="K611" s="5" t="str">
        <f t="shared" si="141"/>
        <v>DKKt</v>
      </c>
      <c r="L611" s="85"/>
      <c r="O611" s="1">
        <f xml:space="preserve"> O503 * ( $N309 = '2.1 Model setup'!$K$41 ) + O253 * ( $N309 = '2.1 Model setup'!$K$42 )</f>
        <v>0</v>
      </c>
      <c r="P611" s="322">
        <f xml:space="preserve"> P521 * ( $N309 = '2.1 Model setup'!$K$41 ) + P253 * ( $N309 = '2.1 Model setup'!$K$42 )</f>
        <v>0</v>
      </c>
      <c r="Q611" s="560"/>
      <c r="R611" s="322">
        <f xml:space="preserve"> R539 * ( $N309 = '2.1 Model setup'!$K$41 ) + R253 * ( $N309 = '2.1 Model setup'!$K$42 )</f>
        <v>0</v>
      </c>
      <c r="S611" s="323">
        <f xml:space="preserve"> S557 * ( $N309 = '2.1 Model setup'!$K$41 ) + S253 * ( $N309 = '2.1 Model setup'!$K$42 )</f>
        <v>0</v>
      </c>
      <c r="T611" s="1">
        <f xml:space="preserve"> T575 * ( $N309 = '2.1 Model setup'!$K$41 ) + T253 * ( $N309 = '2.1 Model setup'!$K$42 )</f>
        <v>0</v>
      </c>
      <c r="U611" s="560"/>
      <c r="V611" s="560"/>
      <c r="W611" s="322">
        <f t="shared" si="142"/>
        <v>0</v>
      </c>
    </row>
    <row r="612" spans="4:23" ht="15" customHeight="1">
      <c r="D612" s="85" t="str">
        <f xml:space="preserve"> '2.1 Model setup'!K75</f>
        <v>2.2 Indhentning og validering af målerdata</v>
      </c>
      <c r="K612" s="5" t="str">
        <f t="shared" si="141"/>
        <v>DKKt</v>
      </c>
      <c r="L612" s="85"/>
      <c r="O612" s="1">
        <f xml:space="preserve"> O504 * ( $N310 = '2.1 Model setup'!$K$41 ) + O254 * ( $N310 = '2.1 Model setup'!$K$42 )</f>
        <v>0</v>
      </c>
      <c r="P612" s="322">
        <f xml:space="preserve"> P522 * ( $N310 = '2.1 Model setup'!$K$41 ) + P254 * ( $N310 = '2.1 Model setup'!$K$42 )</f>
        <v>0</v>
      </c>
      <c r="Q612" s="560"/>
      <c r="R612" s="322">
        <f xml:space="preserve"> R540 * ( $N310 = '2.1 Model setup'!$K$41 ) + R254 * ( $N310 = '2.1 Model setup'!$K$42 )</f>
        <v>0</v>
      </c>
      <c r="S612" s="323">
        <f xml:space="preserve"> S558 * ( $N310 = '2.1 Model setup'!$K$41 ) + S254 * ( $N310 = '2.1 Model setup'!$K$42 )</f>
        <v>0</v>
      </c>
      <c r="T612" s="1">
        <f xml:space="preserve"> T576 * ( $N310 = '2.1 Model setup'!$K$41 ) + T254 * ( $N310 = '2.1 Model setup'!$K$42 )</f>
        <v>0</v>
      </c>
      <c r="U612" s="560"/>
      <c r="V612" s="560"/>
      <c r="W612" s="322">
        <f t="shared" si="142"/>
        <v>0</v>
      </c>
    </row>
    <row r="613" spans="4:23" ht="15" customHeight="1">
      <c r="D613" s="85" t="str">
        <f xml:space="preserve"> '2.1 Model setup'!K76</f>
        <v>2.3 Måleradministration og kundehåndtering</v>
      </c>
      <c r="K613" s="5" t="str">
        <f t="shared" si="141"/>
        <v>DKKt</v>
      </c>
      <c r="L613" s="85"/>
      <c r="O613" s="1">
        <f xml:space="preserve"> O505 * ( $N311 = '2.1 Model setup'!$K$41 ) + O255 * ( $N311 = '2.1 Model setup'!$K$42 )</f>
        <v>0</v>
      </c>
      <c r="P613" s="322">
        <f xml:space="preserve"> P523 * ( $N311 = '2.1 Model setup'!$K$41 ) + P255 * ( $N311 = '2.1 Model setup'!$K$42 )</f>
        <v>0</v>
      </c>
      <c r="Q613" s="560"/>
      <c r="R613" s="322">
        <f xml:space="preserve"> R541 * ( $N311 = '2.1 Model setup'!$K$41 ) + R255 * ( $N311 = '2.1 Model setup'!$K$42 )</f>
        <v>0</v>
      </c>
      <c r="S613" s="323">
        <f xml:space="preserve"> S559 * ( $N311 = '2.1 Model setup'!$K$41 ) + S255 * ( $N311 = '2.1 Model setup'!$K$42 )</f>
        <v>0</v>
      </c>
      <c r="T613" s="1">
        <f xml:space="preserve"> T577 * ( $N311 = '2.1 Model setup'!$K$41 ) + T255 * ( $N311 = '2.1 Model setup'!$K$42 )</f>
        <v>0</v>
      </c>
      <c r="U613" s="560"/>
      <c r="V613" s="560"/>
      <c r="W613" s="322">
        <f t="shared" si="142"/>
        <v>0</v>
      </c>
    </row>
    <row r="614" spans="4:23" ht="15" customHeight="1">
      <c r="D614" s="85" t="str">
        <f xml:space="preserve"> '2.1 Model setup'!K77</f>
        <v>3.1 Generel administration</v>
      </c>
      <c r="K614" s="5" t="str">
        <f t="shared" si="141"/>
        <v>DKKt</v>
      </c>
      <c r="L614" s="85"/>
      <c r="O614" s="1">
        <f xml:space="preserve"> O506 * ( $N312 = '2.1 Model setup'!$K$41 ) + O256 * ( $N312 = '2.1 Model setup'!$K$42 )</f>
        <v>0</v>
      </c>
      <c r="P614" s="322">
        <f xml:space="preserve"> P524 * ( $N312 = '2.1 Model setup'!$K$41 ) + P256 * ( $N312 = '2.1 Model setup'!$K$42 )</f>
        <v>0</v>
      </c>
      <c r="Q614" s="560"/>
      <c r="R614" s="322">
        <f xml:space="preserve"> R542 * ( $N312 = '2.1 Model setup'!$K$41 ) + R256 * ( $N312 = '2.1 Model setup'!$K$42 )</f>
        <v>0</v>
      </c>
      <c r="S614" s="323">
        <f xml:space="preserve"> S560 * ( $N312 = '2.1 Model setup'!$K$41 ) + S256 * ( $N312 = '2.1 Model setup'!$K$42 )</f>
        <v>0</v>
      </c>
      <c r="T614" s="1">
        <f xml:space="preserve"> T578 * ( $N312 = '2.1 Model setup'!$K$41 ) + T256 * ( $N312 = '2.1 Model setup'!$K$42 )</f>
        <v>0</v>
      </c>
      <c r="U614" s="560"/>
      <c r="V614" s="560"/>
      <c r="W614" s="322">
        <f t="shared" si="142"/>
        <v>0</v>
      </c>
    </row>
    <row r="615" spans="4:23" ht="15" customHeight="1">
      <c r="D615" s="85" t="str">
        <f xml:space="preserve"> '2.1 Model setup'!K78</f>
        <v>4.1 Omkostninger vedrørende nettab i transformerstationer</v>
      </c>
      <c r="K615" s="5" t="str">
        <f t="shared" si="141"/>
        <v>DKKt</v>
      </c>
      <c r="L615" s="85"/>
      <c r="O615" s="1">
        <f xml:space="preserve"> O507 * ( $N313 = '2.1 Model setup'!$K$41 ) + O257 * ( $N313 = '2.1 Model setup'!$K$42 )</f>
        <v>0</v>
      </c>
      <c r="P615" s="322">
        <f xml:space="preserve"> P525 * ( $N313 = '2.1 Model setup'!$K$41 ) + P257 * ( $N313 = '2.1 Model setup'!$K$42 )</f>
        <v>0</v>
      </c>
      <c r="Q615" s="560"/>
      <c r="R615" s="322">
        <f xml:space="preserve"> R543 * ( $N313 = '2.1 Model setup'!$K$41 ) + R257 * ( $N313 = '2.1 Model setup'!$K$42 )</f>
        <v>0</v>
      </c>
      <c r="S615" s="323">
        <f xml:space="preserve"> S561 * ( $N313 = '2.1 Model setup'!$K$41 ) + S257 * ( $N313 = '2.1 Model setup'!$K$42 )</f>
        <v>0</v>
      </c>
      <c r="T615" s="1">
        <f xml:space="preserve"> T579 * ( $N313 = '2.1 Model setup'!$K$41 ) + T257 * ( $N313 = '2.1 Model setup'!$K$42 )</f>
        <v>0</v>
      </c>
      <c r="U615" s="560"/>
      <c r="V615" s="560"/>
      <c r="W615" s="322">
        <f t="shared" si="142"/>
        <v>0</v>
      </c>
    </row>
    <row r="616" spans="4:23" ht="15" customHeight="1">
      <c r="D616" s="85" t="str">
        <f xml:space="preserve"> '2.1 Model setup'!K79</f>
        <v>4.2 Omkostninger vedrørende nettab i ledningsnettet</v>
      </c>
      <c r="K616" s="5" t="str">
        <f t="shared" si="141"/>
        <v>DKKt</v>
      </c>
      <c r="L616" s="85"/>
      <c r="O616" s="1">
        <f xml:space="preserve"> O508 * ( $N314 = '2.1 Model setup'!$K$41 ) + O258 * ( $N314 = '2.1 Model setup'!$K$42 )</f>
        <v>0</v>
      </c>
      <c r="P616" s="322">
        <f xml:space="preserve"> P526 * ( $N314 = '2.1 Model setup'!$K$41 ) + P258 * ( $N314 = '2.1 Model setup'!$K$42 )</f>
        <v>0</v>
      </c>
      <c r="Q616" s="560"/>
      <c r="R616" s="322">
        <f xml:space="preserve"> R544 * ( $N314 = '2.1 Model setup'!$K$41 ) + R258 * ( $N314 = '2.1 Model setup'!$K$42 )</f>
        <v>0</v>
      </c>
      <c r="S616" s="323">
        <f xml:space="preserve"> S562 * ( $N314 = '2.1 Model setup'!$K$41 ) + S258 * ( $N314 = '2.1 Model setup'!$K$42 )</f>
        <v>0</v>
      </c>
      <c r="T616" s="1">
        <f xml:space="preserve"> T580 * ( $N314 = '2.1 Model setup'!$K$41 ) + T258 * ( $N314 = '2.1 Model setup'!$K$42 )</f>
        <v>0</v>
      </c>
      <c r="U616" s="560"/>
      <c r="V616" s="560"/>
      <c r="W616" s="322">
        <f t="shared" si="142"/>
        <v>0</v>
      </c>
    </row>
    <row r="617" spans="4:23" ht="15" customHeight="1">
      <c r="D617" s="85" t="str">
        <f xml:space="preserve"> '2.1 Model setup'!K88</f>
        <v>5.1 Omkostninger til overliggende net ifm. indfødning</v>
      </c>
      <c r="K617" s="5" t="str">
        <f t="shared" si="141"/>
        <v>DKKt</v>
      </c>
      <c r="L617" s="85"/>
      <c r="O617" s="1">
        <f xml:space="preserve"> O509 * ( $N315 = '2.1 Model setup'!$K$41 ) + O259 * ( $N315 = '2.1 Model setup'!$K$42 )</f>
        <v>0</v>
      </c>
      <c r="P617" s="322">
        <f xml:space="preserve"> P527 * ( $N315 = '2.1 Model setup'!$K$41 ) + P259 * ( $N315 = '2.1 Model setup'!$K$42 )</f>
        <v>0</v>
      </c>
      <c r="Q617" s="560"/>
      <c r="R617" s="322">
        <f xml:space="preserve"> R545 * ( $N315 = '2.1 Model setup'!$K$41 ) + R259 * ( $N315 = '2.1 Model setup'!$K$42 )</f>
        <v>0</v>
      </c>
      <c r="S617" s="322">
        <f xml:space="preserve"> S563 * ( $N315 = '2.1 Model setup'!$K$41 ) + S259 * ( $N315 = '2.1 Model setup'!$K$42 )</f>
        <v>0</v>
      </c>
      <c r="T617" s="323">
        <f xml:space="preserve"> T581 * ( $N315 = '2.1 Model setup'!$K$41 ) + T259 * ( $N315 = '2.1 Model setup'!$K$42 )</f>
        <v>0</v>
      </c>
      <c r="U617" s="646">
        <f xml:space="preserve"> U581 * ( $N315 = '2.1 Model setup'!$K$41 ) + U259 * ( $N315 = '2.1 Model setup'!$K$42 )</f>
        <v>0</v>
      </c>
      <c r="V617" s="646">
        <f xml:space="preserve"> V581 * ( $N315 = '2.1 Model setup'!$K$41 ) + V259 * ( $N315 = '2.1 Model setup'!$K$42 )</f>
        <v>0</v>
      </c>
      <c r="W617" s="1">
        <f t="shared" si="142"/>
        <v>0</v>
      </c>
    </row>
    <row r="618" spans="4:23" ht="15" customHeight="1">
      <c r="D618" s="85" t="str">
        <f xml:space="preserve"> '2.1 Model setup'!K81</f>
        <v>5.2 Øvrige omkostninger</v>
      </c>
      <c r="K618" s="5" t="str">
        <f t="shared" si="141"/>
        <v>DKKt</v>
      </c>
      <c r="L618" s="85"/>
      <c r="O618" s="1">
        <f xml:space="preserve"> O510 * ( $N316 = '2.1 Model setup'!$K$41 ) + O260 * ( $N316 = '2.1 Model setup'!$K$42 )</f>
        <v>0</v>
      </c>
      <c r="P618" s="322">
        <f xml:space="preserve"> P528 * ( $N316 = '2.1 Model setup'!$K$41 ) + P260 * ( $N316 = '2.1 Model setup'!$K$42 )</f>
        <v>0</v>
      </c>
      <c r="Q618" s="560"/>
      <c r="R618" s="322">
        <f xml:space="preserve"> R546 * ( $N316 = '2.1 Model setup'!$K$41 ) + R260 * ( $N316 = '2.1 Model setup'!$K$42 )</f>
        <v>0</v>
      </c>
      <c r="S618" s="323">
        <f xml:space="preserve"> S564 * ( $N316 = '2.1 Model setup'!$K$41 ) + S260 * ( $N316 = '2.1 Model setup'!$K$42 )</f>
        <v>0</v>
      </c>
      <c r="T618" s="1">
        <f xml:space="preserve"> T582 * ( $N316 = '2.1 Model setup'!$K$41 ) + T260 * ( $N316 = '2.1 Model setup'!$K$42 )</f>
        <v>0</v>
      </c>
      <c r="U618" s="560"/>
      <c r="V618" s="560"/>
      <c r="W618" s="322">
        <f t="shared" si="142"/>
        <v>0</v>
      </c>
    </row>
    <row r="619" spans="4:23" ht="15" customHeight="1">
      <c r="D619" s="85" t="str">
        <f xml:space="preserve"> '2.1 Model setup'!K82</f>
        <v>6.1 Afskrivninger på transformerstationer</v>
      </c>
      <c r="K619" s="5" t="str">
        <f t="shared" si="141"/>
        <v>DKKt</v>
      </c>
      <c r="L619" s="85"/>
      <c r="O619" s="1">
        <f xml:space="preserve"> O511 * ( $N317 = '2.1 Model setup'!$K$41 ) + O261 * ( $N317 = '2.1 Model setup'!$K$42 )</f>
        <v>0</v>
      </c>
      <c r="P619" s="322">
        <f xml:space="preserve"> P529 * ( $N317 = '2.1 Model setup'!$K$41 ) + P261 * ( $N317 = '2.1 Model setup'!$K$42 )</f>
        <v>0</v>
      </c>
      <c r="Q619" s="560"/>
      <c r="R619" s="322">
        <f xml:space="preserve"> R547 * ( $N317 = '2.1 Model setup'!$K$41 ) + R261 * ( $N317 = '2.1 Model setup'!$K$42 )</f>
        <v>0</v>
      </c>
      <c r="S619" s="323">
        <f xml:space="preserve"> S565 * ( $N317 = '2.1 Model setup'!$K$41 ) + S261 * ( $N317 = '2.1 Model setup'!$K$42 )</f>
        <v>0</v>
      </c>
      <c r="T619" s="1">
        <f xml:space="preserve"> T583 * ( $N317 = '2.1 Model setup'!$K$41 ) + T261 * ( $N317 = '2.1 Model setup'!$K$42 )</f>
        <v>0</v>
      </c>
      <c r="U619" s="560"/>
      <c r="V619" s="560"/>
      <c r="W619" s="322">
        <f t="shared" si="142"/>
        <v>0</v>
      </c>
    </row>
    <row r="620" spans="4:23" ht="15" customHeight="1">
      <c r="D620" s="85" t="str">
        <f xml:space="preserve"> '2.1 Model setup'!K83</f>
        <v>6.2 Afskrivninger på netaktiver ekskl. målere og transformerstationer</v>
      </c>
      <c r="K620" s="5" t="str">
        <f t="shared" si="141"/>
        <v>DKKt</v>
      </c>
      <c r="L620" s="85"/>
      <c r="O620" s="1">
        <f xml:space="preserve"> O512 * ( $N318 = '2.1 Model setup'!$K$41 ) + O262 * ( $N318 = '2.1 Model setup'!$K$42 )</f>
        <v>0</v>
      </c>
      <c r="P620" s="322">
        <f xml:space="preserve"> P530 * ( $N318 = '2.1 Model setup'!$K$41 ) + P262 * ( $N318 = '2.1 Model setup'!$K$42 )</f>
        <v>0</v>
      </c>
      <c r="Q620" s="560"/>
      <c r="R620" s="322">
        <f xml:space="preserve"> R548 * ( $N318 = '2.1 Model setup'!$K$41 ) + R262 * ( $N318 = '2.1 Model setup'!$K$42 )</f>
        <v>0</v>
      </c>
      <c r="S620" s="323">
        <f xml:space="preserve"> S566 * ( $N318 = '2.1 Model setup'!$K$41 ) + S262 * ( $N318 = '2.1 Model setup'!$K$42 )</f>
        <v>0</v>
      </c>
      <c r="T620" s="1">
        <f xml:space="preserve"> T584 * ( $N318 = '2.1 Model setup'!$K$41 ) + T262 * ( $N318 = '2.1 Model setup'!$K$42 )</f>
        <v>0</v>
      </c>
      <c r="U620" s="560"/>
      <c r="V620" s="560"/>
      <c r="W620" s="322">
        <f t="shared" si="142"/>
        <v>0</v>
      </c>
    </row>
    <row r="621" spans="4:23" ht="15" customHeight="1">
      <c r="D621" s="85" t="str">
        <f xml:space="preserve"> '2.1 Model setup'!K84</f>
        <v>6.3 Afskrivninger på målere</v>
      </c>
      <c r="K621" s="5" t="str">
        <f t="shared" si="141"/>
        <v>DKKt</v>
      </c>
      <c r="L621" s="85"/>
      <c r="O621" s="1">
        <f xml:space="preserve"> O513 * ( $N319 = '2.1 Model setup'!$K$41 ) + O263 * ( $N319 = '2.1 Model setup'!$K$42 )</f>
        <v>0</v>
      </c>
      <c r="P621" s="322">
        <f xml:space="preserve"> P531 * ( $N319 = '2.1 Model setup'!$K$41 ) + P263 * ( $N319 = '2.1 Model setup'!$K$42 )</f>
        <v>0</v>
      </c>
      <c r="Q621" s="560"/>
      <c r="R621" s="322">
        <f xml:space="preserve"> R549 * ( $N319 = '2.1 Model setup'!$K$41 ) + R263 * ( $N319 = '2.1 Model setup'!$K$42 )</f>
        <v>0</v>
      </c>
      <c r="S621" s="323">
        <f xml:space="preserve"> S567 * ( $N319 = '2.1 Model setup'!$K$41 ) + S263 * ( $N319 = '2.1 Model setup'!$K$42 )</f>
        <v>0</v>
      </c>
      <c r="T621" s="1">
        <f xml:space="preserve"> T585 * ( $N319 = '2.1 Model setup'!$K$41 ) + T263 * ( $N319 = '2.1 Model setup'!$K$42 )</f>
        <v>0</v>
      </c>
      <c r="U621" s="560"/>
      <c r="V621" s="560"/>
      <c r="W621" s="322">
        <f t="shared" si="142"/>
        <v>0</v>
      </c>
    </row>
    <row r="622" spans="4:23" ht="15" customHeight="1">
      <c r="D622" s="186" t="s">
        <v>16</v>
      </c>
      <c r="E622" s="33"/>
      <c r="F622" s="33"/>
      <c r="G622" s="33"/>
      <c r="H622" s="33"/>
      <c r="I622" s="33"/>
      <c r="J622" s="33"/>
      <c r="K622" s="187" t="str">
        <f t="shared" si="141"/>
        <v>DKKt</v>
      </c>
      <c r="L622" s="186"/>
      <c r="M622" s="186"/>
      <c r="N622" s="186"/>
      <c r="O622" s="186">
        <f xml:space="preserve"> SUM( O607:O621 )</f>
        <v>0</v>
      </c>
      <c r="P622" s="186">
        <f xml:space="preserve"> SUM( P607:P621 )</f>
        <v>0</v>
      </c>
      <c r="Q622" s="388"/>
      <c r="R622" s="186">
        <f t="shared" ref="R622" si="143" xml:space="preserve"> SUM( R607:R621 )</f>
        <v>0</v>
      </c>
      <c r="S622" s="186">
        <f t="shared" ref="S622" si="144" xml:space="preserve"> SUM( S607:S621 )</f>
        <v>0</v>
      </c>
      <c r="T622" s="186">
        <f t="shared" ref="T622:V622" si="145" xml:space="preserve"> SUM( T607:T621 )</f>
        <v>0</v>
      </c>
      <c r="U622" s="186">
        <f t="shared" si="145"/>
        <v>0</v>
      </c>
      <c r="V622" s="186">
        <f t="shared" si="145"/>
        <v>0</v>
      </c>
      <c r="W622" s="186">
        <f t="shared" ref="W622" si="146" xml:space="preserve"> SUM( W607:W621 )</f>
        <v>0</v>
      </c>
    </row>
    <row r="624" spans="4:23" ht="15" customHeight="1">
      <c r="D624" s="35" t="s">
        <v>633</v>
      </c>
      <c r="E624" s="27"/>
      <c r="F624" s="27"/>
      <c r="G624" s="27"/>
      <c r="H624" s="27"/>
      <c r="I624" s="27"/>
      <c r="J624" s="27"/>
      <c r="K624" s="32"/>
      <c r="L624" s="27"/>
      <c r="M624" s="27"/>
      <c r="N624" s="27"/>
      <c r="O624" s="27"/>
      <c r="P624" s="27"/>
      <c r="Q624" s="27"/>
      <c r="R624" s="27"/>
      <c r="S624" s="27"/>
      <c r="T624" s="27"/>
      <c r="U624" s="27"/>
      <c r="V624" s="27"/>
      <c r="W624" s="185" t="s">
        <v>16</v>
      </c>
    </row>
    <row r="625" spans="4:23" ht="15" customHeight="1">
      <c r="D625" s="85" t="str">
        <f xml:space="preserve"> '2.1 Model setup'!K70</f>
        <v>1.1 Drift og vedligeholdelse af transformerstationer</v>
      </c>
      <c r="K625" s="5" t="str">
        <f t="shared" ref="K625:K640" si="147" xml:space="preserve"> Model.Units</f>
        <v>DKKt</v>
      </c>
      <c r="L625" s="85"/>
      <c r="O625" s="1">
        <v>0</v>
      </c>
      <c r="P625" s="320">
        <f t="shared" ref="P625:P639" si="148">P499+P535</f>
        <v>0</v>
      </c>
      <c r="Q625" s="559"/>
      <c r="R625" s="320">
        <f t="shared" ref="R625:R639" si="149">R499+R517</f>
        <v>0</v>
      </c>
      <c r="S625" s="321">
        <f t="shared" ref="S625:S639" si="150">S499+S517+S535</f>
        <v>0</v>
      </c>
      <c r="T625" s="1">
        <f t="shared" ref="T625:T639" si="151">T499+T517+T535+T553</f>
        <v>0</v>
      </c>
      <c r="U625" s="320">
        <f>U499+U517+U535+U553+U571</f>
        <v>0</v>
      </c>
      <c r="V625" s="320">
        <f>V499+V517+V535+V553+V571</f>
        <v>0</v>
      </c>
      <c r="W625" s="592">
        <f xml:space="preserve"> SUM( O625:V625 )</f>
        <v>0</v>
      </c>
    </row>
    <row r="626" spans="4:23" ht="15" customHeight="1">
      <c r="D626" s="85" t="str">
        <f xml:space="preserve"> '2.1 Model setup'!K71</f>
        <v>1.2 Drift og vedligeholdelse af ledningsnet</v>
      </c>
      <c r="K626" s="5" t="str">
        <f t="shared" si="147"/>
        <v>DKKt</v>
      </c>
      <c r="L626" s="85"/>
      <c r="O626" s="1">
        <v>0</v>
      </c>
      <c r="P626" s="322">
        <f t="shared" si="148"/>
        <v>0</v>
      </c>
      <c r="Q626" s="560"/>
      <c r="R626" s="322">
        <f t="shared" si="149"/>
        <v>0</v>
      </c>
      <c r="S626" s="323">
        <f t="shared" si="150"/>
        <v>0</v>
      </c>
      <c r="T626" s="1">
        <f t="shared" si="151"/>
        <v>0</v>
      </c>
      <c r="U626" s="322">
        <f>U500+U518+U536+U554+U572</f>
        <v>0</v>
      </c>
      <c r="V626" s="322">
        <f>V500+V518+V536+V554+V572</f>
        <v>0</v>
      </c>
      <c r="W626" s="593">
        <f t="shared" ref="W626:W639" si="152" xml:space="preserve"> SUM( O626:V626 )</f>
        <v>0</v>
      </c>
    </row>
    <row r="627" spans="4:23" ht="15" customHeight="1">
      <c r="D627" s="85" t="str">
        <f xml:space="preserve"> '2.1 Model setup'!K72</f>
        <v>1.3 Øvrige omkostninger til drift, styring og kontrol af elnettet</v>
      </c>
      <c r="K627" s="5" t="str">
        <f t="shared" si="147"/>
        <v>DKKt</v>
      </c>
      <c r="L627" s="85"/>
      <c r="O627" s="1">
        <v>0</v>
      </c>
      <c r="P627" s="322">
        <f t="shared" si="148"/>
        <v>0</v>
      </c>
      <c r="Q627" s="560"/>
      <c r="R627" s="322">
        <f t="shared" si="149"/>
        <v>0</v>
      </c>
      <c r="S627" s="323">
        <f t="shared" si="150"/>
        <v>0</v>
      </c>
      <c r="T627" s="1">
        <f t="shared" si="151"/>
        <v>0</v>
      </c>
      <c r="U627" s="322">
        <f t="shared" ref="U627:U639" si="153">U501+U519+U537+U555+U573</f>
        <v>0</v>
      </c>
      <c r="V627" s="322">
        <f t="shared" ref="V627:V639" si="154">V501+V519+V537+V555+V573</f>
        <v>0</v>
      </c>
      <c r="W627" s="593">
        <f t="shared" si="152"/>
        <v>0</v>
      </c>
    </row>
    <row r="628" spans="4:23" ht="15" customHeight="1">
      <c r="D628" s="85" t="str">
        <f xml:space="preserve"> '2.1 Model setup'!K73</f>
        <v>1.4 Omkostninger vedrørende 132-150/30-60 kV-stationer</v>
      </c>
      <c r="K628" s="5" t="str">
        <f t="shared" si="147"/>
        <v>DKKt</v>
      </c>
      <c r="L628" s="85"/>
      <c r="O628" s="1">
        <v>0</v>
      </c>
      <c r="P628" s="322">
        <f t="shared" si="148"/>
        <v>0</v>
      </c>
      <c r="Q628" s="560"/>
      <c r="R628" s="322">
        <f t="shared" si="149"/>
        <v>0</v>
      </c>
      <c r="S628" s="323">
        <f t="shared" si="150"/>
        <v>0</v>
      </c>
      <c r="T628" s="1">
        <f t="shared" si="151"/>
        <v>0</v>
      </c>
      <c r="U628" s="322">
        <f t="shared" si="153"/>
        <v>0</v>
      </c>
      <c r="V628" s="322">
        <f t="shared" si="154"/>
        <v>0</v>
      </c>
      <c r="W628" s="593">
        <f t="shared" si="152"/>
        <v>0</v>
      </c>
    </row>
    <row r="629" spans="4:23" ht="15" customHeight="1">
      <c r="D629" s="85" t="str">
        <f xml:space="preserve"> '2.1 Model setup'!K74</f>
        <v>2.1 Drift og vedligeholdelse af målere</v>
      </c>
      <c r="K629" s="5" t="str">
        <f t="shared" si="147"/>
        <v>DKKt</v>
      </c>
      <c r="L629" s="85"/>
      <c r="O629" s="1">
        <v>0</v>
      </c>
      <c r="P629" s="322">
        <f t="shared" si="148"/>
        <v>0</v>
      </c>
      <c r="Q629" s="560"/>
      <c r="R629" s="322">
        <f t="shared" si="149"/>
        <v>0</v>
      </c>
      <c r="S629" s="323">
        <f t="shared" si="150"/>
        <v>0</v>
      </c>
      <c r="T629" s="1">
        <f t="shared" si="151"/>
        <v>0</v>
      </c>
      <c r="U629" s="322">
        <f t="shared" si="153"/>
        <v>0</v>
      </c>
      <c r="V629" s="322">
        <f t="shared" si="154"/>
        <v>0</v>
      </c>
      <c r="W629" s="593">
        <f t="shared" si="152"/>
        <v>0</v>
      </c>
    </row>
    <row r="630" spans="4:23" ht="15" customHeight="1">
      <c r="D630" s="85" t="str">
        <f xml:space="preserve"> '2.1 Model setup'!K75</f>
        <v>2.2 Indhentning og validering af målerdata</v>
      </c>
      <c r="K630" s="5" t="str">
        <f t="shared" si="147"/>
        <v>DKKt</v>
      </c>
      <c r="L630" s="85"/>
      <c r="O630" s="1">
        <v>0</v>
      </c>
      <c r="P630" s="322">
        <f t="shared" si="148"/>
        <v>0</v>
      </c>
      <c r="Q630" s="560"/>
      <c r="R630" s="322">
        <f t="shared" si="149"/>
        <v>0</v>
      </c>
      <c r="S630" s="323">
        <f t="shared" si="150"/>
        <v>0</v>
      </c>
      <c r="T630" s="1">
        <f t="shared" si="151"/>
        <v>0</v>
      </c>
      <c r="U630" s="322">
        <f t="shared" si="153"/>
        <v>0</v>
      </c>
      <c r="V630" s="322">
        <f t="shared" si="154"/>
        <v>0</v>
      </c>
      <c r="W630" s="593">
        <f t="shared" si="152"/>
        <v>0</v>
      </c>
    </row>
    <row r="631" spans="4:23" ht="15" customHeight="1">
      <c r="D631" s="85" t="str">
        <f xml:space="preserve"> '2.1 Model setup'!K76</f>
        <v>2.3 Måleradministration og kundehåndtering</v>
      </c>
      <c r="K631" s="5" t="str">
        <f t="shared" si="147"/>
        <v>DKKt</v>
      </c>
      <c r="L631" s="85"/>
      <c r="O631" s="1">
        <v>0</v>
      </c>
      <c r="P631" s="322">
        <f t="shared" si="148"/>
        <v>0</v>
      </c>
      <c r="Q631" s="560"/>
      <c r="R631" s="322">
        <f t="shared" si="149"/>
        <v>0</v>
      </c>
      <c r="S631" s="323">
        <f t="shared" si="150"/>
        <v>0</v>
      </c>
      <c r="T631" s="1">
        <f t="shared" si="151"/>
        <v>0</v>
      </c>
      <c r="U631" s="322">
        <f t="shared" si="153"/>
        <v>0</v>
      </c>
      <c r="V631" s="322">
        <f t="shared" si="154"/>
        <v>0</v>
      </c>
      <c r="W631" s="593">
        <f t="shared" si="152"/>
        <v>0</v>
      </c>
    </row>
    <row r="632" spans="4:23" ht="15" customHeight="1">
      <c r="D632" s="85" t="str">
        <f xml:space="preserve"> '2.1 Model setup'!K77</f>
        <v>3.1 Generel administration</v>
      </c>
      <c r="K632" s="5" t="str">
        <f t="shared" si="147"/>
        <v>DKKt</v>
      </c>
      <c r="L632" s="85"/>
      <c r="O632" s="1">
        <v>0</v>
      </c>
      <c r="P632" s="322">
        <f t="shared" si="148"/>
        <v>0</v>
      </c>
      <c r="Q632" s="560"/>
      <c r="R632" s="322">
        <f t="shared" si="149"/>
        <v>0</v>
      </c>
      <c r="S632" s="323">
        <f t="shared" si="150"/>
        <v>0</v>
      </c>
      <c r="T632" s="1">
        <f t="shared" si="151"/>
        <v>0</v>
      </c>
      <c r="U632" s="322">
        <f t="shared" si="153"/>
        <v>0</v>
      </c>
      <c r="V632" s="322">
        <f t="shared" si="154"/>
        <v>0</v>
      </c>
      <c r="W632" s="593">
        <f t="shared" si="152"/>
        <v>0</v>
      </c>
    </row>
    <row r="633" spans="4:23" ht="15" customHeight="1">
      <c r="D633" s="85" t="str">
        <f xml:space="preserve"> '2.1 Model setup'!K78</f>
        <v>4.1 Omkostninger vedrørende nettab i transformerstationer</v>
      </c>
      <c r="K633" s="5" t="str">
        <f t="shared" si="147"/>
        <v>DKKt</v>
      </c>
      <c r="L633" s="85"/>
      <c r="O633" s="1">
        <v>0</v>
      </c>
      <c r="P633" s="322">
        <f t="shared" si="148"/>
        <v>0</v>
      </c>
      <c r="Q633" s="560"/>
      <c r="R633" s="322">
        <f t="shared" si="149"/>
        <v>0</v>
      </c>
      <c r="S633" s="323">
        <f t="shared" si="150"/>
        <v>0</v>
      </c>
      <c r="T633" s="1">
        <f t="shared" si="151"/>
        <v>0</v>
      </c>
      <c r="U633" s="322">
        <f t="shared" si="153"/>
        <v>0</v>
      </c>
      <c r="V633" s="322">
        <f t="shared" si="154"/>
        <v>0</v>
      </c>
      <c r="W633" s="593">
        <f t="shared" si="152"/>
        <v>0</v>
      </c>
    </row>
    <row r="634" spans="4:23" ht="15" customHeight="1">
      <c r="D634" s="85" t="str">
        <f xml:space="preserve"> '2.1 Model setup'!K79</f>
        <v>4.2 Omkostninger vedrørende nettab i ledningsnettet</v>
      </c>
      <c r="K634" s="5" t="str">
        <f t="shared" si="147"/>
        <v>DKKt</v>
      </c>
      <c r="L634" s="85"/>
      <c r="O634" s="1">
        <v>0</v>
      </c>
      <c r="P634" s="322">
        <f t="shared" si="148"/>
        <v>0</v>
      </c>
      <c r="Q634" s="560"/>
      <c r="R634" s="322">
        <f t="shared" si="149"/>
        <v>0</v>
      </c>
      <c r="S634" s="323">
        <f t="shared" si="150"/>
        <v>0</v>
      </c>
      <c r="T634" s="1">
        <f t="shared" si="151"/>
        <v>0</v>
      </c>
      <c r="U634" s="322">
        <f t="shared" si="153"/>
        <v>0</v>
      </c>
      <c r="V634" s="322">
        <f t="shared" si="154"/>
        <v>0</v>
      </c>
      <c r="W634" s="593">
        <f t="shared" si="152"/>
        <v>0</v>
      </c>
    </row>
    <row r="635" spans="4:23" ht="15" customHeight="1">
      <c r="D635" s="85" t="str">
        <f xml:space="preserve"> '2.1 Model setup'!K88</f>
        <v>5.1 Omkostninger til overliggende net ifm. indfødning</v>
      </c>
      <c r="K635" s="5" t="str">
        <f t="shared" si="147"/>
        <v>DKKt</v>
      </c>
      <c r="L635" s="85"/>
      <c r="O635" s="1">
        <v>0</v>
      </c>
      <c r="P635" s="322">
        <f t="shared" si="148"/>
        <v>0</v>
      </c>
      <c r="Q635" s="560"/>
      <c r="R635" s="322">
        <f t="shared" si="149"/>
        <v>0</v>
      </c>
      <c r="S635" s="323">
        <f t="shared" si="150"/>
        <v>0</v>
      </c>
      <c r="T635" s="1">
        <f t="shared" si="151"/>
        <v>0</v>
      </c>
      <c r="U635" s="322">
        <f t="shared" si="153"/>
        <v>0</v>
      </c>
      <c r="V635" s="322">
        <f t="shared" si="154"/>
        <v>0</v>
      </c>
      <c r="W635" s="593">
        <f t="shared" si="152"/>
        <v>0</v>
      </c>
    </row>
    <row r="636" spans="4:23" ht="15" customHeight="1">
      <c r="D636" s="85" t="str">
        <f xml:space="preserve"> '2.1 Model setup'!K81</f>
        <v>5.2 Øvrige omkostninger</v>
      </c>
      <c r="K636" s="5" t="str">
        <f t="shared" si="147"/>
        <v>DKKt</v>
      </c>
      <c r="L636" s="85"/>
      <c r="O636" s="1">
        <v>0</v>
      </c>
      <c r="P636" s="322">
        <f t="shared" si="148"/>
        <v>0</v>
      </c>
      <c r="Q636" s="560"/>
      <c r="R636" s="322">
        <f t="shared" si="149"/>
        <v>0</v>
      </c>
      <c r="S636" s="323">
        <f t="shared" si="150"/>
        <v>0</v>
      </c>
      <c r="T636" s="1">
        <f t="shared" si="151"/>
        <v>0</v>
      </c>
      <c r="U636" s="322">
        <f t="shared" si="153"/>
        <v>0</v>
      </c>
      <c r="V636" s="322">
        <f t="shared" si="154"/>
        <v>0</v>
      </c>
      <c r="W636" s="593">
        <f t="shared" si="152"/>
        <v>0</v>
      </c>
    </row>
    <row r="637" spans="4:23" ht="15" customHeight="1">
      <c r="D637" s="85" t="str">
        <f xml:space="preserve"> '2.1 Model setup'!K82</f>
        <v>6.1 Afskrivninger på transformerstationer</v>
      </c>
      <c r="K637" s="5" t="str">
        <f t="shared" si="147"/>
        <v>DKKt</v>
      </c>
      <c r="L637" s="85"/>
      <c r="O637" s="1">
        <v>0</v>
      </c>
      <c r="P637" s="322">
        <f t="shared" si="148"/>
        <v>0</v>
      </c>
      <c r="Q637" s="560"/>
      <c r="R637" s="322">
        <f t="shared" si="149"/>
        <v>0</v>
      </c>
      <c r="S637" s="323">
        <f t="shared" si="150"/>
        <v>0</v>
      </c>
      <c r="T637" s="1">
        <f t="shared" si="151"/>
        <v>0</v>
      </c>
      <c r="U637" s="322">
        <f t="shared" si="153"/>
        <v>0</v>
      </c>
      <c r="V637" s="322">
        <f t="shared" si="154"/>
        <v>0</v>
      </c>
      <c r="W637" s="593">
        <f t="shared" si="152"/>
        <v>0</v>
      </c>
    </row>
    <row r="638" spans="4:23" ht="15" customHeight="1">
      <c r="D638" s="85" t="str">
        <f xml:space="preserve"> '2.1 Model setup'!K83</f>
        <v>6.2 Afskrivninger på netaktiver ekskl. målere og transformerstationer</v>
      </c>
      <c r="K638" s="5" t="str">
        <f t="shared" si="147"/>
        <v>DKKt</v>
      </c>
      <c r="L638" s="85"/>
      <c r="O638" s="1">
        <v>0</v>
      </c>
      <c r="P638" s="322">
        <f t="shared" si="148"/>
        <v>0</v>
      </c>
      <c r="Q638" s="560"/>
      <c r="R638" s="322">
        <f t="shared" si="149"/>
        <v>0</v>
      </c>
      <c r="S638" s="323">
        <f t="shared" si="150"/>
        <v>0</v>
      </c>
      <c r="T638" s="1">
        <f t="shared" si="151"/>
        <v>0</v>
      </c>
      <c r="U638" s="322">
        <f t="shared" si="153"/>
        <v>0</v>
      </c>
      <c r="V638" s="322">
        <f t="shared" si="154"/>
        <v>0</v>
      </c>
      <c r="W638" s="593">
        <f t="shared" si="152"/>
        <v>0</v>
      </c>
    </row>
    <row r="639" spans="4:23" ht="15" customHeight="1">
      <c r="D639" s="85" t="str">
        <f xml:space="preserve"> '2.1 Model setup'!K84</f>
        <v>6.3 Afskrivninger på målere</v>
      </c>
      <c r="K639" s="5" t="str">
        <f t="shared" si="147"/>
        <v>DKKt</v>
      </c>
      <c r="L639" s="85"/>
      <c r="O639" s="1">
        <v>0</v>
      </c>
      <c r="P639" s="322">
        <f t="shared" si="148"/>
        <v>0</v>
      </c>
      <c r="Q639" s="560"/>
      <c r="R639" s="322">
        <f t="shared" si="149"/>
        <v>0</v>
      </c>
      <c r="S639" s="323">
        <f t="shared" si="150"/>
        <v>0</v>
      </c>
      <c r="T639" s="1">
        <f t="shared" si="151"/>
        <v>0</v>
      </c>
      <c r="U639" s="322">
        <f t="shared" si="153"/>
        <v>0</v>
      </c>
      <c r="V639" s="322">
        <f t="shared" si="154"/>
        <v>0</v>
      </c>
      <c r="W639" s="593">
        <f t="shared" si="152"/>
        <v>0</v>
      </c>
    </row>
    <row r="640" spans="4:23" ht="15" customHeight="1">
      <c r="D640" s="186" t="s">
        <v>16</v>
      </c>
      <c r="E640" s="33"/>
      <c r="F640" s="33"/>
      <c r="G640" s="33"/>
      <c r="H640" s="33"/>
      <c r="I640" s="33"/>
      <c r="J640" s="33"/>
      <c r="K640" s="187" t="str">
        <f t="shared" si="147"/>
        <v>DKKt</v>
      </c>
      <c r="L640" s="186"/>
      <c r="M640" s="186"/>
      <c r="N640" s="186"/>
      <c r="O640" s="186">
        <f xml:space="preserve"> SUM( O625:O639 )</f>
        <v>0</v>
      </c>
      <c r="P640" s="186">
        <f xml:space="preserve"> SUM( P625:P639 )</f>
        <v>0</v>
      </c>
      <c r="Q640" s="388"/>
      <c r="R640" s="186">
        <f t="shared" ref="R640" si="155" xml:space="preserve"> SUM( R625:R639 )</f>
        <v>0</v>
      </c>
      <c r="S640" s="186">
        <f t="shared" ref="S640" si="156" xml:space="preserve"> SUM( S625:S639 )</f>
        <v>0</v>
      </c>
      <c r="T640" s="186">
        <f t="shared" ref="T640" si="157" xml:space="preserve"> SUM( T625:T639 )</f>
        <v>0</v>
      </c>
      <c r="U640" s="186">
        <f t="shared" ref="U640" si="158" xml:space="preserve"> SUM( U625:U639 )</f>
        <v>0</v>
      </c>
      <c r="V640" s="186">
        <f t="shared" ref="V640" si="159" xml:space="preserve"> SUM( V625:V639 )</f>
        <v>0</v>
      </c>
      <c r="W640" s="186">
        <f t="shared" ref="W640" si="160" xml:space="preserve"> SUM( W625:W639 )</f>
        <v>0</v>
      </c>
    </row>
    <row r="642" spans="4:23" ht="15" customHeight="1">
      <c r="D642" s="35" t="s">
        <v>605</v>
      </c>
      <c r="E642" s="27"/>
      <c r="F642" s="27"/>
      <c r="G642" s="27"/>
      <c r="H642" s="27"/>
      <c r="I642" s="27"/>
      <c r="J642" s="27"/>
      <c r="K642" s="32"/>
      <c r="L642" s="27"/>
      <c r="M642" s="27"/>
      <c r="N642" s="27"/>
      <c r="O642" s="27"/>
      <c r="P642" s="27"/>
      <c r="Q642" s="27"/>
      <c r="R642" s="27"/>
      <c r="S642" s="27"/>
      <c r="T642" s="27"/>
      <c r="U642" s="27"/>
      <c r="V642" s="27"/>
      <c r="W642" s="185" t="s">
        <v>16</v>
      </c>
    </row>
    <row r="643" spans="4:23" ht="15" customHeight="1">
      <c r="D643" s="85" t="str">
        <f xml:space="preserve"> '2.1 Model setup'!K70</f>
        <v>1.1 Drift og vedligeholdelse af transformerstationer</v>
      </c>
      <c r="K643" s="5" t="str">
        <f t="shared" ref="K643:K658" si="161" xml:space="preserve"> Model.Units</f>
        <v>DKKt</v>
      </c>
      <c r="O643" s="15">
        <f>O607+O625</f>
        <v>0</v>
      </c>
      <c r="P643" s="15">
        <f t="shared" ref="P643:V643" si="162">P607+P625</f>
        <v>0</v>
      </c>
      <c r="Q643" s="274"/>
      <c r="R643" s="15">
        <f t="shared" si="162"/>
        <v>0</v>
      </c>
      <c r="S643" s="15">
        <f t="shared" si="162"/>
        <v>0</v>
      </c>
      <c r="T643" s="15">
        <f t="shared" si="162"/>
        <v>0</v>
      </c>
      <c r="U643" s="15">
        <f t="shared" si="162"/>
        <v>0</v>
      </c>
      <c r="V643" s="15">
        <f t="shared" si="162"/>
        <v>0</v>
      </c>
      <c r="W643" s="18">
        <f xml:space="preserve"> SUM( O643:V643 )</f>
        <v>0</v>
      </c>
    </row>
    <row r="644" spans="4:23" ht="15" customHeight="1">
      <c r="D644" s="85" t="str">
        <f xml:space="preserve"> '2.1 Model setup'!K71</f>
        <v>1.2 Drift og vedligeholdelse af ledningsnet</v>
      </c>
      <c r="K644" s="5" t="str">
        <f t="shared" si="161"/>
        <v>DKKt</v>
      </c>
      <c r="O644" s="1">
        <f t="shared" ref="O644:V657" si="163">O608+O626</f>
        <v>0</v>
      </c>
      <c r="P644" s="1">
        <f t="shared" si="163"/>
        <v>0</v>
      </c>
      <c r="Q644" s="202"/>
      <c r="R644" s="1">
        <f t="shared" si="163"/>
        <v>0</v>
      </c>
      <c r="S644" s="1">
        <f t="shared" si="163"/>
        <v>0</v>
      </c>
      <c r="T644" s="1">
        <f t="shared" si="163"/>
        <v>0</v>
      </c>
      <c r="U644" s="1">
        <f t="shared" si="163"/>
        <v>0</v>
      </c>
      <c r="V644" s="1">
        <f t="shared" si="163"/>
        <v>0</v>
      </c>
      <c r="W644" s="4">
        <f t="shared" ref="W644:W657" si="164" xml:space="preserve"> SUM( O644:V644 )</f>
        <v>0</v>
      </c>
    </row>
    <row r="645" spans="4:23" ht="15" customHeight="1">
      <c r="D645" s="85" t="str">
        <f xml:space="preserve"> '2.1 Model setup'!K72</f>
        <v>1.3 Øvrige omkostninger til drift, styring og kontrol af elnettet</v>
      </c>
      <c r="K645" s="5" t="str">
        <f t="shared" si="161"/>
        <v>DKKt</v>
      </c>
      <c r="O645" s="1">
        <f t="shared" si="163"/>
        <v>0</v>
      </c>
      <c r="P645" s="1">
        <f t="shared" si="163"/>
        <v>0</v>
      </c>
      <c r="Q645" s="202"/>
      <c r="R645" s="1">
        <f t="shared" si="163"/>
        <v>0</v>
      </c>
      <c r="S645" s="1">
        <f t="shared" si="163"/>
        <v>0</v>
      </c>
      <c r="T645" s="1">
        <f t="shared" si="163"/>
        <v>0</v>
      </c>
      <c r="U645" s="1">
        <f t="shared" si="163"/>
        <v>0</v>
      </c>
      <c r="V645" s="1">
        <f t="shared" si="163"/>
        <v>0</v>
      </c>
      <c r="W645" s="4">
        <f t="shared" si="164"/>
        <v>0</v>
      </c>
    </row>
    <row r="646" spans="4:23" ht="15" customHeight="1">
      <c r="D646" s="85" t="str">
        <f xml:space="preserve"> '2.1 Model setup'!K73</f>
        <v>1.4 Omkostninger vedrørende 132-150/30-60 kV-stationer</v>
      </c>
      <c r="K646" s="5" t="str">
        <f t="shared" si="161"/>
        <v>DKKt</v>
      </c>
      <c r="O646" s="1">
        <f t="shared" si="163"/>
        <v>0</v>
      </c>
      <c r="P646" s="1">
        <f t="shared" si="163"/>
        <v>0</v>
      </c>
      <c r="Q646" s="202"/>
      <c r="R646" s="1">
        <f t="shared" si="163"/>
        <v>0</v>
      </c>
      <c r="S646" s="1">
        <f t="shared" si="163"/>
        <v>0</v>
      </c>
      <c r="T646" s="1">
        <f t="shared" si="163"/>
        <v>0</v>
      </c>
      <c r="U646" s="1">
        <f t="shared" si="163"/>
        <v>0</v>
      </c>
      <c r="V646" s="1">
        <f t="shared" si="163"/>
        <v>0</v>
      </c>
      <c r="W646" s="4">
        <f t="shared" si="164"/>
        <v>0</v>
      </c>
    </row>
    <row r="647" spans="4:23" ht="15" customHeight="1">
      <c r="D647" s="85" t="str">
        <f xml:space="preserve"> '2.1 Model setup'!K74</f>
        <v>2.1 Drift og vedligeholdelse af målere</v>
      </c>
      <c r="K647" s="5" t="str">
        <f t="shared" si="161"/>
        <v>DKKt</v>
      </c>
      <c r="O647" s="1">
        <f t="shared" si="163"/>
        <v>0</v>
      </c>
      <c r="P647" s="1">
        <f t="shared" si="163"/>
        <v>0</v>
      </c>
      <c r="Q647" s="202"/>
      <c r="R647" s="1">
        <f t="shared" si="163"/>
        <v>0</v>
      </c>
      <c r="S647" s="1">
        <f t="shared" si="163"/>
        <v>0</v>
      </c>
      <c r="T647" s="1">
        <f t="shared" si="163"/>
        <v>0</v>
      </c>
      <c r="U647" s="1">
        <f t="shared" si="163"/>
        <v>0</v>
      </c>
      <c r="V647" s="1">
        <f t="shared" si="163"/>
        <v>0</v>
      </c>
      <c r="W647" s="4">
        <f t="shared" si="164"/>
        <v>0</v>
      </c>
    </row>
    <row r="648" spans="4:23" ht="15" customHeight="1">
      <c r="D648" s="85" t="str">
        <f xml:space="preserve"> '2.1 Model setup'!K75</f>
        <v>2.2 Indhentning og validering af målerdata</v>
      </c>
      <c r="K648" s="5" t="str">
        <f t="shared" si="161"/>
        <v>DKKt</v>
      </c>
      <c r="O648" s="1">
        <f t="shared" si="163"/>
        <v>0</v>
      </c>
      <c r="P648" s="1">
        <f t="shared" si="163"/>
        <v>0</v>
      </c>
      <c r="Q648" s="202"/>
      <c r="R648" s="1">
        <f t="shared" si="163"/>
        <v>0</v>
      </c>
      <c r="S648" s="1">
        <f t="shared" si="163"/>
        <v>0</v>
      </c>
      <c r="T648" s="1">
        <f t="shared" si="163"/>
        <v>0</v>
      </c>
      <c r="U648" s="1">
        <f t="shared" si="163"/>
        <v>0</v>
      </c>
      <c r="V648" s="1">
        <f t="shared" si="163"/>
        <v>0</v>
      </c>
      <c r="W648" s="4">
        <f t="shared" si="164"/>
        <v>0</v>
      </c>
    </row>
    <row r="649" spans="4:23" ht="15" customHeight="1">
      <c r="D649" s="85" t="str">
        <f xml:space="preserve"> '2.1 Model setup'!K76</f>
        <v>2.3 Måleradministration og kundehåndtering</v>
      </c>
      <c r="K649" s="5" t="str">
        <f t="shared" si="161"/>
        <v>DKKt</v>
      </c>
      <c r="O649" s="1">
        <f t="shared" si="163"/>
        <v>0</v>
      </c>
      <c r="P649" s="1">
        <f t="shared" si="163"/>
        <v>0</v>
      </c>
      <c r="Q649" s="202"/>
      <c r="R649" s="1">
        <f t="shared" si="163"/>
        <v>0</v>
      </c>
      <c r="S649" s="1">
        <f t="shared" si="163"/>
        <v>0</v>
      </c>
      <c r="T649" s="1">
        <f t="shared" si="163"/>
        <v>0</v>
      </c>
      <c r="U649" s="1">
        <f t="shared" si="163"/>
        <v>0</v>
      </c>
      <c r="V649" s="1">
        <f t="shared" si="163"/>
        <v>0</v>
      </c>
      <c r="W649" s="4">
        <f t="shared" si="164"/>
        <v>0</v>
      </c>
    </row>
    <row r="650" spans="4:23" ht="15" customHeight="1">
      <c r="D650" s="85" t="str">
        <f xml:space="preserve"> '2.1 Model setup'!K77</f>
        <v>3.1 Generel administration</v>
      </c>
      <c r="K650" s="5" t="str">
        <f t="shared" si="161"/>
        <v>DKKt</v>
      </c>
      <c r="O650" s="1">
        <f t="shared" si="163"/>
        <v>0</v>
      </c>
      <c r="P650" s="1">
        <f t="shared" si="163"/>
        <v>0</v>
      </c>
      <c r="Q650" s="202"/>
      <c r="R650" s="1">
        <f t="shared" si="163"/>
        <v>0</v>
      </c>
      <c r="S650" s="1">
        <f t="shared" si="163"/>
        <v>0</v>
      </c>
      <c r="T650" s="1">
        <f t="shared" si="163"/>
        <v>0</v>
      </c>
      <c r="U650" s="1">
        <f t="shared" si="163"/>
        <v>0</v>
      </c>
      <c r="V650" s="1">
        <f t="shared" si="163"/>
        <v>0</v>
      </c>
      <c r="W650" s="4">
        <f t="shared" si="164"/>
        <v>0</v>
      </c>
    </row>
    <row r="651" spans="4:23" ht="15" customHeight="1">
      <c r="D651" s="85" t="str">
        <f xml:space="preserve"> '2.1 Model setup'!K78</f>
        <v>4.1 Omkostninger vedrørende nettab i transformerstationer</v>
      </c>
      <c r="K651" s="5" t="str">
        <f t="shared" si="161"/>
        <v>DKKt</v>
      </c>
      <c r="O651" s="1">
        <f t="shared" si="163"/>
        <v>0</v>
      </c>
      <c r="P651" s="1">
        <f t="shared" si="163"/>
        <v>0</v>
      </c>
      <c r="Q651" s="202"/>
      <c r="R651" s="1">
        <f t="shared" si="163"/>
        <v>0</v>
      </c>
      <c r="S651" s="1">
        <f t="shared" si="163"/>
        <v>0</v>
      </c>
      <c r="T651" s="1">
        <f t="shared" si="163"/>
        <v>0</v>
      </c>
      <c r="U651" s="1">
        <f t="shared" si="163"/>
        <v>0</v>
      </c>
      <c r="V651" s="1">
        <f t="shared" si="163"/>
        <v>0</v>
      </c>
      <c r="W651" s="4">
        <f t="shared" si="164"/>
        <v>0</v>
      </c>
    </row>
    <row r="652" spans="4:23" ht="15" customHeight="1">
      <c r="D652" s="85" t="str">
        <f xml:space="preserve"> '2.1 Model setup'!K79</f>
        <v>4.2 Omkostninger vedrørende nettab i ledningsnettet</v>
      </c>
      <c r="K652" s="5" t="str">
        <f t="shared" si="161"/>
        <v>DKKt</v>
      </c>
      <c r="O652" s="1">
        <f t="shared" si="163"/>
        <v>0</v>
      </c>
      <c r="P652" s="1">
        <f t="shared" si="163"/>
        <v>0</v>
      </c>
      <c r="Q652" s="202"/>
      <c r="R652" s="1">
        <f t="shared" si="163"/>
        <v>0</v>
      </c>
      <c r="S652" s="1">
        <f t="shared" si="163"/>
        <v>0</v>
      </c>
      <c r="T652" s="1">
        <f t="shared" si="163"/>
        <v>0</v>
      </c>
      <c r="U652" s="1">
        <f t="shared" si="163"/>
        <v>0</v>
      </c>
      <c r="V652" s="1">
        <f t="shared" si="163"/>
        <v>0</v>
      </c>
      <c r="W652" s="4">
        <f t="shared" si="164"/>
        <v>0</v>
      </c>
    </row>
    <row r="653" spans="4:23" ht="15" customHeight="1">
      <c r="D653" s="85" t="str">
        <f xml:space="preserve"> '2.1 Model setup'!K88</f>
        <v>5.1 Omkostninger til overliggende net ifm. indfødning</v>
      </c>
      <c r="K653" s="5" t="str">
        <f t="shared" si="161"/>
        <v>DKKt</v>
      </c>
      <c r="O653" s="1">
        <f t="shared" si="163"/>
        <v>0</v>
      </c>
      <c r="P653" s="1">
        <f t="shared" si="163"/>
        <v>0</v>
      </c>
      <c r="Q653" s="202"/>
      <c r="R653" s="1">
        <f t="shared" si="163"/>
        <v>0</v>
      </c>
      <c r="S653" s="1">
        <f t="shared" si="163"/>
        <v>0</v>
      </c>
      <c r="T653" s="1">
        <f t="shared" si="163"/>
        <v>0</v>
      </c>
      <c r="U653" s="1">
        <f t="shared" si="163"/>
        <v>0</v>
      </c>
      <c r="V653" s="1">
        <f t="shared" si="163"/>
        <v>0</v>
      </c>
      <c r="W653" s="4">
        <f t="shared" si="164"/>
        <v>0</v>
      </c>
    </row>
    <row r="654" spans="4:23" ht="15" customHeight="1">
      <c r="D654" s="85" t="str">
        <f xml:space="preserve"> '2.1 Model setup'!K81</f>
        <v>5.2 Øvrige omkostninger</v>
      </c>
      <c r="K654" s="5" t="str">
        <f t="shared" si="161"/>
        <v>DKKt</v>
      </c>
      <c r="O654" s="1">
        <f t="shared" si="163"/>
        <v>0</v>
      </c>
      <c r="P654" s="1">
        <f t="shared" si="163"/>
        <v>0</v>
      </c>
      <c r="Q654" s="202"/>
      <c r="R654" s="1">
        <f t="shared" si="163"/>
        <v>0</v>
      </c>
      <c r="S654" s="1">
        <f t="shared" si="163"/>
        <v>0</v>
      </c>
      <c r="T654" s="1">
        <f t="shared" si="163"/>
        <v>0</v>
      </c>
      <c r="U654" s="1">
        <f t="shared" si="163"/>
        <v>0</v>
      </c>
      <c r="V654" s="1">
        <f t="shared" si="163"/>
        <v>0</v>
      </c>
      <c r="W654" s="4">
        <f t="shared" si="164"/>
        <v>0</v>
      </c>
    </row>
    <row r="655" spans="4:23" ht="15" customHeight="1">
      <c r="D655" s="85" t="str">
        <f xml:space="preserve"> '2.1 Model setup'!K82</f>
        <v>6.1 Afskrivninger på transformerstationer</v>
      </c>
      <c r="K655" s="5" t="str">
        <f t="shared" si="161"/>
        <v>DKKt</v>
      </c>
      <c r="O655" s="1">
        <f t="shared" si="163"/>
        <v>0</v>
      </c>
      <c r="P655" s="1">
        <f t="shared" si="163"/>
        <v>0</v>
      </c>
      <c r="Q655" s="202"/>
      <c r="R655" s="1">
        <f t="shared" si="163"/>
        <v>0</v>
      </c>
      <c r="S655" s="1">
        <f t="shared" si="163"/>
        <v>0</v>
      </c>
      <c r="T655" s="1">
        <f t="shared" si="163"/>
        <v>0</v>
      </c>
      <c r="U655" s="1">
        <f t="shared" si="163"/>
        <v>0</v>
      </c>
      <c r="V655" s="1">
        <f t="shared" si="163"/>
        <v>0</v>
      </c>
      <c r="W655" s="4">
        <f t="shared" si="164"/>
        <v>0</v>
      </c>
    </row>
    <row r="656" spans="4:23" ht="15" customHeight="1">
      <c r="D656" s="85" t="str">
        <f xml:space="preserve"> '2.1 Model setup'!K83</f>
        <v>6.2 Afskrivninger på netaktiver ekskl. målere og transformerstationer</v>
      </c>
      <c r="K656" s="5" t="str">
        <f t="shared" si="161"/>
        <v>DKKt</v>
      </c>
      <c r="O656" s="1">
        <f t="shared" si="163"/>
        <v>0</v>
      </c>
      <c r="P656" s="1">
        <f t="shared" si="163"/>
        <v>0</v>
      </c>
      <c r="Q656" s="202"/>
      <c r="R656" s="1">
        <f t="shared" si="163"/>
        <v>0</v>
      </c>
      <c r="S656" s="1">
        <f t="shared" si="163"/>
        <v>0</v>
      </c>
      <c r="T656" s="1">
        <f t="shared" si="163"/>
        <v>0</v>
      </c>
      <c r="U656" s="1">
        <f t="shared" si="163"/>
        <v>0</v>
      </c>
      <c r="V656" s="1">
        <f t="shared" si="163"/>
        <v>0</v>
      </c>
      <c r="W656" s="4">
        <f t="shared" si="164"/>
        <v>0</v>
      </c>
    </row>
    <row r="657" spans="2:23" ht="15" customHeight="1">
      <c r="D657" s="85" t="str">
        <f xml:space="preserve"> '2.1 Model setup'!K84</f>
        <v>6.3 Afskrivninger på målere</v>
      </c>
      <c r="K657" s="5" t="str">
        <f t="shared" si="161"/>
        <v>DKKt</v>
      </c>
      <c r="L657" s="85"/>
      <c r="O657" s="27">
        <f t="shared" si="163"/>
        <v>0</v>
      </c>
      <c r="P657" s="27">
        <f t="shared" si="163"/>
        <v>0</v>
      </c>
      <c r="Q657" s="269"/>
      <c r="R657" s="27">
        <f t="shared" si="163"/>
        <v>0</v>
      </c>
      <c r="S657" s="27">
        <f t="shared" si="163"/>
        <v>0</v>
      </c>
      <c r="T657" s="27">
        <f t="shared" si="163"/>
        <v>0</v>
      </c>
      <c r="U657" s="27">
        <f t="shared" si="163"/>
        <v>0</v>
      </c>
      <c r="V657" s="27">
        <f t="shared" si="163"/>
        <v>0</v>
      </c>
      <c r="W657" s="35">
        <f t="shared" si="164"/>
        <v>0</v>
      </c>
    </row>
    <row r="658" spans="2:23" ht="15" customHeight="1">
      <c r="D658" s="186" t="s">
        <v>16</v>
      </c>
      <c r="E658" s="33"/>
      <c r="F658" s="33"/>
      <c r="G658" s="33"/>
      <c r="H658" s="33"/>
      <c r="I658" s="33"/>
      <c r="J658" s="33"/>
      <c r="K658" s="187" t="str">
        <f t="shared" si="161"/>
        <v>DKKt</v>
      </c>
      <c r="L658" s="90">
        <f>-- ( ROUND( W658, 5 ) &lt;&gt; ROUND( N85, 5 ) )</f>
        <v>0</v>
      </c>
      <c r="M658" s="186"/>
      <c r="N658" s="186"/>
      <c r="O658" s="186">
        <f xml:space="preserve"> SUM( O643:O657 )</f>
        <v>0</v>
      </c>
      <c r="P658" s="186">
        <f t="shared" ref="P658:W658" si="165" xml:space="preserve"> SUM( P643:P657 )</f>
        <v>0</v>
      </c>
      <c r="Q658" s="186">
        <f t="shared" si="165"/>
        <v>0</v>
      </c>
      <c r="R658" s="186">
        <f t="shared" si="165"/>
        <v>0</v>
      </c>
      <c r="S658" s="186">
        <f t="shared" si="165"/>
        <v>0</v>
      </c>
      <c r="T658" s="186">
        <f t="shared" si="165"/>
        <v>0</v>
      </c>
      <c r="U658" s="186">
        <f t="shared" si="165"/>
        <v>0</v>
      </c>
      <c r="V658" s="186">
        <f t="shared" si="165"/>
        <v>0</v>
      </c>
      <c r="W658" s="186">
        <f t="shared" si="165"/>
        <v>0</v>
      </c>
    </row>
    <row r="662" spans="2:23" s="475" customFormat="1" ht="15" customHeight="1">
      <c r="B662" s="479" t="str">
        <f xml:space="preserve"> COUNTA(B$10:B661) &amp; ") Antal byggeklodser for hver omkostningsgruppe, pr. kundetype"</f>
        <v>5) Antal byggeklodser for hver omkostningsgruppe, pr. kundetype</v>
      </c>
      <c r="C662" s="477"/>
      <c r="D662" s="478"/>
      <c r="L662" s="205"/>
    </row>
    <row r="663" spans="2:23" ht="15" customHeight="1">
      <c r="K663" s="1"/>
    </row>
    <row r="664" spans="2:23" ht="15" customHeight="1">
      <c r="D664" s="4" t="s">
        <v>586</v>
      </c>
    </row>
    <row r="665" spans="2:23" ht="15" customHeight="1">
      <c r="D665" s="123" t="str">
        <f xml:space="preserve"> '2.1 Model setup'!K70</f>
        <v>1.1 Drift og vedligeholdelse af transformerstationer</v>
      </c>
      <c r="E665" s="15"/>
      <c r="F665" s="15"/>
      <c r="G665" s="15"/>
      <c r="H665" s="15"/>
      <c r="I665" s="15"/>
      <c r="J665" s="15"/>
      <c r="K665" s="19" t="s">
        <v>3</v>
      </c>
      <c r="L665" s="15"/>
      <c r="M665" s="15"/>
      <c r="N665" s="15">
        <f>'2.2 Generelle input'!N227</f>
        <v>1</v>
      </c>
      <c r="O665" s="274"/>
      <c r="P665" s="274"/>
      <c r="Q665" s="274"/>
      <c r="R665" s="274"/>
      <c r="S665" s="274"/>
      <c r="T665" s="274"/>
      <c r="U665" s="274"/>
      <c r="V665" s="274"/>
      <c r="W665" s="274"/>
    </row>
    <row r="666" spans="2:23" ht="15" customHeight="1">
      <c r="D666" s="85" t="str">
        <f xml:space="preserve"> '2.1 Model setup'!K71</f>
        <v>1.2 Drift og vedligeholdelse af ledningsnet</v>
      </c>
      <c r="K666" s="5" t="s">
        <v>3</v>
      </c>
      <c r="N666" s="1">
        <f>'2.2 Generelle input'!N228</f>
        <v>1</v>
      </c>
      <c r="O666" s="202"/>
      <c r="P666" s="202"/>
      <c r="Q666" s="202"/>
      <c r="R666" s="202"/>
      <c r="S666" s="202"/>
      <c r="T666" s="202"/>
      <c r="U666" s="202"/>
      <c r="V666" s="202"/>
      <c r="W666" s="202"/>
    </row>
    <row r="667" spans="2:23" ht="15" customHeight="1">
      <c r="D667" s="85" t="str">
        <f xml:space="preserve"> '2.1 Model setup'!K72</f>
        <v>1.3 Øvrige omkostninger til drift, styring og kontrol af elnettet</v>
      </c>
      <c r="K667" s="5" t="s">
        <v>3</v>
      </c>
      <c r="N667" s="1">
        <f>'2.2 Generelle input'!N229</f>
        <v>0</v>
      </c>
      <c r="O667" s="202"/>
      <c r="P667" s="202"/>
      <c r="Q667" s="202"/>
      <c r="R667" s="202"/>
      <c r="S667" s="202"/>
      <c r="T667" s="202"/>
      <c r="U667" s="202"/>
      <c r="V667" s="202"/>
      <c r="W667" s="202"/>
    </row>
    <row r="668" spans="2:23" ht="15" customHeight="1">
      <c r="D668" s="85" t="str">
        <f xml:space="preserve"> '2.1 Model setup'!K73</f>
        <v>1.4 Omkostninger vedrørende 132-150/30-60 kV-stationer</v>
      </c>
      <c r="K668" s="5" t="s">
        <v>3</v>
      </c>
      <c r="N668" s="1">
        <f>'2.2 Generelle input'!N230</f>
        <v>1</v>
      </c>
      <c r="O668" s="202"/>
      <c r="P668" s="202"/>
      <c r="Q668" s="202"/>
      <c r="R668" s="202"/>
      <c r="S668" s="202"/>
      <c r="T668" s="202"/>
      <c r="U668" s="202"/>
      <c r="V668" s="202"/>
      <c r="W668" s="202"/>
    </row>
    <row r="669" spans="2:23" ht="15" customHeight="1">
      <c r="D669" s="85" t="str">
        <f xml:space="preserve"> '2.1 Model setup'!K74</f>
        <v>2.1 Drift og vedligeholdelse af målere</v>
      </c>
      <c r="K669" s="5" t="s">
        <v>3</v>
      </c>
      <c r="N669" s="1">
        <f>'2.2 Generelle input'!N231</f>
        <v>0</v>
      </c>
      <c r="O669" s="202"/>
      <c r="P669" s="202"/>
      <c r="Q669" s="202"/>
      <c r="R669" s="202"/>
      <c r="S669" s="202"/>
      <c r="T669" s="202"/>
      <c r="U669" s="202"/>
      <c r="V669" s="202"/>
      <c r="W669" s="202"/>
    </row>
    <row r="670" spans="2:23" ht="15" customHeight="1">
      <c r="D670" s="85" t="str">
        <f xml:space="preserve"> '2.1 Model setup'!K75</f>
        <v>2.2 Indhentning og validering af målerdata</v>
      </c>
      <c r="K670" s="5" t="s">
        <v>3</v>
      </c>
      <c r="N670" s="1">
        <f>'2.2 Generelle input'!N232</f>
        <v>0</v>
      </c>
      <c r="O670" s="202"/>
      <c r="P670" s="202"/>
      <c r="Q670" s="202"/>
      <c r="R670" s="202"/>
      <c r="S670" s="202"/>
      <c r="T670" s="202"/>
      <c r="U670" s="202"/>
      <c r="V670" s="202"/>
      <c r="W670" s="202"/>
    </row>
    <row r="671" spans="2:23" ht="15" customHeight="1">
      <c r="D671" s="85" t="str">
        <f xml:space="preserve"> '2.1 Model setup'!K76</f>
        <v>2.3 Måleradministration og kundehåndtering</v>
      </c>
      <c r="K671" s="5" t="s">
        <v>3</v>
      </c>
      <c r="N671" s="1">
        <f>'2.2 Generelle input'!N233</f>
        <v>0</v>
      </c>
      <c r="O671" s="202"/>
      <c r="P671" s="202"/>
      <c r="Q671" s="202"/>
      <c r="R671" s="202"/>
      <c r="S671" s="202"/>
      <c r="T671" s="202"/>
      <c r="U671" s="202"/>
      <c r="V671" s="202"/>
      <c r="W671" s="202"/>
    </row>
    <row r="672" spans="2:23" ht="15" customHeight="1">
      <c r="D672" s="85" t="str">
        <f xml:space="preserve"> '2.1 Model setup'!K77</f>
        <v>3.1 Generel administration</v>
      </c>
      <c r="K672" s="5" t="s">
        <v>3</v>
      </c>
      <c r="N672" s="1">
        <f>'2.2 Generelle input'!N234</f>
        <v>0</v>
      </c>
      <c r="O672" s="202"/>
      <c r="P672" s="202"/>
      <c r="Q672" s="202"/>
      <c r="R672" s="202"/>
      <c r="S672" s="202"/>
      <c r="T672" s="202"/>
      <c r="U672" s="202"/>
      <c r="V672" s="202"/>
      <c r="W672" s="202"/>
    </row>
    <row r="673" spans="2:23" ht="15" customHeight="1">
      <c r="D673" s="85" t="str">
        <f xml:space="preserve"> '2.1 Model setup'!K78</f>
        <v>4.1 Omkostninger vedrørende nettab i transformerstationer</v>
      </c>
      <c r="K673" s="5" t="s">
        <v>3</v>
      </c>
      <c r="N673" s="1">
        <f>'2.2 Generelle input'!N235</f>
        <v>1</v>
      </c>
      <c r="O673" s="202"/>
      <c r="P673" s="202"/>
      <c r="Q673" s="202"/>
      <c r="R673" s="202"/>
      <c r="S673" s="202"/>
      <c r="T673" s="202"/>
      <c r="U673" s="202"/>
      <c r="V673" s="202"/>
      <c r="W673" s="202"/>
    </row>
    <row r="674" spans="2:23" ht="15" customHeight="1">
      <c r="D674" s="85" t="str">
        <f xml:space="preserve"> '2.1 Model setup'!K79</f>
        <v>4.2 Omkostninger vedrørende nettab i ledningsnettet</v>
      </c>
      <c r="K674" s="5" t="s">
        <v>3</v>
      </c>
      <c r="N674" s="1">
        <f>'2.2 Generelle input'!N236</f>
        <v>1</v>
      </c>
      <c r="O674" s="202"/>
      <c r="P674" s="202"/>
      <c r="Q674" s="202"/>
      <c r="R674" s="202"/>
      <c r="S674" s="202"/>
      <c r="T674" s="202"/>
      <c r="U674" s="202"/>
      <c r="V674" s="202"/>
      <c r="W674" s="202"/>
    </row>
    <row r="675" spans="2:23" ht="15" customHeight="1">
      <c r="D675" s="85" t="str">
        <f xml:space="preserve"> '2.1 Model setup'!K88</f>
        <v>5.1 Omkostninger til overliggende net ifm. indfødning</v>
      </c>
      <c r="K675" s="5" t="s">
        <v>3</v>
      </c>
      <c r="N675" s="1">
        <f>'2.2 Generelle input'!N237</f>
        <v>1</v>
      </c>
      <c r="O675" s="202"/>
      <c r="P675" s="202"/>
      <c r="Q675" s="202"/>
      <c r="R675" s="202"/>
      <c r="S675" s="202"/>
      <c r="T675" s="202"/>
      <c r="U675" s="202"/>
      <c r="V675" s="202"/>
      <c r="W675" s="202"/>
    </row>
    <row r="676" spans="2:23" ht="15" customHeight="1">
      <c r="D676" s="85" t="str">
        <f xml:space="preserve"> '2.1 Model setup'!K81</f>
        <v>5.2 Øvrige omkostninger</v>
      </c>
      <c r="K676" s="5" t="s">
        <v>3</v>
      </c>
      <c r="N676" s="1">
        <f>'2.2 Generelle input'!N238</f>
        <v>0</v>
      </c>
      <c r="O676" s="202"/>
      <c r="P676" s="202"/>
      <c r="Q676" s="202"/>
      <c r="R676" s="202"/>
      <c r="S676" s="202"/>
      <c r="T676" s="202"/>
      <c r="U676" s="202"/>
      <c r="V676" s="202"/>
      <c r="W676" s="202"/>
    </row>
    <row r="677" spans="2:23" ht="15" customHeight="1">
      <c r="D677" s="85" t="str">
        <f xml:space="preserve"> '2.1 Model setup'!K82</f>
        <v>6.1 Afskrivninger på transformerstationer</v>
      </c>
      <c r="K677" s="5" t="s">
        <v>3</v>
      </c>
      <c r="N677" s="1">
        <f>'2.2 Generelle input'!N239</f>
        <v>0</v>
      </c>
      <c r="O677" s="202"/>
      <c r="P677" s="202"/>
      <c r="Q677" s="202"/>
      <c r="R677" s="202"/>
      <c r="S677" s="202"/>
      <c r="T677" s="202"/>
      <c r="U677" s="202"/>
      <c r="V677" s="202"/>
      <c r="W677" s="202"/>
    </row>
    <row r="678" spans="2:23" ht="15" customHeight="1">
      <c r="D678" s="85" t="str">
        <f xml:space="preserve"> '2.1 Model setup'!K83</f>
        <v>6.2 Afskrivninger på netaktiver ekskl. målere og transformerstationer</v>
      </c>
      <c r="K678" s="5" t="s">
        <v>3</v>
      </c>
      <c r="N678" s="1">
        <f>'2.2 Generelle input'!N240</f>
        <v>0</v>
      </c>
      <c r="O678" s="202"/>
      <c r="P678" s="202"/>
      <c r="Q678" s="202"/>
      <c r="R678" s="202"/>
      <c r="S678" s="202"/>
      <c r="T678" s="202"/>
      <c r="U678" s="202"/>
      <c r="V678" s="202"/>
      <c r="W678" s="202"/>
    </row>
    <row r="679" spans="2:23" ht="15" customHeight="1">
      <c r="D679" s="99" t="str">
        <f xml:space="preserve"> '2.1 Model setup'!K84</f>
        <v>6.3 Afskrivninger på målere</v>
      </c>
      <c r="E679" s="27"/>
      <c r="F679" s="27"/>
      <c r="G679" s="27"/>
      <c r="H679" s="27"/>
      <c r="I679" s="27"/>
      <c r="J679" s="27"/>
      <c r="K679" s="32" t="s">
        <v>3</v>
      </c>
      <c r="L679" s="27"/>
      <c r="M679" s="27"/>
      <c r="N679" s="27">
        <f>'2.2 Generelle input'!N241</f>
        <v>0</v>
      </c>
      <c r="O679" s="269"/>
      <c r="P679" s="269"/>
      <c r="Q679" s="269"/>
      <c r="R679" s="269"/>
      <c r="S679" s="269"/>
      <c r="T679" s="269"/>
      <c r="U679" s="269"/>
      <c r="V679" s="269"/>
      <c r="W679" s="269"/>
    </row>
    <row r="683" spans="2:23" s="475" customFormat="1" ht="15" customHeight="1">
      <c r="B683" s="479" t="str">
        <f xml:space="preserve"> COUNTA(B$10:B682) &amp; ") Byggeklodser"</f>
        <v>6) Byggeklodser</v>
      </c>
      <c r="C683" s="477"/>
      <c r="D683" s="478"/>
    </row>
    <row r="685" spans="2:23" ht="15" customHeight="1">
      <c r="D685" s="88" t="s">
        <v>604</v>
      </c>
      <c r="E685" s="27"/>
      <c r="F685" s="27"/>
      <c r="G685" s="27"/>
      <c r="H685" s="27"/>
      <c r="I685" s="27"/>
      <c r="J685" s="27"/>
      <c r="K685" s="32"/>
      <c r="L685" s="27"/>
      <c r="M685" s="27"/>
      <c r="N685" s="27"/>
      <c r="O685" s="27"/>
      <c r="P685" s="27"/>
      <c r="Q685" s="27"/>
      <c r="R685" s="27"/>
      <c r="S685" s="27"/>
      <c r="T685" s="27"/>
      <c r="U685" s="27"/>
      <c r="V685" s="27"/>
      <c r="W685" s="185" t="s">
        <v>16</v>
      </c>
    </row>
    <row r="686" spans="2:23" ht="15" customHeight="1">
      <c r="D686" s="123" t="s">
        <v>603</v>
      </c>
      <c r="K686" s="5" t="str">
        <f>Model.Units2</f>
        <v>kWh</v>
      </c>
      <c r="O686" s="1">
        <f xml:space="preserve"> '2.3 Selskabsspecifikke input'!O310</f>
        <v>0</v>
      </c>
      <c r="P686" s="1">
        <f xml:space="preserve"> '2.3 Selskabsspecifikke input'!P310</f>
        <v>0</v>
      </c>
      <c r="Q686" s="388"/>
      <c r="R686" s="1">
        <f xml:space="preserve"> '2.3 Selskabsspecifikke input'!R310</f>
        <v>0</v>
      </c>
      <c r="S686" s="1">
        <f xml:space="preserve"> '2.3 Selskabsspecifikke input'!S310</f>
        <v>0</v>
      </c>
      <c r="T686" s="1">
        <f xml:space="preserve"> '2.3 Selskabsspecifikke input'!T310</f>
        <v>0</v>
      </c>
      <c r="U686" s="1">
        <f xml:space="preserve"> '2.3 Selskabsspecifikke input'!U310</f>
        <v>0</v>
      </c>
      <c r="V686" s="1">
        <f xml:space="preserve"> '2.3 Selskabsspecifikke input'!V310</f>
        <v>0</v>
      </c>
      <c r="W686" s="4">
        <f xml:space="preserve"> SUM( O686:V686 )</f>
        <v>0</v>
      </c>
    </row>
    <row r="687" spans="2:23" ht="15" customHeight="1">
      <c r="D687" s="105" t="s">
        <v>16</v>
      </c>
      <c r="E687" s="33"/>
      <c r="F687" s="33"/>
      <c r="G687" s="33"/>
      <c r="H687" s="33"/>
      <c r="I687" s="33"/>
      <c r="J687" s="33"/>
      <c r="K687" s="187" t="str">
        <f>Model.Units2</f>
        <v>kWh</v>
      </c>
      <c r="L687" s="186"/>
      <c r="M687" s="186"/>
      <c r="N687" s="186"/>
      <c r="O687" s="186">
        <f t="shared" ref="O687:P687" si="166" xml:space="preserve"> SUM( O686:O686 )</f>
        <v>0</v>
      </c>
      <c r="P687" s="186">
        <f t="shared" si="166"/>
        <v>0</v>
      </c>
      <c r="Q687" s="388"/>
      <c r="R687" s="186">
        <f t="shared" ref="R687:V687" si="167" xml:space="preserve"> SUM( R686:R686 )</f>
        <v>0</v>
      </c>
      <c r="S687" s="186">
        <f t="shared" si="167"/>
        <v>0</v>
      </c>
      <c r="T687" s="186">
        <f t="shared" si="167"/>
        <v>0</v>
      </c>
      <c r="U687" s="186">
        <f t="shared" si="167"/>
        <v>0</v>
      </c>
      <c r="V687" s="186">
        <f t="shared" si="167"/>
        <v>0</v>
      </c>
      <c r="W687" s="186">
        <f xml:space="preserve"> SUM( W686:W686 )</f>
        <v>0</v>
      </c>
    </row>
    <row r="689" spans="4:23" ht="15" customHeight="1">
      <c r="D689" s="35" t="s">
        <v>599</v>
      </c>
      <c r="E689" s="27"/>
      <c r="F689" s="27"/>
      <c r="G689" s="27"/>
      <c r="H689" s="27"/>
      <c r="I689" s="27"/>
      <c r="J689" s="27"/>
      <c r="K689" s="32"/>
      <c r="L689" s="27"/>
      <c r="M689" s="27"/>
      <c r="N689" s="27"/>
    </row>
    <row r="690" spans="4:23" ht="15" customHeight="1">
      <c r="D690" s="123" t="str">
        <f xml:space="preserve"> '2.1 Model setup'!K70</f>
        <v>1.1 Drift og vedligeholdelse af transformerstationer</v>
      </c>
      <c r="E690" s="15"/>
      <c r="F690" s="15"/>
      <c r="G690" s="15"/>
      <c r="H690" s="15"/>
      <c r="I690" s="15"/>
      <c r="J690" s="15"/>
      <c r="K690" s="19" t="s">
        <v>216</v>
      </c>
      <c r="L690" s="15"/>
      <c r="M690" s="15"/>
      <c r="N690" s="15"/>
      <c r="O690" s="545">
        <f t="shared" ref="O690:O704" si="168" xml:space="preserve"> IF(  ( $N665 * O$687 ) = 0, 0, ( O607 ) / ( $N665 * O$687 ) * tDKKtiløre )</f>
        <v>0</v>
      </c>
      <c r="P690" s="547">
        <f t="shared" ref="P690:P704" si="169" xml:space="preserve"> IF(  ( $N665 * P$687 ) = 0, 0, ( P499 ) / ( $N665 * P$687 ) * tDKKtiløre )</f>
        <v>0</v>
      </c>
      <c r="Q690" s="274"/>
      <c r="R690" s="547">
        <f t="shared" ref="R690:V704" si="170" xml:space="preserve"> IF(  ( $N665 * R$687 ) = 0, 0, ( R499 ) / ( $N665 * R$687 ) * tDKKtiløre )</f>
        <v>0</v>
      </c>
      <c r="S690" s="547">
        <f t="shared" si="170"/>
        <v>0</v>
      </c>
      <c r="T690" s="547">
        <f t="shared" si="170"/>
        <v>0</v>
      </c>
      <c r="U690" s="547">
        <f t="shared" si="170"/>
        <v>0</v>
      </c>
      <c r="V690" s="547">
        <f t="shared" si="170"/>
        <v>0</v>
      </c>
      <c r="W690" s="15"/>
    </row>
    <row r="691" spans="4:23" ht="15" customHeight="1">
      <c r="D691" s="85" t="str">
        <f xml:space="preserve"> '2.1 Model setup'!K71</f>
        <v>1.2 Drift og vedligeholdelse af ledningsnet</v>
      </c>
      <c r="K691" s="5" t="s">
        <v>216</v>
      </c>
      <c r="O691" s="546">
        <f t="shared" si="168"/>
        <v>0</v>
      </c>
      <c r="P691" s="544">
        <f t="shared" si="169"/>
        <v>0</v>
      </c>
      <c r="Q691" s="202"/>
      <c r="R691" s="544">
        <f t="shared" si="170"/>
        <v>0</v>
      </c>
      <c r="S691" s="544">
        <f t="shared" si="170"/>
        <v>0</v>
      </c>
      <c r="T691" s="544">
        <f t="shared" si="170"/>
        <v>0</v>
      </c>
      <c r="U691" s="544">
        <f t="shared" si="170"/>
        <v>0</v>
      </c>
      <c r="V691" s="544">
        <f t="shared" si="170"/>
        <v>0</v>
      </c>
    </row>
    <row r="692" spans="4:23" ht="15" customHeight="1">
      <c r="D692" s="85" t="str">
        <f xml:space="preserve"> '2.1 Model setup'!K72</f>
        <v>1.3 Øvrige omkostninger til drift, styring og kontrol af elnettet</v>
      </c>
      <c r="K692" s="5" t="s">
        <v>216</v>
      </c>
      <c r="O692" s="349">
        <f t="shared" si="168"/>
        <v>0</v>
      </c>
      <c r="P692" s="121">
        <f t="shared" si="169"/>
        <v>0</v>
      </c>
      <c r="Q692" s="202"/>
      <c r="R692" s="121">
        <f t="shared" si="170"/>
        <v>0</v>
      </c>
      <c r="S692" s="121">
        <f t="shared" si="170"/>
        <v>0</v>
      </c>
      <c r="T692" s="121">
        <f t="shared" si="170"/>
        <v>0</v>
      </c>
      <c r="U692" s="121">
        <f t="shared" si="170"/>
        <v>0</v>
      </c>
      <c r="V692" s="121">
        <f t="shared" si="170"/>
        <v>0</v>
      </c>
    </row>
    <row r="693" spans="4:23" ht="15" customHeight="1">
      <c r="D693" s="85" t="str">
        <f xml:space="preserve"> '2.1 Model setup'!K73</f>
        <v>1.4 Omkostninger vedrørende 132-150/30-60 kV-stationer</v>
      </c>
      <c r="K693" s="5" t="s">
        <v>216</v>
      </c>
      <c r="O693" s="546">
        <f t="shared" si="168"/>
        <v>0</v>
      </c>
      <c r="P693" s="544">
        <f t="shared" si="169"/>
        <v>0</v>
      </c>
      <c r="Q693" s="202"/>
      <c r="R693" s="544">
        <f t="shared" si="170"/>
        <v>0</v>
      </c>
      <c r="S693" s="544">
        <f t="shared" si="170"/>
        <v>0</v>
      </c>
      <c r="T693" s="544">
        <f t="shared" si="170"/>
        <v>0</v>
      </c>
      <c r="U693" s="544">
        <f t="shared" si="170"/>
        <v>0</v>
      </c>
      <c r="V693" s="544">
        <f t="shared" si="170"/>
        <v>0</v>
      </c>
    </row>
    <row r="694" spans="4:23" ht="15" customHeight="1">
      <c r="D694" s="85" t="str">
        <f xml:space="preserve"> '2.1 Model setup'!K74</f>
        <v>2.1 Drift og vedligeholdelse af målere</v>
      </c>
      <c r="K694" s="5" t="s">
        <v>216</v>
      </c>
      <c r="O694" s="349">
        <f t="shared" si="168"/>
        <v>0</v>
      </c>
      <c r="P694" s="121">
        <f t="shared" si="169"/>
        <v>0</v>
      </c>
      <c r="Q694" s="202"/>
      <c r="R694" s="121">
        <f t="shared" si="170"/>
        <v>0</v>
      </c>
      <c r="S694" s="121">
        <f t="shared" si="170"/>
        <v>0</v>
      </c>
      <c r="T694" s="121">
        <f t="shared" si="170"/>
        <v>0</v>
      </c>
      <c r="U694" s="121">
        <f t="shared" si="170"/>
        <v>0</v>
      </c>
      <c r="V694" s="121">
        <f t="shared" si="170"/>
        <v>0</v>
      </c>
    </row>
    <row r="695" spans="4:23" ht="15" customHeight="1">
      <c r="D695" s="85" t="str">
        <f xml:space="preserve"> '2.1 Model setup'!K75</f>
        <v>2.2 Indhentning og validering af målerdata</v>
      </c>
      <c r="K695" s="5" t="s">
        <v>216</v>
      </c>
      <c r="O695" s="349">
        <f t="shared" si="168"/>
        <v>0</v>
      </c>
      <c r="P695" s="121">
        <f t="shared" si="169"/>
        <v>0</v>
      </c>
      <c r="Q695" s="202"/>
      <c r="R695" s="121">
        <f t="shared" si="170"/>
        <v>0</v>
      </c>
      <c r="S695" s="121">
        <f t="shared" si="170"/>
        <v>0</v>
      </c>
      <c r="T695" s="121">
        <f t="shared" si="170"/>
        <v>0</v>
      </c>
      <c r="U695" s="121">
        <f t="shared" si="170"/>
        <v>0</v>
      </c>
      <c r="V695" s="121">
        <f t="shared" si="170"/>
        <v>0</v>
      </c>
    </row>
    <row r="696" spans="4:23" ht="15" customHeight="1">
      <c r="D696" s="85" t="str">
        <f xml:space="preserve"> '2.1 Model setup'!K76</f>
        <v>2.3 Måleradministration og kundehåndtering</v>
      </c>
      <c r="K696" s="5" t="s">
        <v>216</v>
      </c>
      <c r="O696" s="349">
        <f t="shared" si="168"/>
        <v>0</v>
      </c>
      <c r="P696" s="121">
        <f t="shared" si="169"/>
        <v>0</v>
      </c>
      <c r="Q696" s="202"/>
      <c r="R696" s="121">
        <f t="shared" si="170"/>
        <v>0</v>
      </c>
      <c r="S696" s="121">
        <f t="shared" si="170"/>
        <v>0</v>
      </c>
      <c r="T696" s="121">
        <f t="shared" si="170"/>
        <v>0</v>
      </c>
      <c r="U696" s="121">
        <f t="shared" si="170"/>
        <v>0</v>
      </c>
      <c r="V696" s="121">
        <f t="shared" si="170"/>
        <v>0</v>
      </c>
    </row>
    <row r="697" spans="4:23" ht="15" customHeight="1">
      <c r="D697" s="85" t="str">
        <f xml:space="preserve"> '2.1 Model setup'!K77</f>
        <v>3.1 Generel administration</v>
      </c>
      <c r="K697" s="5" t="s">
        <v>216</v>
      </c>
      <c r="O697" s="349">
        <f t="shared" si="168"/>
        <v>0</v>
      </c>
      <c r="P697" s="121">
        <f t="shared" si="169"/>
        <v>0</v>
      </c>
      <c r="Q697" s="202"/>
      <c r="R697" s="121">
        <f t="shared" si="170"/>
        <v>0</v>
      </c>
      <c r="S697" s="121">
        <f t="shared" si="170"/>
        <v>0</v>
      </c>
      <c r="T697" s="121">
        <f t="shared" si="170"/>
        <v>0</v>
      </c>
      <c r="U697" s="121">
        <f t="shared" si="170"/>
        <v>0</v>
      </c>
      <c r="V697" s="121">
        <f t="shared" si="170"/>
        <v>0</v>
      </c>
    </row>
    <row r="698" spans="4:23" ht="15" customHeight="1">
      <c r="D698" s="85" t="str">
        <f xml:space="preserve"> '2.1 Model setup'!K78</f>
        <v>4.1 Omkostninger vedrørende nettab i transformerstationer</v>
      </c>
      <c r="K698" s="5" t="s">
        <v>216</v>
      </c>
      <c r="O698" s="349">
        <f t="shared" si="168"/>
        <v>0</v>
      </c>
      <c r="P698" s="121">
        <f t="shared" si="169"/>
        <v>0</v>
      </c>
      <c r="Q698" s="202"/>
      <c r="R698" s="121">
        <f t="shared" si="170"/>
        <v>0</v>
      </c>
      <c r="S698" s="121">
        <f t="shared" si="170"/>
        <v>0</v>
      </c>
      <c r="T698" s="121">
        <f t="shared" si="170"/>
        <v>0</v>
      </c>
      <c r="U698" s="121">
        <f t="shared" si="170"/>
        <v>0</v>
      </c>
      <c r="V698" s="121">
        <f t="shared" si="170"/>
        <v>0</v>
      </c>
    </row>
    <row r="699" spans="4:23" ht="15" customHeight="1">
      <c r="D699" s="85" t="str">
        <f xml:space="preserve"> '2.1 Model setup'!K79</f>
        <v>4.2 Omkostninger vedrørende nettab i ledningsnettet</v>
      </c>
      <c r="K699" s="5" t="s">
        <v>216</v>
      </c>
      <c r="O699" s="349">
        <f t="shared" si="168"/>
        <v>0</v>
      </c>
      <c r="P699" s="121">
        <f t="shared" si="169"/>
        <v>0</v>
      </c>
      <c r="Q699" s="202"/>
      <c r="R699" s="121">
        <f t="shared" si="170"/>
        <v>0</v>
      </c>
      <c r="S699" s="121">
        <f t="shared" si="170"/>
        <v>0</v>
      </c>
      <c r="T699" s="121">
        <f t="shared" si="170"/>
        <v>0</v>
      </c>
      <c r="U699" s="121">
        <f t="shared" si="170"/>
        <v>0</v>
      </c>
      <c r="V699" s="121">
        <f t="shared" si="170"/>
        <v>0</v>
      </c>
    </row>
    <row r="700" spans="4:23" ht="15" customHeight="1">
      <c r="D700" s="85" t="str">
        <f xml:space="preserve"> '2.1 Model setup'!K88</f>
        <v>5.1 Omkostninger til overliggende net ifm. indfødning</v>
      </c>
      <c r="K700" s="5" t="s">
        <v>216</v>
      </c>
      <c r="O700" s="546">
        <f t="shared" si="168"/>
        <v>0</v>
      </c>
      <c r="P700" s="544">
        <f t="shared" si="169"/>
        <v>0</v>
      </c>
      <c r="Q700" s="202"/>
      <c r="R700" s="544">
        <f t="shared" si="170"/>
        <v>0</v>
      </c>
      <c r="S700" s="544">
        <f t="shared" si="170"/>
        <v>0</v>
      </c>
      <c r="T700" s="544">
        <f t="shared" si="170"/>
        <v>0</v>
      </c>
      <c r="U700" s="544">
        <f t="shared" si="170"/>
        <v>0</v>
      </c>
      <c r="V700" s="544">
        <f t="shared" si="170"/>
        <v>0</v>
      </c>
    </row>
    <row r="701" spans="4:23" ht="15" customHeight="1">
      <c r="D701" s="85" t="str">
        <f xml:space="preserve"> '2.1 Model setup'!K81</f>
        <v>5.2 Øvrige omkostninger</v>
      </c>
      <c r="K701" s="5" t="s">
        <v>216</v>
      </c>
      <c r="O701" s="349">
        <f t="shared" si="168"/>
        <v>0</v>
      </c>
      <c r="P701" s="121">
        <f t="shared" si="169"/>
        <v>0</v>
      </c>
      <c r="Q701" s="202"/>
      <c r="R701" s="121">
        <f t="shared" si="170"/>
        <v>0</v>
      </c>
      <c r="S701" s="121">
        <f t="shared" si="170"/>
        <v>0</v>
      </c>
      <c r="T701" s="121">
        <f t="shared" si="170"/>
        <v>0</v>
      </c>
      <c r="U701" s="121">
        <f t="shared" si="170"/>
        <v>0</v>
      </c>
      <c r="V701" s="121">
        <f t="shared" si="170"/>
        <v>0</v>
      </c>
    </row>
    <row r="702" spans="4:23" ht="15" customHeight="1">
      <c r="D702" s="85" t="str">
        <f xml:space="preserve"> '2.1 Model setup'!K82</f>
        <v>6.1 Afskrivninger på transformerstationer</v>
      </c>
      <c r="K702" s="5" t="s">
        <v>216</v>
      </c>
      <c r="O702" s="349">
        <f t="shared" si="168"/>
        <v>0</v>
      </c>
      <c r="P702" s="121">
        <f t="shared" si="169"/>
        <v>0</v>
      </c>
      <c r="Q702" s="202"/>
      <c r="R702" s="121">
        <f t="shared" si="170"/>
        <v>0</v>
      </c>
      <c r="S702" s="121">
        <f t="shared" si="170"/>
        <v>0</v>
      </c>
      <c r="T702" s="121">
        <f t="shared" si="170"/>
        <v>0</v>
      </c>
      <c r="U702" s="121">
        <f t="shared" si="170"/>
        <v>0</v>
      </c>
      <c r="V702" s="121">
        <f t="shared" si="170"/>
        <v>0</v>
      </c>
    </row>
    <row r="703" spans="4:23" ht="15" customHeight="1">
      <c r="D703" s="85" t="str">
        <f xml:space="preserve"> '2.1 Model setup'!K83</f>
        <v>6.2 Afskrivninger på netaktiver ekskl. målere og transformerstationer</v>
      </c>
      <c r="K703" s="5" t="s">
        <v>216</v>
      </c>
      <c r="O703" s="349">
        <f t="shared" si="168"/>
        <v>0</v>
      </c>
      <c r="P703" s="121">
        <f t="shared" si="169"/>
        <v>0</v>
      </c>
      <c r="Q703" s="202"/>
      <c r="R703" s="121">
        <f t="shared" si="170"/>
        <v>0</v>
      </c>
      <c r="S703" s="121">
        <f t="shared" si="170"/>
        <v>0</v>
      </c>
      <c r="T703" s="121">
        <f t="shared" si="170"/>
        <v>0</v>
      </c>
      <c r="U703" s="121">
        <f t="shared" si="170"/>
        <v>0</v>
      </c>
      <c r="V703" s="121">
        <f t="shared" si="170"/>
        <v>0</v>
      </c>
    </row>
    <row r="704" spans="4:23" ht="15" customHeight="1">
      <c r="D704" s="99" t="str">
        <f xml:space="preserve"> '2.1 Model setup'!K84</f>
        <v>6.3 Afskrivninger på målere</v>
      </c>
      <c r="E704" s="27"/>
      <c r="F704" s="27"/>
      <c r="G704" s="27"/>
      <c r="H704" s="27"/>
      <c r="I704" s="27"/>
      <c r="J704" s="27"/>
      <c r="K704" s="32" t="s">
        <v>216</v>
      </c>
      <c r="L704" s="27"/>
      <c r="M704" s="27"/>
      <c r="N704" s="27"/>
      <c r="O704" s="350">
        <f t="shared" si="168"/>
        <v>0</v>
      </c>
      <c r="P704" s="131">
        <f t="shared" si="169"/>
        <v>0</v>
      </c>
      <c r="Q704" s="269"/>
      <c r="R704" s="131">
        <f t="shared" si="170"/>
        <v>0</v>
      </c>
      <c r="S704" s="131">
        <f t="shared" si="170"/>
        <v>0</v>
      </c>
      <c r="T704" s="131">
        <f t="shared" si="170"/>
        <v>0</v>
      </c>
      <c r="U704" s="131">
        <f t="shared" si="170"/>
        <v>0</v>
      </c>
      <c r="V704" s="131">
        <f t="shared" si="170"/>
        <v>0</v>
      </c>
      <c r="W704" s="27"/>
    </row>
    <row r="706" spans="4:23" ht="15" customHeight="1">
      <c r="D706" s="35" t="s">
        <v>645</v>
      </c>
      <c r="E706" s="27"/>
      <c r="F706" s="27"/>
      <c r="G706" s="27"/>
      <c r="H706" s="27"/>
      <c r="I706" s="27"/>
      <c r="J706" s="27"/>
      <c r="K706" s="32"/>
      <c r="L706" s="27"/>
      <c r="M706" s="27"/>
      <c r="N706" s="27"/>
    </row>
    <row r="707" spans="4:23" ht="15" customHeight="1">
      <c r="D707" s="123" t="str">
        <f xml:space="preserve"> '2.1 Model setup'!K70</f>
        <v>1.1 Drift og vedligeholdelse af transformerstationer</v>
      </c>
      <c r="E707" s="15"/>
      <c r="F707" s="15"/>
      <c r="G707" s="15"/>
      <c r="H707" s="15"/>
      <c r="I707" s="15"/>
      <c r="J707" s="15"/>
      <c r="K707" s="19" t="s">
        <v>216</v>
      </c>
      <c r="L707" s="15"/>
      <c r="M707" s="15"/>
      <c r="N707" s="15"/>
      <c r="O707" s="545">
        <v>0</v>
      </c>
      <c r="P707" s="550">
        <f t="shared" ref="P707:P721" si="171" xml:space="preserve"> IF(  ( $N665 * P$687 ) = 0, 0, ( P607 ) / ( $N665 * P$687 ) * tDKKtiløre )</f>
        <v>0</v>
      </c>
      <c r="Q707" s="552"/>
      <c r="R707" s="547">
        <f t="shared" ref="R707:V721" si="172" xml:space="preserve"> IF(  ( $N665 * R$687 ) = 0, 0, ( R517 ) / ( $N665 * R$687 ) * tDKKtiløre )</f>
        <v>0</v>
      </c>
      <c r="S707" s="547">
        <f t="shared" si="172"/>
        <v>0</v>
      </c>
      <c r="T707" s="547">
        <f t="shared" si="172"/>
        <v>0</v>
      </c>
      <c r="U707" s="547">
        <f t="shared" si="172"/>
        <v>0</v>
      </c>
      <c r="V707" s="547">
        <f t="shared" si="172"/>
        <v>0</v>
      </c>
      <c r="W707" s="15"/>
    </row>
    <row r="708" spans="4:23" ht="15" customHeight="1">
      <c r="D708" s="85" t="str">
        <f xml:space="preserve"> '2.1 Model setup'!K71</f>
        <v>1.2 Drift og vedligeholdelse af ledningsnet</v>
      </c>
      <c r="K708" s="5" t="s">
        <v>216</v>
      </c>
      <c r="O708" s="546">
        <v>0</v>
      </c>
      <c r="P708" s="551">
        <f xml:space="preserve"> IF(  ( $N666 * P$687 ) = 0, 0, ( P608 ) / ( $N666 * P$687 ) * tDKKtiløre )</f>
        <v>0</v>
      </c>
      <c r="Q708" s="553"/>
      <c r="R708" s="544">
        <f t="shared" si="172"/>
        <v>0</v>
      </c>
      <c r="S708" s="544">
        <f t="shared" si="172"/>
        <v>0</v>
      </c>
      <c r="T708" s="544">
        <f t="shared" si="172"/>
        <v>0</v>
      </c>
      <c r="U708" s="544">
        <f t="shared" si="172"/>
        <v>0</v>
      </c>
      <c r="V708" s="544">
        <f t="shared" si="172"/>
        <v>0</v>
      </c>
    </row>
    <row r="709" spans="4:23" ht="15" customHeight="1">
      <c r="D709" s="85" t="str">
        <f xml:space="preserve"> '2.1 Model setup'!K72</f>
        <v>1.3 Øvrige omkostninger til drift, styring og kontrol af elnettet</v>
      </c>
      <c r="K709" s="5" t="s">
        <v>216</v>
      </c>
      <c r="O709" s="349">
        <v>0</v>
      </c>
      <c r="P709" s="346">
        <f t="shared" si="171"/>
        <v>0</v>
      </c>
      <c r="Q709" s="553"/>
      <c r="R709" s="121">
        <f t="shared" si="172"/>
        <v>0</v>
      </c>
      <c r="S709" s="121">
        <f t="shared" si="172"/>
        <v>0</v>
      </c>
      <c r="T709" s="121">
        <f t="shared" si="172"/>
        <v>0</v>
      </c>
      <c r="U709" s="121">
        <f t="shared" si="172"/>
        <v>0</v>
      </c>
      <c r="V709" s="121">
        <f t="shared" si="172"/>
        <v>0</v>
      </c>
    </row>
    <row r="710" spans="4:23" ht="15" customHeight="1">
      <c r="D710" s="85" t="str">
        <f xml:space="preserve"> '2.1 Model setup'!K73</f>
        <v>1.4 Omkostninger vedrørende 132-150/30-60 kV-stationer</v>
      </c>
      <c r="K710" s="5" t="s">
        <v>216</v>
      </c>
      <c r="O710" s="546">
        <v>0</v>
      </c>
      <c r="P710" s="551">
        <f t="shared" si="171"/>
        <v>0</v>
      </c>
      <c r="Q710" s="553"/>
      <c r="R710" s="544">
        <f t="shared" si="172"/>
        <v>0</v>
      </c>
      <c r="S710" s="544">
        <f t="shared" si="172"/>
        <v>0</v>
      </c>
      <c r="T710" s="544">
        <f t="shared" si="172"/>
        <v>0</v>
      </c>
      <c r="U710" s="544">
        <f t="shared" si="172"/>
        <v>0</v>
      </c>
      <c r="V710" s="544">
        <f t="shared" si="172"/>
        <v>0</v>
      </c>
    </row>
    <row r="711" spans="4:23" ht="15" customHeight="1">
      <c r="D711" s="85" t="str">
        <f xml:space="preserve"> '2.1 Model setup'!K74</f>
        <v>2.1 Drift og vedligeholdelse af målere</v>
      </c>
      <c r="K711" s="5" t="s">
        <v>216</v>
      </c>
      <c r="O711" s="349">
        <v>0</v>
      </c>
      <c r="P711" s="346">
        <f t="shared" si="171"/>
        <v>0</v>
      </c>
      <c r="Q711" s="553"/>
      <c r="R711" s="121">
        <f t="shared" si="172"/>
        <v>0</v>
      </c>
      <c r="S711" s="121">
        <f t="shared" si="172"/>
        <v>0</v>
      </c>
      <c r="T711" s="121">
        <f t="shared" si="172"/>
        <v>0</v>
      </c>
      <c r="U711" s="121">
        <f t="shared" si="172"/>
        <v>0</v>
      </c>
      <c r="V711" s="121">
        <f t="shared" si="172"/>
        <v>0</v>
      </c>
    </row>
    <row r="712" spans="4:23" ht="15" customHeight="1">
      <c r="D712" s="85" t="str">
        <f xml:space="preserve"> '2.1 Model setup'!K75</f>
        <v>2.2 Indhentning og validering af målerdata</v>
      </c>
      <c r="K712" s="5" t="s">
        <v>216</v>
      </c>
      <c r="O712" s="349">
        <v>0</v>
      </c>
      <c r="P712" s="346">
        <f t="shared" si="171"/>
        <v>0</v>
      </c>
      <c r="Q712" s="553"/>
      <c r="R712" s="121">
        <f t="shared" si="172"/>
        <v>0</v>
      </c>
      <c r="S712" s="121">
        <f t="shared" si="172"/>
        <v>0</v>
      </c>
      <c r="T712" s="121">
        <f t="shared" si="172"/>
        <v>0</v>
      </c>
      <c r="U712" s="121">
        <f t="shared" si="172"/>
        <v>0</v>
      </c>
      <c r="V712" s="121">
        <f t="shared" si="172"/>
        <v>0</v>
      </c>
    </row>
    <row r="713" spans="4:23" ht="15" customHeight="1">
      <c r="D713" s="85" t="str">
        <f xml:space="preserve"> '2.1 Model setup'!K76</f>
        <v>2.3 Måleradministration og kundehåndtering</v>
      </c>
      <c r="K713" s="5" t="s">
        <v>216</v>
      </c>
      <c r="O713" s="349">
        <v>0</v>
      </c>
      <c r="P713" s="346">
        <f t="shared" si="171"/>
        <v>0</v>
      </c>
      <c r="Q713" s="553"/>
      <c r="R713" s="121">
        <f t="shared" si="172"/>
        <v>0</v>
      </c>
      <c r="S713" s="121">
        <f t="shared" si="172"/>
        <v>0</v>
      </c>
      <c r="T713" s="121">
        <f t="shared" si="172"/>
        <v>0</v>
      </c>
      <c r="U713" s="121">
        <f t="shared" si="172"/>
        <v>0</v>
      </c>
      <c r="V713" s="121">
        <f t="shared" si="172"/>
        <v>0</v>
      </c>
    </row>
    <row r="714" spans="4:23" ht="15" customHeight="1">
      <c r="D714" s="85" t="str">
        <f xml:space="preserve"> '2.1 Model setup'!K77</f>
        <v>3.1 Generel administration</v>
      </c>
      <c r="K714" s="5" t="s">
        <v>216</v>
      </c>
      <c r="O714" s="349">
        <v>0</v>
      </c>
      <c r="P714" s="346">
        <f t="shared" si="171"/>
        <v>0</v>
      </c>
      <c r="Q714" s="553"/>
      <c r="R714" s="121">
        <f t="shared" si="172"/>
        <v>0</v>
      </c>
      <c r="S714" s="121">
        <f t="shared" si="172"/>
        <v>0</v>
      </c>
      <c r="T714" s="121">
        <f t="shared" si="172"/>
        <v>0</v>
      </c>
      <c r="U714" s="121">
        <f t="shared" si="172"/>
        <v>0</v>
      </c>
      <c r="V714" s="121">
        <f t="shared" si="172"/>
        <v>0</v>
      </c>
    </row>
    <row r="715" spans="4:23" ht="15" customHeight="1">
      <c r="D715" s="85" t="str">
        <f xml:space="preserve"> '2.1 Model setup'!K78</f>
        <v>4.1 Omkostninger vedrørende nettab i transformerstationer</v>
      </c>
      <c r="K715" s="5" t="s">
        <v>216</v>
      </c>
      <c r="O715" s="349">
        <v>0</v>
      </c>
      <c r="P715" s="346">
        <f t="shared" si="171"/>
        <v>0</v>
      </c>
      <c r="Q715" s="553"/>
      <c r="R715" s="121">
        <f t="shared" si="172"/>
        <v>0</v>
      </c>
      <c r="S715" s="121">
        <f t="shared" si="172"/>
        <v>0</v>
      </c>
      <c r="T715" s="121">
        <f t="shared" si="172"/>
        <v>0</v>
      </c>
      <c r="U715" s="121">
        <f t="shared" si="172"/>
        <v>0</v>
      </c>
      <c r="V715" s="121">
        <f t="shared" si="172"/>
        <v>0</v>
      </c>
    </row>
    <row r="716" spans="4:23" ht="15" customHeight="1">
      <c r="D716" s="85" t="str">
        <f xml:space="preserve"> '2.1 Model setup'!K79</f>
        <v>4.2 Omkostninger vedrørende nettab i ledningsnettet</v>
      </c>
      <c r="K716" s="5" t="s">
        <v>216</v>
      </c>
      <c r="O716" s="349">
        <v>0</v>
      </c>
      <c r="P716" s="346">
        <f t="shared" si="171"/>
        <v>0</v>
      </c>
      <c r="Q716" s="553"/>
      <c r="R716" s="121">
        <f t="shared" si="172"/>
        <v>0</v>
      </c>
      <c r="S716" s="121">
        <f t="shared" si="172"/>
        <v>0</v>
      </c>
      <c r="T716" s="121">
        <f t="shared" si="172"/>
        <v>0</v>
      </c>
      <c r="U716" s="121">
        <f t="shared" si="172"/>
        <v>0</v>
      </c>
      <c r="V716" s="121">
        <f t="shared" si="172"/>
        <v>0</v>
      </c>
    </row>
    <row r="717" spans="4:23" ht="15" customHeight="1">
      <c r="D717" s="85" t="str">
        <f xml:space="preserve"> '2.1 Model setup'!K88</f>
        <v>5.1 Omkostninger til overliggende net ifm. indfødning</v>
      </c>
      <c r="K717" s="5" t="s">
        <v>216</v>
      </c>
      <c r="O717" s="546">
        <v>0</v>
      </c>
      <c r="P717" s="551">
        <f t="shared" si="171"/>
        <v>0</v>
      </c>
      <c r="Q717" s="553"/>
      <c r="R717" s="544">
        <f t="shared" si="172"/>
        <v>0</v>
      </c>
      <c r="S717" s="544">
        <f t="shared" si="172"/>
        <v>0</v>
      </c>
      <c r="T717" s="544">
        <f t="shared" si="172"/>
        <v>0</v>
      </c>
      <c r="U717" s="544">
        <f t="shared" si="172"/>
        <v>0</v>
      </c>
      <c r="V717" s="544">
        <f t="shared" si="172"/>
        <v>0</v>
      </c>
    </row>
    <row r="718" spans="4:23" ht="15" customHeight="1">
      <c r="D718" s="85" t="str">
        <f xml:space="preserve"> '2.1 Model setup'!K81</f>
        <v>5.2 Øvrige omkostninger</v>
      </c>
      <c r="K718" s="5" t="s">
        <v>216</v>
      </c>
      <c r="O718" s="349">
        <v>0</v>
      </c>
      <c r="P718" s="346">
        <f t="shared" si="171"/>
        <v>0</v>
      </c>
      <c r="Q718" s="553"/>
      <c r="R718" s="121">
        <f t="shared" si="172"/>
        <v>0</v>
      </c>
      <c r="S718" s="121">
        <f t="shared" si="172"/>
        <v>0</v>
      </c>
      <c r="T718" s="121">
        <f t="shared" si="172"/>
        <v>0</v>
      </c>
      <c r="U718" s="121">
        <f t="shared" si="172"/>
        <v>0</v>
      </c>
      <c r="V718" s="121">
        <f t="shared" si="172"/>
        <v>0</v>
      </c>
    </row>
    <row r="719" spans="4:23" ht="15" customHeight="1">
      <c r="D719" s="85" t="str">
        <f xml:space="preserve"> '2.1 Model setup'!K82</f>
        <v>6.1 Afskrivninger på transformerstationer</v>
      </c>
      <c r="K719" s="5" t="s">
        <v>216</v>
      </c>
      <c r="O719" s="349">
        <v>0</v>
      </c>
      <c r="P719" s="346">
        <f t="shared" si="171"/>
        <v>0</v>
      </c>
      <c r="Q719" s="553"/>
      <c r="R719" s="121">
        <f t="shared" si="172"/>
        <v>0</v>
      </c>
      <c r="S719" s="121">
        <f t="shared" si="172"/>
        <v>0</v>
      </c>
      <c r="T719" s="121">
        <f t="shared" si="172"/>
        <v>0</v>
      </c>
      <c r="U719" s="121">
        <f t="shared" si="172"/>
        <v>0</v>
      </c>
      <c r="V719" s="121">
        <f t="shared" si="172"/>
        <v>0</v>
      </c>
    </row>
    <row r="720" spans="4:23" ht="15" customHeight="1">
      <c r="D720" s="85" t="str">
        <f xml:space="preserve"> '2.1 Model setup'!K83</f>
        <v>6.2 Afskrivninger på netaktiver ekskl. målere og transformerstationer</v>
      </c>
      <c r="K720" s="5" t="s">
        <v>216</v>
      </c>
      <c r="O720" s="349">
        <v>0</v>
      </c>
      <c r="P720" s="346">
        <f t="shared" si="171"/>
        <v>0</v>
      </c>
      <c r="Q720" s="553"/>
      <c r="R720" s="121">
        <f t="shared" si="172"/>
        <v>0</v>
      </c>
      <c r="S720" s="121">
        <f t="shared" si="172"/>
        <v>0</v>
      </c>
      <c r="T720" s="121">
        <f t="shared" si="172"/>
        <v>0</v>
      </c>
      <c r="U720" s="121">
        <f t="shared" si="172"/>
        <v>0</v>
      </c>
      <c r="V720" s="121">
        <f t="shared" si="172"/>
        <v>0</v>
      </c>
    </row>
    <row r="721" spans="4:23" ht="15" customHeight="1">
      <c r="D721" s="99" t="str">
        <f xml:space="preserve"> '2.1 Model setup'!K84</f>
        <v>6.3 Afskrivninger på målere</v>
      </c>
      <c r="E721" s="27"/>
      <c r="F721" s="27"/>
      <c r="G721" s="27"/>
      <c r="H721" s="27"/>
      <c r="I721" s="27"/>
      <c r="J721" s="27"/>
      <c r="K721" s="32" t="s">
        <v>216</v>
      </c>
      <c r="L721" s="27"/>
      <c r="M721" s="27"/>
      <c r="N721" s="27"/>
      <c r="O721" s="350">
        <v>0</v>
      </c>
      <c r="P721" s="347">
        <f t="shared" si="171"/>
        <v>0</v>
      </c>
      <c r="Q721" s="554"/>
      <c r="R721" s="131">
        <f t="shared" si="172"/>
        <v>0</v>
      </c>
      <c r="S721" s="131">
        <f t="shared" si="172"/>
        <v>0</v>
      </c>
      <c r="T721" s="131">
        <f t="shared" si="172"/>
        <v>0</v>
      </c>
      <c r="U721" s="131">
        <f t="shared" si="172"/>
        <v>0</v>
      </c>
      <c r="V721" s="131">
        <f t="shared" si="172"/>
        <v>0</v>
      </c>
      <c r="W721" s="27"/>
    </row>
    <row r="723" spans="4:23" ht="15" customHeight="1">
      <c r="D723" s="35" t="s">
        <v>476</v>
      </c>
      <c r="E723" s="27"/>
      <c r="F723" s="27"/>
      <c r="G723" s="27"/>
      <c r="H723" s="27"/>
      <c r="I723" s="27"/>
      <c r="J723" s="27"/>
      <c r="K723" s="32"/>
      <c r="L723" s="27"/>
      <c r="M723" s="27"/>
      <c r="N723" s="27"/>
    </row>
    <row r="724" spans="4:23" ht="15" customHeight="1">
      <c r="D724" s="123" t="str">
        <f xml:space="preserve"> '2.1 Model setup'!K70</f>
        <v>1.1 Drift og vedligeholdelse af transformerstationer</v>
      </c>
      <c r="E724" s="15"/>
      <c r="F724" s="15"/>
      <c r="G724" s="15"/>
      <c r="H724" s="15"/>
      <c r="I724" s="15"/>
      <c r="J724" s="15"/>
      <c r="K724" s="19" t="s">
        <v>216</v>
      </c>
      <c r="L724" s="15"/>
      <c r="M724" s="15"/>
      <c r="N724" s="15"/>
      <c r="O724" s="547">
        <v>0</v>
      </c>
      <c r="P724" s="547">
        <f t="shared" ref="P724:P738" si="173" xml:space="preserve"> IF(  ( $N665 * P$687 ) = 0, 0, ( P535 ) / ( $N665 * P$687 ) * tDKKtiløre )</f>
        <v>0</v>
      </c>
      <c r="Q724" s="555"/>
      <c r="R724" s="550">
        <f t="shared" ref="R724:R738" si="174" xml:space="preserve"> IF(  ( $N665 * R$687 ) = 0, 0, ( R607 ) / ( $N665 * R$687 ) * tDKKtiløre )</f>
        <v>0</v>
      </c>
      <c r="S724" s="547">
        <f t="shared" ref="S724:V738" si="175" xml:space="preserve"> IF(  ( $N665 * S$687 ) = 0, 0, ( S535 ) / ( $N665 * S$687 ) * tDKKtiløre )</f>
        <v>0</v>
      </c>
      <c r="T724" s="547">
        <f t="shared" si="175"/>
        <v>0</v>
      </c>
      <c r="U724" s="547">
        <f t="shared" si="175"/>
        <v>0</v>
      </c>
      <c r="V724" s="547">
        <f t="shared" si="175"/>
        <v>0</v>
      </c>
      <c r="W724" s="15"/>
    </row>
    <row r="725" spans="4:23" ht="15" customHeight="1">
      <c r="D725" s="85" t="str">
        <f xml:space="preserve"> '2.1 Model setup'!K71</f>
        <v>1.2 Drift og vedligeholdelse af ledningsnet</v>
      </c>
      <c r="K725" s="5" t="s">
        <v>216</v>
      </c>
      <c r="O725" s="544">
        <v>0</v>
      </c>
      <c r="P725" s="544">
        <f t="shared" si="173"/>
        <v>0</v>
      </c>
      <c r="Q725" s="556"/>
      <c r="R725" s="551">
        <f t="shared" si="174"/>
        <v>0</v>
      </c>
      <c r="S725" s="544">
        <f t="shared" si="175"/>
        <v>0</v>
      </c>
      <c r="T725" s="544">
        <f t="shared" si="175"/>
        <v>0</v>
      </c>
      <c r="U725" s="544">
        <f t="shared" si="175"/>
        <v>0</v>
      </c>
      <c r="V725" s="544">
        <f t="shared" si="175"/>
        <v>0</v>
      </c>
    </row>
    <row r="726" spans="4:23" ht="15" customHeight="1">
      <c r="D726" s="85" t="str">
        <f xml:space="preserve"> '2.1 Model setup'!K72</f>
        <v>1.3 Øvrige omkostninger til drift, styring og kontrol af elnettet</v>
      </c>
      <c r="K726" s="5" t="s">
        <v>216</v>
      </c>
      <c r="O726" s="121">
        <v>0</v>
      </c>
      <c r="P726" s="121">
        <f t="shared" si="173"/>
        <v>0</v>
      </c>
      <c r="Q726" s="556"/>
      <c r="R726" s="346">
        <f t="shared" si="174"/>
        <v>0</v>
      </c>
      <c r="S726" s="121">
        <f t="shared" si="175"/>
        <v>0</v>
      </c>
      <c r="T726" s="121">
        <f t="shared" si="175"/>
        <v>0</v>
      </c>
      <c r="U726" s="121">
        <f t="shared" si="175"/>
        <v>0</v>
      </c>
      <c r="V726" s="121">
        <f t="shared" si="175"/>
        <v>0</v>
      </c>
    </row>
    <row r="727" spans="4:23" ht="15" customHeight="1">
      <c r="D727" s="85" t="str">
        <f xml:space="preserve"> '2.1 Model setup'!K73</f>
        <v>1.4 Omkostninger vedrørende 132-150/30-60 kV-stationer</v>
      </c>
      <c r="K727" s="5" t="s">
        <v>216</v>
      </c>
      <c r="O727" s="544">
        <v>0</v>
      </c>
      <c r="P727" s="544">
        <f t="shared" si="173"/>
        <v>0</v>
      </c>
      <c r="Q727" s="556"/>
      <c r="R727" s="551">
        <f t="shared" si="174"/>
        <v>0</v>
      </c>
      <c r="S727" s="544">
        <f t="shared" si="175"/>
        <v>0</v>
      </c>
      <c r="T727" s="544">
        <f t="shared" si="175"/>
        <v>0</v>
      </c>
      <c r="U727" s="544">
        <f t="shared" si="175"/>
        <v>0</v>
      </c>
      <c r="V727" s="544">
        <f t="shared" si="175"/>
        <v>0</v>
      </c>
    </row>
    <row r="728" spans="4:23" ht="15" customHeight="1">
      <c r="D728" s="85" t="str">
        <f xml:space="preserve"> '2.1 Model setup'!K74</f>
        <v>2.1 Drift og vedligeholdelse af målere</v>
      </c>
      <c r="K728" s="5" t="s">
        <v>216</v>
      </c>
      <c r="O728" s="121">
        <v>0</v>
      </c>
      <c r="P728" s="121">
        <f t="shared" si="173"/>
        <v>0</v>
      </c>
      <c r="Q728" s="556"/>
      <c r="R728" s="346">
        <f t="shared" si="174"/>
        <v>0</v>
      </c>
      <c r="S728" s="121">
        <f t="shared" si="175"/>
        <v>0</v>
      </c>
      <c r="T728" s="121">
        <f t="shared" si="175"/>
        <v>0</v>
      </c>
      <c r="U728" s="121">
        <f t="shared" si="175"/>
        <v>0</v>
      </c>
      <c r="V728" s="121">
        <f t="shared" si="175"/>
        <v>0</v>
      </c>
    </row>
    <row r="729" spans="4:23" ht="15" customHeight="1">
      <c r="D729" s="85" t="str">
        <f xml:space="preserve"> '2.1 Model setup'!K75</f>
        <v>2.2 Indhentning og validering af målerdata</v>
      </c>
      <c r="K729" s="5" t="s">
        <v>216</v>
      </c>
      <c r="O729" s="121">
        <v>0</v>
      </c>
      <c r="P729" s="121">
        <f t="shared" si="173"/>
        <v>0</v>
      </c>
      <c r="Q729" s="556"/>
      <c r="R729" s="346">
        <f t="shared" si="174"/>
        <v>0</v>
      </c>
      <c r="S729" s="121">
        <f t="shared" si="175"/>
        <v>0</v>
      </c>
      <c r="T729" s="121">
        <f t="shared" si="175"/>
        <v>0</v>
      </c>
      <c r="U729" s="121">
        <f t="shared" si="175"/>
        <v>0</v>
      </c>
      <c r="V729" s="121">
        <f t="shared" si="175"/>
        <v>0</v>
      </c>
    </row>
    <row r="730" spans="4:23" ht="15" customHeight="1">
      <c r="D730" s="85" t="str">
        <f xml:space="preserve"> '2.1 Model setup'!K76</f>
        <v>2.3 Måleradministration og kundehåndtering</v>
      </c>
      <c r="K730" s="5" t="s">
        <v>216</v>
      </c>
      <c r="O730" s="121">
        <v>0</v>
      </c>
      <c r="P730" s="121">
        <f t="shared" si="173"/>
        <v>0</v>
      </c>
      <c r="Q730" s="556"/>
      <c r="R730" s="346">
        <f t="shared" si="174"/>
        <v>0</v>
      </c>
      <c r="S730" s="121">
        <f t="shared" si="175"/>
        <v>0</v>
      </c>
      <c r="T730" s="121">
        <f t="shared" si="175"/>
        <v>0</v>
      </c>
      <c r="U730" s="121">
        <f t="shared" si="175"/>
        <v>0</v>
      </c>
      <c r="V730" s="121">
        <f t="shared" si="175"/>
        <v>0</v>
      </c>
    </row>
    <row r="731" spans="4:23" ht="15" customHeight="1">
      <c r="D731" s="85" t="str">
        <f xml:space="preserve"> '2.1 Model setup'!K77</f>
        <v>3.1 Generel administration</v>
      </c>
      <c r="K731" s="5" t="s">
        <v>216</v>
      </c>
      <c r="O731" s="121">
        <v>0</v>
      </c>
      <c r="P731" s="121">
        <f t="shared" si="173"/>
        <v>0</v>
      </c>
      <c r="Q731" s="556"/>
      <c r="R731" s="346">
        <f t="shared" si="174"/>
        <v>0</v>
      </c>
      <c r="S731" s="121">
        <f t="shared" si="175"/>
        <v>0</v>
      </c>
      <c r="T731" s="121">
        <f t="shared" si="175"/>
        <v>0</v>
      </c>
      <c r="U731" s="121">
        <f t="shared" si="175"/>
        <v>0</v>
      </c>
      <c r="V731" s="121">
        <f t="shared" si="175"/>
        <v>0</v>
      </c>
    </row>
    <row r="732" spans="4:23" ht="15" customHeight="1">
      <c r="D732" s="85" t="str">
        <f xml:space="preserve"> '2.1 Model setup'!K78</f>
        <v>4.1 Omkostninger vedrørende nettab i transformerstationer</v>
      </c>
      <c r="K732" s="5" t="s">
        <v>216</v>
      </c>
      <c r="O732" s="121">
        <v>0</v>
      </c>
      <c r="P732" s="121">
        <f t="shared" si="173"/>
        <v>0</v>
      </c>
      <c r="Q732" s="556"/>
      <c r="R732" s="346">
        <f t="shared" si="174"/>
        <v>0</v>
      </c>
      <c r="S732" s="121">
        <f t="shared" si="175"/>
        <v>0</v>
      </c>
      <c r="T732" s="121">
        <f t="shared" si="175"/>
        <v>0</v>
      </c>
      <c r="U732" s="121">
        <f t="shared" si="175"/>
        <v>0</v>
      </c>
      <c r="V732" s="121">
        <f t="shared" si="175"/>
        <v>0</v>
      </c>
    </row>
    <row r="733" spans="4:23" ht="15" customHeight="1">
      <c r="D733" s="85" t="str">
        <f xml:space="preserve"> '2.1 Model setup'!K79</f>
        <v>4.2 Omkostninger vedrørende nettab i ledningsnettet</v>
      </c>
      <c r="K733" s="5" t="s">
        <v>216</v>
      </c>
      <c r="O733" s="121">
        <v>0</v>
      </c>
      <c r="P733" s="121">
        <f t="shared" si="173"/>
        <v>0</v>
      </c>
      <c r="Q733" s="556"/>
      <c r="R733" s="346">
        <f t="shared" si="174"/>
        <v>0</v>
      </c>
      <c r="S733" s="121">
        <f t="shared" si="175"/>
        <v>0</v>
      </c>
      <c r="T733" s="121">
        <f t="shared" si="175"/>
        <v>0</v>
      </c>
      <c r="U733" s="121">
        <f t="shared" si="175"/>
        <v>0</v>
      </c>
      <c r="V733" s="121">
        <f t="shared" si="175"/>
        <v>0</v>
      </c>
    </row>
    <row r="734" spans="4:23" ht="15" customHeight="1">
      <c r="D734" s="85" t="str">
        <f xml:space="preserve"> '2.1 Model setup'!K88</f>
        <v>5.1 Omkostninger til overliggende net ifm. indfødning</v>
      </c>
      <c r="K734" s="5" t="s">
        <v>216</v>
      </c>
      <c r="O734" s="544">
        <v>0</v>
      </c>
      <c r="P734" s="544">
        <f t="shared" si="173"/>
        <v>0</v>
      </c>
      <c r="Q734" s="556"/>
      <c r="R734" s="551">
        <f t="shared" si="174"/>
        <v>0</v>
      </c>
      <c r="S734" s="544">
        <f t="shared" si="175"/>
        <v>0</v>
      </c>
      <c r="T734" s="544">
        <f t="shared" si="175"/>
        <v>0</v>
      </c>
      <c r="U734" s="544">
        <f t="shared" si="175"/>
        <v>0</v>
      </c>
      <c r="V734" s="544">
        <f t="shared" si="175"/>
        <v>0</v>
      </c>
    </row>
    <row r="735" spans="4:23" ht="15" customHeight="1">
      <c r="D735" s="85" t="str">
        <f xml:space="preserve"> '2.1 Model setup'!K81</f>
        <v>5.2 Øvrige omkostninger</v>
      </c>
      <c r="K735" s="5" t="s">
        <v>216</v>
      </c>
      <c r="O735" s="121">
        <v>0</v>
      </c>
      <c r="P735" s="121">
        <f t="shared" si="173"/>
        <v>0</v>
      </c>
      <c r="Q735" s="556"/>
      <c r="R735" s="346">
        <f t="shared" si="174"/>
        <v>0</v>
      </c>
      <c r="S735" s="121">
        <f t="shared" si="175"/>
        <v>0</v>
      </c>
      <c r="T735" s="121">
        <f t="shared" si="175"/>
        <v>0</v>
      </c>
      <c r="U735" s="121">
        <f t="shared" si="175"/>
        <v>0</v>
      </c>
      <c r="V735" s="121">
        <f t="shared" si="175"/>
        <v>0</v>
      </c>
    </row>
    <row r="736" spans="4:23" ht="15" customHeight="1">
      <c r="D736" s="85" t="str">
        <f xml:space="preserve"> '2.1 Model setup'!K82</f>
        <v>6.1 Afskrivninger på transformerstationer</v>
      </c>
      <c r="K736" s="5" t="s">
        <v>216</v>
      </c>
      <c r="O736" s="121">
        <v>0</v>
      </c>
      <c r="P736" s="121">
        <f t="shared" si="173"/>
        <v>0</v>
      </c>
      <c r="Q736" s="556"/>
      <c r="R736" s="346">
        <f t="shared" si="174"/>
        <v>0</v>
      </c>
      <c r="S736" s="121">
        <f t="shared" si="175"/>
        <v>0</v>
      </c>
      <c r="T736" s="121">
        <f t="shared" si="175"/>
        <v>0</v>
      </c>
      <c r="U736" s="121">
        <f t="shared" si="175"/>
        <v>0</v>
      </c>
      <c r="V736" s="121">
        <f t="shared" si="175"/>
        <v>0</v>
      </c>
    </row>
    <row r="737" spans="4:23" ht="15" customHeight="1">
      <c r="D737" s="85" t="str">
        <f xml:space="preserve"> '2.1 Model setup'!K83</f>
        <v>6.2 Afskrivninger på netaktiver ekskl. målere og transformerstationer</v>
      </c>
      <c r="K737" s="5" t="s">
        <v>216</v>
      </c>
      <c r="O737" s="121">
        <v>0</v>
      </c>
      <c r="P737" s="121">
        <f t="shared" si="173"/>
        <v>0</v>
      </c>
      <c r="Q737" s="556"/>
      <c r="R737" s="346">
        <f t="shared" si="174"/>
        <v>0</v>
      </c>
      <c r="S737" s="121">
        <f t="shared" si="175"/>
        <v>0</v>
      </c>
      <c r="T737" s="121">
        <f t="shared" si="175"/>
        <v>0</v>
      </c>
      <c r="U737" s="121">
        <f t="shared" si="175"/>
        <v>0</v>
      </c>
      <c r="V737" s="121">
        <f t="shared" si="175"/>
        <v>0</v>
      </c>
    </row>
    <row r="738" spans="4:23" ht="15" customHeight="1">
      <c r="D738" s="99" t="str">
        <f xml:space="preserve"> '2.1 Model setup'!K84</f>
        <v>6.3 Afskrivninger på målere</v>
      </c>
      <c r="E738" s="27"/>
      <c r="F738" s="27"/>
      <c r="G738" s="27"/>
      <c r="H738" s="27"/>
      <c r="I738" s="27"/>
      <c r="J738" s="27"/>
      <c r="K738" s="32" t="s">
        <v>216</v>
      </c>
      <c r="L738" s="27"/>
      <c r="M738" s="27"/>
      <c r="N738" s="27"/>
      <c r="O738" s="131">
        <v>0</v>
      </c>
      <c r="P738" s="131">
        <f t="shared" si="173"/>
        <v>0</v>
      </c>
      <c r="Q738" s="557"/>
      <c r="R738" s="347">
        <f t="shared" si="174"/>
        <v>0</v>
      </c>
      <c r="S738" s="131">
        <f t="shared" si="175"/>
        <v>0</v>
      </c>
      <c r="T738" s="131">
        <f t="shared" si="175"/>
        <v>0</v>
      </c>
      <c r="U738" s="131">
        <f t="shared" si="175"/>
        <v>0</v>
      </c>
      <c r="V738" s="131">
        <f t="shared" si="175"/>
        <v>0</v>
      </c>
      <c r="W738" s="27"/>
    </row>
    <row r="740" spans="4:23" ht="15" customHeight="1">
      <c r="D740" s="35" t="s">
        <v>477</v>
      </c>
      <c r="E740" s="27"/>
      <c r="F740" s="27"/>
      <c r="G740" s="27"/>
      <c r="H740" s="27"/>
      <c r="I740" s="27"/>
      <c r="J740" s="27"/>
      <c r="K740" s="32"/>
      <c r="L740" s="27"/>
      <c r="M740" s="27"/>
      <c r="N740" s="27"/>
    </row>
    <row r="741" spans="4:23" ht="15" customHeight="1">
      <c r="D741" s="123" t="str">
        <f xml:space="preserve"> '2.1 Model setup'!K70</f>
        <v>1.1 Drift og vedligeholdelse af transformerstationer</v>
      </c>
      <c r="E741" s="15"/>
      <c r="F741" s="15"/>
      <c r="G741" s="15"/>
      <c r="H741" s="15"/>
      <c r="I741" s="15"/>
      <c r="J741" s="15"/>
      <c r="K741" s="19" t="s">
        <v>216</v>
      </c>
      <c r="L741" s="15"/>
      <c r="M741" s="15"/>
      <c r="N741" s="15"/>
      <c r="O741" s="547">
        <v>0</v>
      </c>
      <c r="P741" s="547">
        <v>0</v>
      </c>
      <c r="Q741" s="274"/>
      <c r="R741" s="547">
        <v>0</v>
      </c>
      <c r="S741" s="550">
        <f t="shared" ref="S741:S755" si="176" xml:space="preserve"> IF(  ( $N665 * S$687 ) = 0, 0, ( S607 ) / ( $N665 * S$687 ) * tDKKtiløre )</f>
        <v>0</v>
      </c>
      <c r="T741" s="547">
        <f t="shared" ref="T741:V755" si="177" xml:space="preserve"> IF(  ( $N665 * T$687 ) = 0, 0, ( T553 ) / ( $N665 * T$687 ) * tDKKtiløre )</f>
        <v>0</v>
      </c>
      <c r="U741" s="547">
        <f t="shared" si="177"/>
        <v>0</v>
      </c>
      <c r="V741" s="547">
        <f t="shared" si="177"/>
        <v>0</v>
      </c>
      <c r="W741" s="15"/>
    </row>
    <row r="742" spans="4:23" ht="15" customHeight="1">
      <c r="D742" s="85" t="str">
        <f xml:space="preserve"> '2.1 Model setup'!K71</f>
        <v>1.2 Drift og vedligeholdelse af ledningsnet</v>
      </c>
      <c r="K742" s="5" t="s">
        <v>216</v>
      </c>
      <c r="O742" s="544">
        <v>0</v>
      </c>
      <c r="P742" s="544">
        <v>0</v>
      </c>
      <c r="Q742" s="202"/>
      <c r="R742" s="544">
        <v>0</v>
      </c>
      <c r="S742" s="551">
        <f t="shared" si="176"/>
        <v>0</v>
      </c>
      <c r="T742" s="544">
        <f t="shared" si="177"/>
        <v>0</v>
      </c>
      <c r="U742" s="544">
        <f t="shared" si="177"/>
        <v>0</v>
      </c>
      <c r="V742" s="544">
        <f t="shared" si="177"/>
        <v>0</v>
      </c>
    </row>
    <row r="743" spans="4:23" ht="15" customHeight="1">
      <c r="D743" s="85" t="str">
        <f xml:space="preserve"> '2.1 Model setup'!K72</f>
        <v>1.3 Øvrige omkostninger til drift, styring og kontrol af elnettet</v>
      </c>
      <c r="K743" s="5" t="s">
        <v>216</v>
      </c>
      <c r="O743" s="121">
        <v>0</v>
      </c>
      <c r="P743" s="121">
        <v>0</v>
      </c>
      <c r="Q743" s="202"/>
      <c r="R743" s="121">
        <v>0</v>
      </c>
      <c r="S743" s="346">
        <f t="shared" si="176"/>
        <v>0</v>
      </c>
      <c r="T743" s="121">
        <f t="shared" si="177"/>
        <v>0</v>
      </c>
      <c r="U743" s="121">
        <f t="shared" si="177"/>
        <v>0</v>
      </c>
      <c r="V743" s="121">
        <f t="shared" si="177"/>
        <v>0</v>
      </c>
    </row>
    <row r="744" spans="4:23" ht="15" customHeight="1">
      <c r="D744" s="85" t="str">
        <f xml:space="preserve"> '2.1 Model setup'!K73</f>
        <v>1.4 Omkostninger vedrørende 132-150/30-60 kV-stationer</v>
      </c>
      <c r="K744" s="5" t="s">
        <v>216</v>
      </c>
      <c r="O744" s="544">
        <v>0</v>
      </c>
      <c r="P744" s="544">
        <v>0</v>
      </c>
      <c r="Q744" s="202"/>
      <c r="R744" s="544">
        <v>0</v>
      </c>
      <c r="S744" s="551">
        <f t="shared" si="176"/>
        <v>0</v>
      </c>
      <c r="T744" s="544">
        <f t="shared" si="177"/>
        <v>0</v>
      </c>
      <c r="U744" s="544">
        <f t="shared" si="177"/>
        <v>0</v>
      </c>
      <c r="V744" s="544">
        <f t="shared" si="177"/>
        <v>0</v>
      </c>
    </row>
    <row r="745" spans="4:23" ht="15" customHeight="1">
      <c r="D745" s="85" t="str">
        <f xml:space="preserve"> '2.1 Model setup'!K74</f>
        <v>2.1 Drift og vedligeholdelse af målere</v>
      </c>
      <c r="K745" s="5" t="s">
        <v>216</v>
      </c>
      <c r="O745" s="121">
        <v>0</v>
      </c>
      <c r="P745" s="121">
        <v>0</v>
      </c>
      <c r="Q745" s="202"/>
      <c r="R745" s="121">
        <v>0</v>
      </c>
      <c r="S745" s="346">
        <f t="shared" si="176"/>
        <v>0</v>
      </c>
      <c r="T745" s="121">
        <f t="shared" si="177"/>
        <v>0</v>
      </c>
      <c r="U745" s="121">
        <f t="shared" si="177"/>
        <v>0</v>
      </c>
      <c r="V745" s="121">
        <f t="shared" si="177"/>
        <v>0</v>
      </c>
    </row>
    <row r="746" spans="4:23" ht="15" customHeight="1">
      <c r="D746" s="85" t="str">
        <f xml:space="preserve"> '2.1 Model setup'!K75</f>
        <v>2.2 Indhentning og validering af målerdata</v>
      </c>
      <c r="K746" s="5" t="s">
        <v>216</v>
      </c>
      <c r="O746" s="121">
        <v>0</v>
      </c>
      <c r="P746" s="121">
        <v>0</v>
      </c>
      <c r="Q746" s="202"/>
      <c r="R746" s="121">
        <v>0</v>
      </c>
      <c r="S746" s="346">
        <f t="shared" si="176"/>
        <v>0</v>
      </c>
      <c r="T746" s="121">
        <f t="shared" si="177"/>
        <v>0</v>
      </c>
      <c r="U746" s="121">
        <f t="shared" si="177"/>
        <v>0</v>
      </c>
      <c r="V746" s="121">
        <f t="shared" si="177"/>
        <v>0</v>
      </c>
    </row>
    <row r="747" spans="4:23" ht="15" customHeight="1">
      <c r="D747" s="85" t="str">
        <f xml:space="preserve"> '2.1 Model setup'!K76</f>
        <v>2.3 Måleradministration og kundehåndtering</v>
      </c>
      <c r="K747" s="5" t="s">
        <v>216</v>
      </c>
      <c r="O747" s="121">
        <v>0</v>
      </c>
      <c r="P747" s="121">
        <v>0</v>
      </c>
      <c r="Q747" s="202"/>
      <c r="R747" s="121">
        <v>0</v>
      </c>
      <c r="S747" s="346">
        <f t="shared" si="176"/>
        <v>0</v>
      </c>
      <c r="T747" s="121">
        <f t="shared" si="177"/>
        <v>0</v>
      </c>
      <c r="U747" s="121">
        <f t="shared" si="177"/>
        <v>0</v>
      </c>
      <c r="V747" s="121">
        <f t="shared" si="177"/>
        <v>0</v>
      </c>
    </row>
    <row r="748" spans="4:23" ht="15" customHeight="1">
      <c r="D748" s="85" t="str">
        <f xml:space="preserve"> '2.1 Model setup'!K77</f>
        <v>3.1 Generel administration</v>
      </c>
      <c r="K748" s="5" t="s">
        <v>216</v>
      </c>
      <c r="O748" s="121">
        <v>0</v>
      </c>
      <c r="P748" s="121">
        <v>0</v>
      </c>
      <c r="Q748" s="202"/>
      <c r="R748" s="121">
        <v>0</v>
      </c>
      <c r="S748" s="346">
        <f t="shared" si="176"/>
        <v>0</v>
      </c>
      <c r="T748" s="121">
        <f t="shared" si="177"/>
        <v>0</v>
      </c>
      <c r="U748" s="121">
        <f t="shared" si="177"/>
        <v>0</v>
      </c>
      <c r="V748" s="121">
        <f t="shared" si="177"/>
        <v>0</v>
      </c>
    </row>
    <row r="749" spans="4:23" ht="15" customHeight="1">
      <c r="D749" s="85" t="str">
        <f xml:space="preserve"> '2.1 Model setup'!K78</f>
        <v>4.1 Omkostninger vedrørende nettab i transformerstationer</v>
      </c>
      <c r="K749" s="5" t="s">
        <v>216</v>
      </c>
      <c r="O749" s="121">
        <v>0</v>
      </c>
      <c r="P749" s="121">
        <v>0</v>
      </c>
      <c r="Q749" s="202"/>
      <c r="R749" s="121">
        <v>0</v>
      </c>
      <c r="S749" s="346">
        <f t="shared" si="176"/>
        <v>0</v>
      </c>
      <c r="T749" s="121">
        <f t="shared" si="177"/>
        <v>0</v>
      </c>
      <c r="U749" s="121">
        <f t="shared" si="177"/>
        <v>0</v>
      </c>
      <c r="V749" s="121">
        <f t="shared" si="177"/>
        <v>0</v>
      </c>
    </row>
    <row r="750" spans="4:23" ht="15" customHeight="1">
      <c r="D750" s="85" t="str">
        <f xml:space="preserve"> '2.1 Model setup'!K79</f>
        <v>4.2 Omkostninger vedrørende nettab i ledningsnettet</v>
      </c>
      <c r="K750" s="5" t="s">
        <v>216</v>
      </c>
      <c r="O750" s="121">
        <v>0</v>
      </c>
      <c r="P750" s="121">
        <v>0</v>
      </c>
      <c r="Q750" s="202"/>
      <c r="R750" s="121">
        <v>0</v>
      </c>
      <c r="S750" s="346">
        <f t="shared" si="176"/>
        <v>0</v>
      </c>
      <c r="T750" s="121">
        <f t="shared" si="177"/>
        <v>0</v>
      </c>
      <c r="U750" s="121">
        <f t="shared" si="177"/>
        <v>0</v>
      </c>
      <c r="V750" s="121">
        <f t="shared" si="177"/>
        <v>0</v>
      </c>
    </row>
    <row r="751" spans="4:23" ht="15" customHeight="1">
      <c r="D751" s="85" t="str">
        <f xml:space="preserve"> '2.1 Model setup'!K88</f>
        <v>5.1 Omkostninger til overliggende net ifm. indfødning</v>
      </c>
      <c r="K751" s="5" t="s">
        <v>216</v>
      </c>
      <c r="O751" s="544">
        <v>0</v>
      </c>
      <c r="P751" s="544">
        <v>0</v>
      </c>
      <c r="Q751" s="202"/>
      <c r="R751" s="544">
        <v>0</v>
      </c>
      <c r="S751" s="551">
        <f t="shared" si="176"/>
        <v>0</v>
      </c>
      <c r="T751" s="544">
        <f t="shared" si="177"/>
        <v>0</v>
      </c>
      <c r="U751" s="544">
        <f t="shared" si="177"/>
        <v>0</v>
      </c>
      <c r="V751" s="544">
        <f t="shared" si="177"/>
        <v>0</v>
      </c>
    </row>
    <row r="752" spans="4:23" ht="15" customHeight="1">
      <c r="D752" s="85" t="str">
        <f xml:space="preserve"> '2.1 Model setup'!K81</f>
        <v>5.2 Øvrige omkostninger</v>
      </c>
      <c r="K752" s="5" t="s">
        <v>216</v>
      </c>
      <c r="O752" s="121">
        <v>0</v>
      </c>
      <c r="P752" s="121">
        <v>0</v>
      </c>
      <c r="Q752" s="202"/>
      <c r="R752" s="121">
        <v>0</v>
      </c>
      <c r="S752" s="346">
        <f t="shared" si="176"/>
        <v>0</v>
      </c>
      <c r="T752" s="121">
        <f t="shared" si="177"/>
        <v>0</v>
      </c>
      <c r="U752" s="121">
        <f t="shared" si="177"/>
        <v>0</v>
      </c>
      <c r="V752" s="121">
        <f t="shared" si="177"/>
        <v>0</v>
      </c>
    </row>
    <row r="753" spans="4:23" ht="15" customHeight="1">
      <c r="D753" s="85" t="str">
        <f xml:space="preserve"> '2.1 Model setup'!K82</f>
        <v>6.1 Afskrivninger på transformerstationer</v>
      </c>
      <c r="K753" s="5" t="s">
        <v>216</v>
      </c>
      <c r="O753" s="121">
        <v>0</v>
      </c>
      <c r="P753" s="121">
        <v>0</v>
      </c>
      <c r="Q753" s="202"/>
      <c r="R753" s="121">
        <v>0</v>
      </c>
      <c r="S753" s="346">
        <f t="shared" si="176"/>
        <v>0</v>
      </c>
      <c r="T753" s="121">
        <f t="shared" si="177"/>
        <v>0</v>
      </c>
      <c r="U753" s="121">
        <f t="shared" si="177"/>
        <v>0</v>
      </c>
      <c r="V753" s="121">
        <f t="shared" si="177"/>
        <v>0</v>
      </c>
    </row>
    <row r="754" spans="4:23" ht="15" customHeight="1">
      <c r="D754" s="85" t="str">
        <f xml:space="preserve"> '2.1 Model setup'!K83</f>
        <v>6.2 Afskrivninger på netaktiver ekskl. målere og transformerstationer</v>
      </c>
      <c r="K754" s="5" t="s">
        <v>216</v>
      </c>
      <c r="O754" s="121">
        <v>0</v>
      </c>
      <c r="P754" s="121">
        <v>0</v>
      </c>
      <c r="Q754" s="202"/>
      <c r="R754" s="121">
        <v>0</v>
      </c>
      <c r="S754" s="346">
        <f t="shared" si="176"/>
        <v>0</v>
      </c>
      <c r="T754" s="121">
        <f t="shared" si="177"/>
        <v>0</v>
      </c>
      <c r="U754" s="121">
        <f t="shared" si="177"/>
        <v>0</v>
      </c>
      <c r="V754" s="121">
        <f t="shared" si="177"/>
        <v>0</v>
      </c>
    </row>
    <row r="755" spans="4:23" ht="15" customHeight="1">
      <c r="D755" s="99" t="str">
        <f xml:space="preserve"> '2.1 Model setup'!K84</f>
        <v>6.3 Afskrivninger på målere</v>
      </c>
      <c r="E755" s="27"/>
      <c r="F755" s="27"/>
      <c r="G755" s="27"/>
      <c r="H755" s="27"/>
      <c r="I755" s="27"/>
      <c r="J755" s="27"/>
      <c r="K755" s="32" t="s">
        <v>216</v>
      </c>
      <c r="L755" s="27"/>
      <c r="M755" s="27"/>
      <c r="N755" s="27"/>
      <c r="O755" s="131">
        <v>0</v>
      </c>
      <c r="P755" s="131">
        <v>0</v>
      </c>
      <c r="Q755" s="269"/>
      <c r="R755" s="131">
        <v>0</v>
      </c>
      <c r="S755" s="347">
        <f t="shared" si="176"/>
        <v>0</v>
      </c>
      <c r="T755" s="131">
        <f t="shared" si="177"/>
        <v>0</v>
      </c>
      <c r="U755" s="131">
        <f t="shared" si="177"/>
        <v>0</v>
      </c>
      <c r="V755" s="131">
        <f t="shared" si="177"/>
        <v>0</v>
      </c>
      <c r="W755" s="27"/>
    </row>
    <row r="757" spans="4:23" ht="15" customHeight="1">
      <c r="D757" s="35" t="s">
        <v>478</v>
      </c>
      <c r="E757" s="27"/>
      <c r="F757" s="27"/>
      <c r="G757" s="27"/>
      <c r="H757" s="27"/>
      <c r="I757" s="27"/>
      <c r="J757" s="27"/>
      <c r="K757" s="32"/>
      <c r="L757" s="27"/>
      <c r="M757" s="27"/>
      <c r="N757" s="27"/>
    </row>
    <row r="758" spans="4:23" ht="15" customHeight="1">
      <c r="D758" s="123" t="str">
        <f xml:space="preserve"> '2.1 Model setup'!K70</f>
        <v>1.1 Drift og vedligeholdelse af transformerstationer</v>
      </c>
      <c r="E758" s="15"/>
      <c r="F758" s="15"/>
      <c r="G758" s="15"/>
      <c r="H758" s="15"/>
      <c r="I758" s="15"/>
      <c r="J758" s="15"/>
      <c r="K758" s="19" t="s">
        <v>216</v>
      </c>
      <c r="L758" s="15"/>
      <c r="M758" s="15"/>
      <c r="N758" s="15"/>
      <c r="O758" s="547">
        <v>0</v>
      </c>
      <c r="P758" s="547">
        <v>0</v>
      </c>
      <c r="Q758" s="274"/>
      <c r="R758" s="547">
        <v>0</v>
      </c>
      <c r="S758" s="547">
        <v>0</v>
      </c>
      <c r="T758" s="550">
        <f t="shared" ref="T758:T772" si="178" xml:space="preserve"> IF(  ( $N665 * T$687 ) = 0, 0, ( T607 ) / ( $N665 * T$687 ) * tDKKtiløre )</f>
        <v>0</v>
      </c>
      <c r="U758" s="547">
        <f t="shared" ref="U758:V772" si="179" xml:space="preserve"> IF(  ( $N665 * U$687 ) = 0, 0, ( U571 ) / ( $N665 * U$687 ) * tDKKtiløre )</f>
        <v>0</v>
      </c>
      <c r="V758" s="547">
        <f t="shared" si="179"/>
        <v>0</v>
      </c>
      <c r="W758" s="15"/>
    </row>
    <row r="759" spans="4:23" ht="15" customHeight="1">
      <c r="D759" s="85" t="str">
        <f xml:space="preserve"> '2.1 Model setup'!K71</f>
        <v>1.2 Drift og vedligeholdelse af ledningsnet</v>
      </c>
      <c r="K759" s="5" t="s">
        <v>216</v>
      </c>
      <c r="O759" s="544">
        <v>0</v>
      </c>
      <c r="P759" s="544">
        <v>0</v>
      </c>
      <c r="Q759" s="202"/>
      <c r="R759" s="544">
        <v>0</v>
      </c>
      <c r="S759" s="544">
        <v>0</v>
      </c>
      <c r="T759" s="551">
        <f t="shared" si="178"/>
        <v>0</v>
      </c>
      <c r="U759" s="544">
        <f t="shared" si="179"/>
        <v>0</v>
      </c>
      <c r="V759" s="544">
        <f t="shared" si="179"/>
        <v>0</v>
      </c>
    </row>
    <row r="760" spans="4:23" ht="15" customHeight="1">
      <c r="D760" s="85" t="str">
        <f xml:space="preserve"> '2.1 Model setup'!K72</f>
        <v>1.3 Øvrige omkostninger til drift, styring og kontrol af elnettet</v>
      </c>
      <c r="K760" s="5" t="s">
        <v>216</v>
      </c>
      <c r="O760" s="121">
        <v>0</v>
      </c>
      <c r="P760" s="121">
        <v>0</v>
      </c>
      <c r="Q760" s="202"/>
      <c r="R760" s="121">
        <v>0</v>
      </c>
      <c r="S760" s="121">
        <v>0</v>
      </c>
      <c r="T760" s="346">
        <f t="shared" si="178"/>
        <v>0</v>
      </c>
      <c r="U760" s="121">
        <f t="shared" si="179"/>
        <v>0</v>
      </c>
      <c r="V760" s="121">
        <f t="shared" si="179"/>
        <v>0</v>
      </c>
    </row>
    <row r="761" spans="4:23" ht="15" customHeight="1">
      <c r="D761" s="85" t="str">
        <f xml:space="preserve"> '2.1 Model setup'!K73</f>
        <v>1.4 Omkostninger vedrørende 132-150/30-60 kV-stationer</v>
      </c>
      <c r="K761" s="5" t="s">
        <v>216</v>
      </c>
      <c r="O761" s="544">
        <v>0</v>
      </c>
      <c r="P761" s="544">
        <v>0</v>
      </c>
      <c r="Q761" s="202"/>
      <c r="R761" s="544">
        <v>0</v>
      </c>
      <c r="S761" s="544">
        <v>0</v>
      </c>
      <c r="T761" s="551">
        <f t="shared" si="178"/>
        <v>0</v>
      </c>
      <c r="U761" s="544">
        <f t="shared" si="179"/>
        <v>0</v>
      </c>
      <c r="V761" s="544">
        <f t="shared" si="179"/>
        <v>0</v>
      </c>
    </row>
    <row r="762" spans="4:23" ht="15" customHeight="1">
      <c r="D762" s="85" t="str">
        <f xml:space="preserve"> '2.1 Model setup'!K74</f>
        <v>2.1 Drift og vedligeholdelse af målere</v>
      </c>
      <c r="K762" s="5" t="s">
        <v>216</v>
      </c>
      <c r="O762" s="121">
        <v>0</v>
      </c>
      <c r="P762" s="121">
        <v>0</v>
      </c>
      <c r="Q762" s="202"/>
      <c r="R762" s="121">
        <v>0</v>
      </c>
      <c r="S762" s="121">
        <v>0</v>
      </c>
      <c r="T762" s="346">
        <f t="shared" si="178"/>
        <v>0</v>
      </c>
      <c r="U762" s="121">
        <f t="shared" si="179"/>
        <v>0</v>
      </c>
      <c r="V762" s="121">
        <f t="shared" si="179"/>
        <v>0</v>
      </c>
    </row>
    <row r="763" spans="4:23" ht="15" customHeight="1">
      <c r="D763" s="85" t="str">
        <f xml:space="preserve"> '2.1 Model setup'!K75</f>
        <v>2.2 Indhentning og validering af målerdata</v>
      </c>
      <c r="K763" s="5" t="s">
        <v>216</v>
      </c>
      <c r="O763" s="121">
        <v>0</v>
      </c>
      <c r="P763" s="121">
        <v>0</v>
      </c>
      <c r="Q763" s="202"/>
      <c r="R763" s="121">
        <v>0</v>
      </c>
      <c r="S763" s="121">
        <v>0</v>
      </c>
      <c r="T763" s="346">
        <f t="shared" si="178"/>
        <v>0</v>
      </c>
      <c r="U763" s="121">
        <f t="shared" si="179"/>
        <v>0</v>
      </c>
      <c r="V763" s="121">
        <f t="shared" si="179"/>
        <v>0</v>
      </c>
    </row>
    <row r="764" spans="4:23" ht="15" customHeight="1">
      <c r="D764" s="85" t="str">
        <f xml:space="preserve"> '2.1 Model setup'!K76</f>
        <v>2.3 Måleradministration og kundehåndtering</v>
      </c>
      <c r="K764" s="5" t="s">
        <v>216</v>
      </c>
      <c r="O764" s="121">
        <v>0</v>
      </c>
      <c r="P764" s="121">
        <v>0</v>
      </c>
      <c r="Q764" s="202"/>
      <c r="R764" s="121">
        <v>0</v>
      </c>
      <c r="S764" s="121">
        <v>0</v>
      </c>
      <c r="T764" s="346">
        <f t="shared" si="178"/>
        <v>0</v>
      </c>
      <c r="U764" s="121">
        <f t="shared" si="179"/>
        <v>0</v>
      </c>
      <c r="V764" s="121">
        <f t="shared" si="179"/>
        <v>0</v>
      </c>
    </row>
    <row r="765" spans="4:23" ht="15" customHeight="1">
      <c r="D765" s="85" t="str">
        <f xml:space="preserve"> '2.1 Model setup'!K77</f>
        <v>3.1 Generel administration</v>
      </c>
      <c r="K765" s="5" t="s">
        <v>216</v>
      </c>
      <c r="O765" s="121">
        <v>0</v>
      </c>
      <c r="P765" s="121">
        <v>0</v>
      </c>
      <c r="Q765" s="202"/>
      <c r="R765" s="121">
        <v>0</v>
      </c>
      <c r="S765" s="121">
        <v>0</v>
      </c>
      <c r="T765" s="346">
        <f t="shared" si="178"/>
        <v>0</v>
      </c>
      <c r="U765" s="121">
        <f t="shared" si="179"/>
        <v>0</v>
      </c>
      <c r="V765" s="121">
        <f t="shared" si="179"/>
        <v>0</v>
      </c>
    </row>
    <row r="766" spans="4:23" ht="15" customHeight="1">
      <c r="D766" s="85" t="str">
        <f xml:space="preserve"> '2.1 Model setup'!K78</f>
        <v>4.1 Omkostninger vedrørende nettab i transformerstationer</v>
      </c>
      <c r="K766" s="5" t="s">
        <v>216</v>
      </c>
      <c r="O766" s="121">
        <v>0</v>
      </c>
      <c r="P766" s="121">
        <v>0</v>
      </c>
      <c r="Q766" s="202"/>
      <c r="R766" s="121">
        <v>0</v>
      </c>
      <c r="S766" s="121">
        <v>0</v>
      </c>
      <c r="T766" s="346">
        <f t="shared" si="178"/>
        <v>0</v>
      </c>
      <c r="U766" s="121">
        <f t="shared" si="179"/>
        <v>0</v>
      </c>
      <c r="V766" s="121">
        <f t="shared" si="179"/>
        <v>0</v>
      </c>
    </row>
    <row r="767" spans="4:23" ht="15" customHeight="1">
      <c r="D767" s="85" t="str">
        <f xml:space="preserve"> '2.1 Model setup'!K79</f>
        <v>4.2 Omkostninger vedrørende nettab i ledningsnettet</v>
      </c>
      <c r="K767" s="5" t="s">
        <v>216</v>
      </c>
      <c r="O767" s="121">
        <v>0</v>
      </c>
      <c r="P767" s="121">
        <v>0</v>
      </c>
      <c r="Q767" s="202"/>
      <c r="R767" s="121">
        <v>0</v>
      </c>
      <c r="S767" s="121">
        <v>0</v>
      </c>
      <c r="T767" s="346">
        <f t="shared" si="178"/>
        <v>0</v>
      </c>
      <c r="U767" s="121">
        <f t="shared" si="179"/>
        <v>0</v>
      </c>
      <c r="V767" s="121">
        <f t="shared" si="179"/>
        <v>0</v>
      </c>
    </row>
    <row r="768" spans="4:23" ht="15" customHeight="1">
      <c r="D768" s="85" t="str">
        <f xml:space="preserve"> '2.1 Model setup'!K88</f>
        <v>5.1 Omkostninger til overliggende net ifm. indfødning</v>
      </c>
      <c r="K768" s="5" t="s">
        <v>216</v>
      </c>
      <c r="O768" s="544">
        <v>0</v>
      </c>
      <c r="P768" s="544">
        <v>0</v>
      </c>
      <c r="Q768" s="202"/>
      <c r="R768" s="544">
        <v>0</v>
      </c>
      <c r="S768" s="544">
        <v>0</v>
      </c>
      <c r="T768" s="551">
        <f t="shared" si="178"/>
        <v>0</v>
      </c>
      <c r="U768" s="544">
        <f t="shared" si="179"/>
        <v>0</v>
      </c>
      <c r="V768" s="544">
        <f t="shared" si="179"/>
        <v>0</v>
      </c>
    </row>
    <row r="769" spans="4:23" ht="15" customHeight="1">
      <c r="D769" s="85" t="str">
        <f xml:space="preserve"> '2.1 Model setup'!K81</f>
        <v>5.2 Øvrige omkostninger</v>
      </c>
      <c r="K769" s="5" t="s">
        <v>216</v>
      </c>
      <c r="O769" s="121">
        <v>0</v>
      </c>
      <c r="P769" s="121">
        <v>0</v>
      </c>
      <c r="Q769" s="202"/>
      <c r="R769" s="121">
        <v>0</v>
      </c>
      <c r="S769" s="121">
        <v>0</v>
      </c>
      <c r="T769" s="346">
        <f t="shared" si="178"/>
        <v>0</v>
      </c>
      <c r="U769" s="121">
        <f t="shared" si="179"/>
        <v>0</v>
      </c>
      <c r="V769" s="121">
        <f t="shared" si="179"/>
        <v>0</v>
      </c>
    </row>
    <row r="770" spans="4:23" ht="15" customHeight="1">
      <c r="D770" s="85" t="str">
        <f xml:space="preserve"> '2.1 Model setup'!K82</f>
        <v>6.1 Afskrivninger på transformerstationer</v>
      </c>
      <c r="K770" s="5" t="s">
        <v>216</v>
      </c>
      <c r="O770" s="121">
        <v>0</v>
      </c>
      <c r="P770" s="121">
        <v>0</v>
      </c>
      <c r="Q770" s="202"/>
      <c r="R770" s="121">
        <v>0</v>
      </c>
      <c r="S770" s="121">
        <v>0</v>
      </c>
      <c r="T770" s="346">
        <f t="shared" si="178"/>
        <v>0</v>
      </c>
      <c r="U770" s="121">
        <f t="shared" si="179"/>
        <v>0</v>
      </c>
      <c r="V770" s="121">
        <f t="shared" si="179"/>
        <v>0</v>
      </c>
    </row>
    <row r="771" spans="4:23" ht="15" customHeight="1">
      <c r="D771" s="85" t="str">
        <f xml:space="preserve"> '2.1 Model setup'!K83</f>
        <v>6.2 Afskrivninger på netaktiver ekskl. målere og transformerstationer</v>
      </c>
      <c r="K771" s="5" t="s">
        <v>216</v>
      </c>
      <c r="O771" s="121">
        <v>0</v>
      </c>
      <c r="P771" s="121">
        <v>0</v>
      </c>
      <c r="Q771" s="202"/>
      <c r="R771" s="121">
        <v>0</v>
      </c>
      <c r="S771" s="121">
        <v>0</v>
      </c>
      <c r="T771" s="346">
        <f t="shared" si="178"/>
        <v>0</v>
      </c>
      <c r="U771" s="121">
        <f t="shared" si="179"/>
        <v>0</v>
      </c>
      <c r="V771" s="121">
        <f t="shared" si="179"/>
        <v>0</v>
      </c>
    </row>
    <row r="772" spans="4:23" ht="15" customHeight="1">
      <c r="D772" s="99" t="str">
        <f xml:space="preserve"> '2.1 Model setup'!K84</f>
        <v>6.3 Afskrivninger på målere</v>
      </c>
      <c r="E772" s="27"/>
      <c r="F772" s="27"/>
      <c r="G772" s="27"/>
      <c r="H772" s="27"/>
      <c r="I772" s="27"/>
      <c r="J772" s="27"/>
      <c r="K772" s="32" t="s">
        <v>216</v>
      </c>
      <c r="L772" s="27"/>
      <c r="M772" s="27"/>
      <c r="N772" s="27"/>
      <c r="O772" s="131">
        <v>0</v>
      </c>
      <c r="P772" s="131">
        <v>0</v>
      </c>
      <c r="Q772" s="269"/>
      <c r="R772" s="131">
        <v>0</v>
      </c>
      <c r="S772" s="131">
        <v>0</v>
      </c>
      <c r="T772" s="347">
        <f t="shared" si="178"/>
        <v>0</v>
      </c>
      <c r="U772" s="131">
        <f t="shared" si="179"/>
        <v>0</v>
      </c>
      <c r="V772" s="131">
        <f t="shared" si="179"/>
        <v>0</v>
      </c>
      <c r="W772" s="27"/>
    </row>
    <row r="774" spans="4:23" ht="15" customHeight="1">
      <c r="D774" s="4" t="s">
        <v>430</v>
      </c>
    </row>
    <row r="775" spans="4:23" ht="15" customHeight="1">
      <c r="D775" s="123" t="str">
        <f xml:space="preserve"> '2.1 Model setup'!K70</f>
        <v>1.1 Drift og vedligeholdelse af transformerstationer</v>
      </c>
      <c r="E775" s="15"/>
      <c r="F775" s="15"/>
      <c r="G775" s="15"/>
      <c r="H775" s="15"/>
      <c r="I775" s="15"/>
      <c r="J775" s="15"/>
      <c r="K775" s="19" t="s">
        <v>216</v>
      </c>
      <c r="L775" s="123" cm="1">
        <f t="array" ref="L775" xml:space="preserve"> -- ( SUMPRODUCT( -- ( ROUND( O775:V775, 9 ) &lt;&gt; ROUND( (O690:V690  + O707:V707 + O724:V724 + O741:V741 + O758:V758 ), 9 ) ) ) &gt; 0 )</f>
        <v>0</v>
      </c>
      <c r="M775" s="15"/>
      <c r="N775" s="15"/>
      <c r="O775" s="150">
        <f t="shared" ref="O775:P789" si="180" xml:space="preserve"> IF(  ( $N665 * O$687 ) = 0, 0, ( O643 ) / ( $N665 * O$687 ) * tDKKtiløre )</f>
        <v>0</v>
      </c>
      <c r="P775" s="150">
        <f t="shared" si="180"/>
        <v>0</v>
      </c>
      <c r="Q775" s="387"/>
      <c r="R775" s="150">
        <f t="shared" ref="R775:V789" si="181" xml:space="preserve"> IF(  ( $N665 * R$687 ) = 0, 0, ( R643 ) / ( $N665 * R$687 ) * tDKKtiløre )</f>
        <v>0</v>
      </c>
      <c r="S775" s="150">
        <f t="shared" si="181"/>
        <v>0</v>
      </c>
      <c r="T775" s="150">
        <f t="shared" si="181"/>
        <v>0</v>
      </c>
      <c r="U775" s="150">
        <f t="shared" si="181"/>
        <v>0</v>
      </c>
      <c r="V775" s="547">
        <f t="shared" si="181"/>
        <v>0</v>
      </c>
      <c r="W775" s="196"/>
    </row>
    <row r="776" spans="4:23" ht="15" customHeight="1">
      <c r="D776" s="85" t="str">
        <f xml:space="preserve"> '2.1 Model setup'!K71</f>
        <v>1.2 Drift og vedligeholdelse af ledningsnet</v>
      </c>
      <c r="K776" s="5" t="s">
        <v>216</v>
      </c>
      <c r="L776" s="85" cm="1">
        <f t="array" ref="L776" xml:space="preserve"> -- ( SUMPRODUCT( -- ( ROUND( O776:V776, 9 ) &lt;&gt; ROUND( (O691:V691  + O708:V708 + O725:V725 + O742:V742 + O759:V759 ), 9 ) ) ) &gt; 0 )</f>
        <v>0</v>
      </c>
      <c r="O776" s="544">
        <f t="shared" si="180"/>
        <v>0</v>
      </c>
      <c r="P776" s="544">
        <f t="shared" si="180"/>
        <v>0</v>
      </c>
      <c r="Q776" s="197"/>
      <c r="R776" s="544">
        <f t="shared" si="181"/>
        <v>0</v>
      </c>
      <c r="S776" s="544">
        <f t="shared" si="181"/>
        <v>0</v>
      </c>
      <c r="T776" s="544">
        <f t="shared" si="181"/>
        <v>0</v>
      </c>
      <c r="U776" s="544">
        <f t="shared" si="181"/>
        <v>0</v>
      </c>
      <c r="V776" s="544">
        <f t="shared" si="181"/>
        <v>0</v>
      </c>
      <c r="W776" s="111"/>
    </row>
    <row r="777" spans="4:23" ht="15" customHeight="1">
      <c r="D777" s="85" t="str">
        <f xml:space="preserve"> '2.1 Model setup'!K72</f>
        <v>1.3 Øvrige omkostninger til drift, styring og kontrol af elnettet</v>
      </c>
      <c r="K777" s="5" t="s">
        <v>216</v>
      </c>
      <c r="L777" s="85" cm="1">
        <f t="array" ref="L777" xml:space="preserve"> -- ( SUMPRODUCT( -- ( ROUND( O777:V777, 9 ) &lt;&gt; ROUND( (O692:V692  + O709:V709 + O726:V726 + O743:V743 + O760:V760 ), 9 ) ) ) &gt; 0 )</f>
        <v>0</v>
      </c>
      <c r="O777" s="121">
        <f t="shared" si="180"/>
        <v>0</v>
      </c>
      <c r="P777" s="121">
        <f t="shared" si="180"/>
        <v>0</v>
      </c>
      <c r="Q777" s="197"/>
      <c r="R777" s="121">
        <f t="shared" si="181"/>
        <v>0</v>
      </c>
      <c r="S777" s="121">
        <f t="shared" si="181"/>
        <v>0</v>
      </c>
      <c r="T777" s="121">
        <f t="shared" si="181"/>
        <v>0</v>
      </c>
      <c r="U777" s="121">
        <f t="shared" si="181"/>
        <v>0</v>
      </c>
      <c r="V777" s="544">
        <f t="shared" si="181"/>
        <v>0</v>
      </c>
      <c r="W777" s="111"/>
    </row>
    <row r="778" spans="4:23" ht="15" customHeight="1">
      <c r="D778" s="85" t="str">
        <f xml:space="preserve"> '2.1 Model setup'!K73</f>
        <v>1.4 Omkostninger vedrørende 132-150/30-60 kV-stationer</v>
      </c>
      <c r="K778" s="5" t="s">
        <v>216</v>
      </c>
      <c r="L778" s="85" cm="1">
        <f t="array" ref="L778" xml:space="preserve"> -- ( SUMPRODUCT( -- ( ROUND( O778:V778, 9 ) &lt;&gt; ROUND( (O693:V693  + O710:V710 + O727:V727 + O744:V744 + O761:V761 ), 9 ) ) ) &gt; 0 )</f>
        <v>0</v>
      </c>
      <c r="O778" s="121">
        <f t="shared" si="180"/>
        <v>0</v>
      </c>
      <c r="P778" s="121">
        <f t="shared" si="180"/>
        <v>0</v>
      </c>
      <c r="Q778" s="197"/>
      <c r="R778" s="121">
        <f t="shared" si="181"/>
        <v>0</v>
      </c>
      <c r="S778" s="121">
        <f t="shared" si="181"/>
        <v>0</v>
      </c>
      <c r="T778" s="121">
        <f t="shared" si="181"/>
        <v>0</v>
      </c>
      <c r="U778" s="121">
        <f t="shared" si="181"/>
        <v>0</v>
      </c>
      <c r="V778" s="544">
        <f t="shared" si="181"/>
        <v>0</v>
      </c>
      <c r="W778" s="111"/>
    </row>
    <row r="779" spans="4:23" ht="15" customHeight="1">
      <c r="D779" s="85" t="str">
        <f xml:space="preserve"> '2.1 Model setup'!K74</f>
        <v>2.1 Drift og vedligeholdelse af målere</v>
      </c>
      <c r="K779" s="5" t="s">
        <v>216</v>
      </c>
      <c r="L779" s="85" cm="1">
        <f t="array" ref="L779" xml:space="preserve"> -- ( SUMPRODUCT( -- ( ROUND( O779:V779, 9 ) &lt;&gt; ROUND( (O694:V694  + O711:V711 + O728:V728 + O745:V745 + O762:V762 ), 9 ) ) ) &gt; 0 )</f>
        <v>0</v>
      </c>
      <c r="O779" s="121">
        <f t="shared" si="180"/>
        <v>0</v>
      </c>
      <c r="P779" s="121">
        <f t="shared" si="180"/>
        <v>0</v>
      </c>
      <c r="Q779" s="197"/>
      <c r="R779" s="121">
        <f t="shared" si="181"/>
        <v>0</v>
      </c>
      <c r="S779" s="121">
        <f t="shared" si="181"/>
        <v>0</v>
      </c>
      <c r="T779" s="121">
        <f t="shared" si="181"/>
        <v>0</v>
      </c>
      <c r="U779" s="121">
        <f t="shared" si="181"/>
        <v>0</v>
      </c>
      <c r="V779" s="544">
        <f t="shared" si="181"/>
        <v>0</v>
      </c>
      <c r="W779" s="111"/>
    </row>
    <row r="780" spans="4:23" ht="15" customHeight="1">
      <c r="D780" s="85" t="str">
        <f xml:space="preserve"> '2.1 Model setup'!K75</f>
        <v>2.2 Indhentning og validering af målerdata</v>
      </c>
      <c r="K780" s="5" t="s">
        <v>216</v>
      </c>
      <c r="L780" s="85" cm="1">
        <f t="array" ref="L780" xml:space="preserve"> -- ( SUMPRODUCT( -- ( ROUND( O780:V780, 9 ) &lt;&gt; ROUND( (O695:V695  + O712:V712 + O729:V729 + O746:V746 + O763:V763 ), 9 ) ) ) &gt; 0 )</f>
        <v>0</v>
      </c>
      <c r="O780" s="121">
        <f t="shared" si="180"/>
        <v>0</v>
      </c>
      <c r="P780" s="121">
        <f t="shared" si="180"/>
        <v>0</v>
      </c>
      <c r="Q780" s="197"/>
      <c r="R780" s="121">
        <f t="shared" si="181"/>
        <v>0</v>
      </c>
      <c r="S780" s="121">
        <f t="shared" si="181"/>
        <v>0</v>
      </c>
      <c r="T780" s="121">
        <f t="shared" si="181"/>
        <v>0</v>
      </c>
      <c r="U780" s="121">
        <f t="shared" si="181"/>
        <v>0</v>
      </c>
      <c r="V780" s="544">
        <f t="shared" si="181"/>
        <v>0</v>
      </c>
      <c r="W780" s="111"/>
    </row>
    <row r="781" spans="4:23" ht="15" customHeight="1">
      <c r="D781" s="85" t="str">
        <f xml:space="preserve"> '2.1 Model setup'!K76</f>
        <v>2.3 Måleradministration og kundehåndtering</v>
      </c>
      <c r="K781" s="5" t="s">
        <v>216</v>
      </c>
      <c r="L781" s="85" cm="1">
        <f t="array" ref="L781" xml:space="preserve"> -- ( SUMPRODUCT( -- ( ROUND( O781:V781, 9 ) &lt;&gt; ROUND( (O696:V696  + O713:V713 + O730:V730 + O747:V747 + O764:V764 ), 9 ) ) ) &gt; 0 )</f>
        <v>0</v>
      </c>
      <c r="O781" s="121">
        <f t="shared" si="180"/>
        <v>0</v>
      </c>
      <c r="P781" s="121">
        <f t="shared" si="180"/>
        <v>0</v>
      </c>
      <c r="Q781" s="197"/>
      <c r="R781" s="121">
        <f t="shared" si="181"/>
        <v>0</v>
      </c>
      <c r="S781" s="121">
        <f t="shared" si="181"/>
        <v>0</v>
      </c>
      <c r="T781" s="121">
        <f t="shared" si="181"/>
        <v>0</v>
      </c>
      <c r="U781" s="121">
        <f t="shared" si="181"/>
        <v>0</v>
      </c>
      <c r="V781" s="544">
        <f t="shared" si="181"/>
        <v>0</v>
      </c>
      <c r="W781" s="111"/>
    </row>
    <row r="782" spans="4:23" ht="15" customHeight="1">
      <c r="D782" s="85" t="str">
        <f xml:space="preserve"> '2.1 Model setup'!K77</f>
        <v>3.1 Generel administration</v>
      </c>
      <c r="K782" s="5" t="s">
        <v>216</v>
      </c>
      <c r="L782" s="85" cm="1">
        <f t="array" ref="L782" xml:space="preserve"> -- ( SUMPRODUCT( -- ( ROUND( O782:V782, 9 ) &lt;&gt; ROUND( (O697:V697  + O714:V714 + O731:V731 + O748:V748 + O765:V765 ), 9 ) ) ) &gt; 0 )</f>
        <v>0</v>
      </c>
      <c r="O782" s="121">
        <f t="shared" si="180"/>
        <v>0</v>
      </c>
      <c r="P782" s="121">
        <f t="shared" si="180"/>
        <v>0</v>
      </c>
      <c r="Q782" s="197"/>
      <c r="R782" s="121">
        <f t="shared" si="181"/>
        <v>0</v>
      </c>
      <c r="S782" s="121">
        <f t="shared" si="181"/>
        <v>0</v>
      </c>
      <c r="T782" s="121">
        <f t="shared" si="181"/>
        <v>0</v>
      </c>
      <c r="U782" s="121">
        <f t="shared" si="181"/>
        <v>0</v>
      </c>
      <c r="V782" s="544">
        <f t="shared" si="181"/>
        <v>0</v>
      </c>
      <c r="W782" s="111"/>
    </row>
    <row r="783" spans="4:23" ht="15" customHeight="1">
      <c r="D783" s="85" t="str">
        <f xml:space="preserve"> '2.1 Model setup'!K78</f>
        <v>4.1 Omkostninger vedrørende nettab i transformerstationer</v>
      </c>
      <c r="K783" s="5" t="s">
        <v>216</v>
      </c>
      <c r="L783" s="85" cm="1">
        <f t="array" ref="L783" xml:space="preserve"> -- ( SUMPRODUCT( -- ( ROUND( O783:V783, 9 ) &lt;&gt; ROUND( (O698:V698  + O715:V715 + O732:V732 + O749:V749 + O766:V766 ), 9 ) ) ) &gt; 0 )</f>
        <v>0</v>
      </c>
      <c r="O783" s="121">
        <f t="shared" si="180"/>
        <v>0</v>
      </c>
      <c r="P783" s="121">
        <f t="shared" si="180"/>
        <v>0</v>
      </c>
      <c r="Q783" s="197"/>
      <c r="R783" s="121">
        <f t="shared" si="181"/>
        <v>0</v>
      </c>
      <c r="S783" s="121">
        <f t="shared" si="181"/>
        <v>0</v>
      </c>
      <c r="T783" s="121">
        <f t="shared" si="181"/>
        <v>0</v>
      </c>
      <c r="U783" s="121">
        <f t="shared" si="181"/>
        <v>0</v>
      </c>
      <c r="V783" s="544">
        <f t="shared" si="181"/>
        <v>0</v>
      </c>
      <c r="W783" s="111"/>
    </row>
    <row r="784" spans="4:23" ht="15" customHeight="1">
      <c r="D784" s="85" t="str">
        <f xml:space="preserve"> '2.1 Model setup'!K79</f>
        <v>4.2 Omkostninger vedrørende nettab i ledningsnettet</v>
      </c>
      <c r="K784" s="5" t="s">
        <v>216</v>
      </c>
      <c r="L784" s="85" cm="1">
        <f t="array" ref="L784" xml:space="preserve"> -- ( SUMPRODUCT( -- ( ROUND( O784:V784, 9 ) &lt;&gt; ROUND( (O699:V699  + O716:V716 + O733:V733 + O750:V750 + O767:V767 ), 9 ) ) ) &gt; 0 )</f>
        <v>0</v>
      </c>
      <c r="O784" s="121">
        <f t="shared" si="180"/>
        <v>0</v>
      </c>
      <c r="P784" s="121">
        <f t="shared" si="180"/>
        <v>0</v>
      </c>
      <c r="Q784" s="197"/>
      <c r="R784" s="121">
        <f t="shared" si="181"/>
        <v>0</v>
      </c>
      <c r="S784" s="121">
        <f t="shared" si="181"/>
        <v>0</v>
      </c>
      <c r="T784" s="121">
        <f t="shared" si="181"/>
        <v>0</v>
      </c>
      <c r="U784" s="121">
        <f t="shared" si="181"/>
        <v>0</v>
      </c>
      <c r="V784" s="544">
        <f t="shared" si="181"/>
        <v>0</v>
      </c>
      <c r="W784" s="111"/>
    </row>
    <row r="785" spans="2:23" ht="15" customHeight="1">
      <c r="D785" s="85" t="str">
        <f xml:space="preserve"> '2.1 Model setup'!K88</f>
        <v>5.1 Omkostninger til overliggende net ifm. indfødning</v>
      </c>
      <c r="K785" s="5" t="s">
        <v>216</v>
      </c>
      <c r="L785" s="85"/>
      <c r="O785" s="544">
        <f t="shared" si="180"/>
        <v>0</v>
      </c>
      <c r="P785" s="544">
        <f t="shared" si="180"/>
        <v>0</v>
      </c>
      <c r="Q785" s="197"/>
      <c r="R785" s="544">
        <f t="shared" si="181"/>
        <v>0</v>
      </c>
      <c r="S785" s="544">
        <f t="shared" si="181"/>
        <v>0</v>
      </c>
      <c r="T785" s="544">
        <f t="shared" si="181"/>
        <v>0</v>
      </c>
      <c r="U785" s="544">
        <f t="shared" si="181"/>
        <v>0</v>
      </c>
      <c r="V785" s="544">
        <f t="shared" si="181"/>
        <v>0</v>
      </c>
      <c r="W785" s="111"/>
    </row>
    <row r="786" spans="2:23" ht="15" customHeight="1">
      <c r="D786" s="85" t="str">
        <f xml:space="preserve"> '2.1 Model setup'!K81</f>
        <v>5.2 Øvrige omkostninger</v>
      </c>
      <c r="K786" s="5" t="s">
        <v>216</v>
      </c>
      <c r="L786" s="85" cm="1">
        <f t="array" ref="L786" xml:space="preserve"> -- ( SUMPRODUCT( -- ( ROUND( O786:V786, 9 ) &lt;&gt; ROUND( (O701:V701  + O718:V718 + O735:V735 + O752:V752 + O769:V769 ), 9 ) ) ) &gt; 0 )</f>
        <v>0</v>
      </c>
      <c r="O786" s="121">
        <f t="shared" si="180"/>
        <v>0</v>
      </c>
      <c r="P786" s="121">
        <f t="shared" si="180"/>
        <v>0</v>
      </c>
      <c r="Q786" s="197"/>
      <c r="R786" s="121">
        <f t="shared" si="181"/>
        <v>0</v>
      </c>
      <c r="S786" s="121">
        <f t="shared" si="181"/>
        <v>0</v>
      </c>
      <c r="T786" s="121">
        <f t="shared" si="181"/>
        <v>0</v>
      </c>
      <c r="U786" s="121">
        <f t="shared" si="181"/>
        <v>0</v>
      </c>
      <c r="V786" s="544">
        <f t="shared" si="181"/>
        <v>0</v>
      </c>
      <c r="W786" s="111"/>
    </row>
    <row r="787" spans="2:23" ht="15" customHeight="1">
      <c r="D787" s="85" t="str">
        <f xml:space="preserve"> '2.1 Model setup'!K82</f>
        <v>6.1 Afskrivninger på transformerstationer</v>
      </c>
      <c r="K787" s="5" t="s">
        <v>216</v>
      </c>
      <c r="L787" s="85" cm="1">
        <f t="array" ref="L787" xml:space="preserve"> -- ( SUMPRODUCT( -- ( ROUND( O787:V787, 9 ) &lt;&gt; ROUND( (O702:V702  + O719:V719 + O736:V736 + O753:V753 + O770:V770 ), 9 ) ) ) &gt; 0 )</f>
        <v>0</v>
      </c>
      <c r="O787" s="121">
        <f t="shared" si="180"/>
        <v>0</v>
      </c>
      <c r="P787" s="121">
        <f t="shared" si="180"/>
        <v>0</v>
      </c>
      <c r="Q787" s="197"/>
      <c r="R787" s="121">
        <f t="shared" si="181"/>
        <v>0</v>
      </c>
      <c r="S787" s="121">
        <f t="shared" si="181"/>
        <v>0</v>
      </c>
      <c r="T787" s="121">
        <f t="shared" si="181"/>
        <v>0</v>
      </c>
      <c r="U787" s="121">
        <f t="shared" si="181"/>
        <v>0</v>
      </c>
      <c r="V787" s="544">
        <f t="shared" si="181"/>
        <v>0</v>
      </c>
      <c r="W787" s="111"/>
    </row>
    <row r="788" spans="2:23" ht="15" customHeight="1">
      <c r="D788" s="85" t="str">
        <f xml:space="preserve"> '2.1 Model setup'!K83</f>
        <v>6.2 Afskrivninger på netaktiver ekskl. målere og transformerstationer</v>
      </c>
      <c r="K788" s="5" t="s">
        <v>216</v>
      </c>
      <c r="L788" s="85" cm="1">
        <f t="array" ref="L788" xml:space="preserve"> -- ( SUMPRODUCT( -- ( ROUND( O788:V788, 9 ) &lt;&gt; ROUND( (O703:V703  + O720:V720 + O737:V737 + O754:V754 + O771:V771 ), 9 ) ) ) &gt; 0 )</f>
        <v>0</v>
      </c>
      <c r="O788" s="121">
        <f t="shared" si="180"/>
        <v>0</v>
      </c>
      <c r="P788" s="121">
        <f t="shared" si="180"/>
        <v>0</v>
      </c>
      <c r="Q788" s="197"/>
      <c r="R788" s="121">
        <f t="shared" si="181"/>
        <v>0</v>
      </c>
      <c r="S788" s="121">
        <f t="shared" si="181"/>
        <v>0</v>
      </c>
      <c r="T788" s="121">
        <f t="shared" si="181"/>
        <v>0</v>
      </c>
      <c r="U788" s="121">
        <f t="shared" si="181"/>
        <v>0</v>
      </c>
      <c r="V788" s="544">
        <f t="shared" si="181"/>
        <v>0</v>
      </c>
      <c r="W788" s="111"/>
    </row>
    <row r="789" spans="2:23" ht="15" customHeight="1">
      <c r="D789" s="99" t="str">
        <f xml:space="preserve"> '2.1 Model setup'!K84</f>
        <v>6.3 Afskrivninger på målere</v>
      </c>
      <c r="E789" s="27"/>
      <c r="F789" s="27"/>
      <c r="G789" s="27"/>
      <c r="H789" s="27"/>
      <c r="I789" s="27"/>
      <c r="J789" s="27"/>
      <c r="K789" s="32" t="s">
        <v>216</v>
      </c>
      <c r="L789" s="99" cm="1">
        <f t="array" ref="L789" xml:space="preserve"> -- ( SUMPRODUCT( -- ( ROUND( O789:V789, 9 ) &lt;&gt; ROUND( (O704:V704  + O721:V721 + O738:V738 + O755:V755 + O772:V772 ), 9 ) ) ) &gt; 0 )</f>
        <v>0</v>
      </c>
      <c r="M789" s="27"/>
      <c r="N789" s="27"/>
      <c r="O789" s="131">
        <f t="shared" si="180"/>
        <v>0</v>
      </c>
      <c r="P789" s="131">
        <f t="shared" si="180"/>
        <v>0</v>
      </c>
      <c r="Q789" s="270"/>
      <c r="R789" s="131">
        <f t="shared" si="181"/>
        <v>0</v>
      </c>
      <c r="S789" s="131">
        <f t="shared" si="181"/>
        <v>0</v>
      </c>
      <c r="T789" s="131">
        <f t="shared" si="181"/>
        <v>0</v>
      </c>
      <c r="U789" s="131">
        <f t="shared" si="181"/>
        <v>0</v>
      </c>
      <c r="V789" s="639">
        <f t="shared" si="181"/>
        <v>0</v>
      </c>
      <c r="W789" s="113"/>
    </row>
    <row r="791" spans="2:23" ht="15" customHeight="1">
      <c r="P791" s="565"/>
    </row>
    <row r="792" spans="2:23" ht="15" customHeight="1">
      <c r="P792" s="565"/>
    </row>
    <row r="793" spans="2:23" s="475" customFormat="1" ht="15" customHeight="1">
      <c r="B793" s="479" t="str">
        <f xml:space="preserve"> COUNTA(B$10:B792) &amp; ") Indfødningstariffer"</f>
        <v>7) Indfødningstariffer</v>
      </c>
      <c r="C793" s="477"/>
      <c r="D793" s="478"/>
    </row>
    <row r="795" spans="2:23" ht="15" customHeight="1">
      <c r="D795" s="4" t="s">
        <v>600</v>
      </c>
      <c r="W795" s="89"/>
    </row>
    <row r="796" spans="2:23" s="4" customFormat="1" ht="15" customHeight="1">
      <c r="C796" s="2"/>
      <c r="D796" s="186" t="s">
        <v>16</v>
      </c>
      <c r="E796" s="186"/>
      <c r="F796" s="186"/>
      <c r="G796" s="186"/>
      <c r="H796" s="186"/>
      <c r="I796" s="186"/>
      <c r="J796" s="186"/>
      <c r="K796" s="187" t="s">
        <v>216</v>
      </c>
      <c r="L796" s="186"/>
      <c r="M796" s="186"/>
      <c r="N796" s="186"/>
      <c r="O796" s="95" cm="1">
        <f t="array" ref="O796" xml:space="preserve"> MMULT( TRANSPOSE( O775:O789 ), $N$665:$N$679 )</f>
        <v>0</v>
      </c>
      <c r="P796" s="95" cm="1">
        <f t="array" ref="P796" xml:space="preserve"> MMULT( TRANSPOSE( P775:P789 ), $N$665:$N$679 )</f>
        <v>0</v>
      </c>
      <c r="Q796" s="388"/>
      <c r="R796" s="95" cm="1">
        <f t="array" ref="R796" xml:space="preserve"> MMULT( TRANSPOSE( R775:R789 ), $N$665:$N$679 )</f>
        <v>0</v>
      </c>
      <c r="S796" s="95" cm="1">
        <f t="array" ref="S796" xml:space="preserve"> MMULT( TRANSPOSE( S775:S789 ), $N$665:$N$679 )</f>
        <v>0</v>
      </c>
      <c r="T796" s="95" cm="1">
        <f t="array" ref="T796" xml:space="preserve"> MMULT( TRANSPOSE( T775:T789 ), $N$665:$N$679 )</f>
        <v>0</v>
      </c>
      <c r="U796" s="95" cm="1">
        <f t="array" ref="U796" xml:space="preserve"> MMULT( TRANSPOSE( U775:U789 ), $N$665:$N$679 )</f>
        <v>0</v>
      </c>
      <c r="V796" s="95" cm="1">
        <f t="array" ref="V796" xml:space="preserve"> MMULT( TRANSPOSE( V775:V789 ), $N$665:$N$679 )</f>
        <v>0</v>
      </c>
      <c r="W796" s="186"/>
    </row>
    <row r="798" spans="2:23" ht="15" customHeight="1">
      <c r="D798" s="4" t="s">
        <v>301</v>
      </c>
      <c r="U798" s="89"/>
      <c r="W798" s="89" t="s">
        <v>16</v>
      </c>
    </row>
    <row r="799" spans="2:23" s="4" customFormat="1" ht="15" customHeight="1">
      <c r="C799" s="2"/>
      <c r="D799" s="186" t="s">
        <v>16</v>
      </c>
      <c r="E799" s="186"/>
      <c r="F799" s="186"/>
      <c r="G799" s="186"/>
      <c r="H799" s="186"/>
      <c r="I799" s="186"/>
      <c r="J799" s="186"/>
      <c r="K799" s="187" t="str">
        <f xml:space="preserve"> Model.Units</f>
        <v>DKKt</v>
      </c>
      <c r="L799" s="105" cm="1">
        <f t="array" ref="L799" xml:space="preserve"> -- ( SUMPRODUCT(-- ( ROUND(O799:W799, 5 ) &lt;&gt; ROUND( O658:W658, 5 ) ) ) &gt; 0 )</f>
        <v>0</v>
      </c>
      <c r="M799" s="186"/>
      <c r="N799" s="186"/>
      <c r="O799" s="186">
        <f t="shared" ref="O799:V799" si="182" xml:space="preserve"> O796 * O687 / tDKKtiløre</f>
        <v>0</v>
      </c>
      <c r="P799" s="186">
        <f t="shared" si="182"/>
        <v>0</v>
      </c>
      <c r="Q799" s="388"/>
      <c r="R799" s="186">
        <f t="shared" si="182"/>
        <v>0</v>
      </c>
      <c r="S799" s="186">
        <f t="shared" si="182"/>
        <v>0</v>
      </c>
      <c r="T799" s="186">
        <f t="shared" si="182"/>
        <v>0</v>
      </c>
      <c r="U799" s="186">
        <f t="shared" si="182"/>
        <v>0</v>
      </c>
      <c r="V799" s="186">
        <f t="shared" si="182"/>
        <v>0</v>
      </c>
      <c r="W799" s="186">
        <f xml:space="preserve"> SUM( O799:V799 )</f>
        <v>0</v>
      </c>
    </row>
    <row r="803" spans="2:11" s="475" customFormat="1" ht="15" customHeight="1">
      <c r="B803" s="479" t="s">
        <v>104</v>
      </c>
      <c r="C803" s="477"/>
      <c r="D803" s="478"/>
    </row>
    <row r="804" spans="2:11" ht="15" customHeight="1">
      <c r="K804" s="1"/>
    </row>
  </sheetData>
  <sheetProtection sheet="1" objects="1" scenarios="1"/>
  <phoneticPr fontId="58" type="noConversion"/>
  <conditionalFormatting sqref="I4:I5">
    <cfRule type="cellIs" dxfId="314" priority="218" operator="between">
      <formula>-ErrorTolerance</formula>
      <formula>ErrorTolerance</formula>
    </cfRule>
  </conditionalFormatting>
  <conditionalFormatting sqref="J2:Q3 B2:E3">
    <cfRule type="expression" dxfId="313" priority="219">
      <formula>$I$4&lt;ErrorTolerance</formula>
    </cfRule>
  </conditionalFormatting>
  <conditionalFormatting sqref="B3">
    <cfRule type="expression" dxfId="312" priority="220">
      <formula>$I$5&gt;=ErrorTolerance</formula>
    </cfRule>
  </conditionalFormatting>
  <conditionalFormatting sqref="L157:L158">
    <cfRule type="cellIs" dxfId="311" priority="216" operator="greaterThan">
      <formula>0</formula>
    </cfRule>
  </conditionalFormatting>
  <conditionalFormatting sqref="I6">
    <cfRule type="cellIs" dxfId="310" priority="206" operator="between">
      <formula>-ErrorTolerance</formula>
      <formula>ErrorTolerance</formula>
    </cfRule>
  </conditionalFormatting>
  <conditionalFormatting sqref="I7">
    <cfRule type="cellIs" dxfId="309" priority="205" operator="between">
      <formula>-ErrorTolerance</formula>
      <formula>ErrorTolerance</formula>
    </cfRule>
  </conditionalFormatting>
  <conditionalFormatting sqref="H2">
    <cfRule type="expression" dxfId="308" priority="201">
      <formula>Model.Navigation.View=No</formula>
    </cfRule>
  </conditionalFormatting>
  <conditionalFormatting sqref="H2">
    <cfRule type="expression" dxfId="307" priority="200">
      <formula>Model.Navigation.View=No</formula>
    </cfRule>
  </conditionalFormatting>
  <conditionalFormatting sqref="F2">
    <cfRule type="expression" dxfId="306" priority="199">
      <formula>Model.Navigation.View=No</formula>
    </cfRule>
  </conditionalFormatting>
  <conditionalFormatting sqref="F2">
    <cfRule type="expression" dxfId="305" priority="198">
      <formula>Model.Navigation.View=No</formula>
    </cfRule>
  </conditionalFormatting>
  <conditionalFormatting sqref="I2">
    <cfRule type="expression" dxfId="304" priority="197">
      <formula>Model.Navigation.View=No</formula>
    </cfRule>
  </conditionalFormatting>
  <conditionalFormatting sqref="I2">
    <cfRule type="expression" dxfId="303" priority="196">
      <formula>Model.Navigation.View=No</formula>
    </cfRule>
  </conditionalFormatting>
  <conditionalFormatting sqref="M246">
    <cfRule type="cellIs" dxfId="302" priority="140" operator="greaterThan">
      <formula>0</formula>
    </cfRule>
  </conditionalFormatting>
  <conditionalFormatting sqref="L246">
    <cfRule type="cellIs" dxfId="301" priority="130" operator="greaterThan">
      <formula>0</formula>
    </cfRule>
  </conditionalFormatting>
  <conditionalFormatting sqref="M85">
    <cfRule type="cellIs" dxfId="300" priority="127" operator="greaterThan">
      <formula>0</formula>
    </cfRule>
  </conditionalFormatting>
  <conditionalFormatting sqref="L85">
    <cfRule type="cellIs" dxfId="299" priority="96" operator="greaterThan">
      <formula>0</formula>
    </cfRule>
  </conditionalFormatting>
  <conditionalFormatting sqref="L49:L63">
    <cfRule type="cellIs" dxfId="298" priority="94" operator="greaterThan">
      <formula>0</formula>
    </cfRule>
  </conditionalFormatting>
  <conditionalFormatting sqref="L214:L228">
    <cfRule type="cellIs" dxfId="297" priority="93" operator="greaterThan">
      <formula>0</formula>
    </cfRule>
  </conditionalFormatting>
  <conditionalFormatting sqref="M120">
    <cfRule type="cellIs" dxfId="296" priority="99" operator="greaterThan">
      <formula>0</formula>
    </cfRule>
  </conditionalFormatting>
  <conditionalFormatting sqref="M138">
    <cfRule type="cellIs" dxfId="295" priority="98" operator="greaterThan">
      <formula>0</formula>
    </cfRule>
  </conditionalFormatting>
  <conditionalFormatting sqref="M156">
    <cfRule type="cellIs" dxfId="294" priority="97" operator="greaterThan">
      <formula>0</formula>
    </cfRule>
  </conditionalFormatting>
  <conditionalFormatting sqref="M264">
    <cfRule type="cellIs" dxfId="293" priority="92" operator="greaterThan">
      <formula>0</formula>
    </cfRule>
  </conditionalFormatting>
  <conditionalFormatting sqref="L264">
    <cfRule type="cellIs" dxfId="292" priority="91" operator="greaterThan">
      <formula>0</formula>
    </cfRule>
  </conditionalFormatting>
  <conditionalFormatting sqref="L329:L338 L340:L343">
    <cfRule type="cellIs" dxfId="291" priority="90" operator="greaterThan">
      <formula>0</formula>
    </cfRule>
  </conditionalFormatting>
  <conditionalFormatting sqref="L339">
    <cfRule type="cellIs" dxfId="290" priority="89" operator="greaterThan">
      <formula>0</formula>
    </cfRule>
  </conditionalFormatting>
  <conditionalFormatting sqref="L414:L423 L425:L428">
    <cfRule type="cellIs" dxfId="289" priority="78" operator="greaterThan">
      <formula>0</formula>
    </cfRule>
  </conditionalFormatting>
  <conditionalFormatting sqref="L424">
    <cfRule type="cellIs" dxfId="288" priority="77" operator="greaterThan">
      <formula>0</formula>
    </cfRule>
  </conditionalFormatting>
  <conditionalFormatting sqref="L617">
    <cfRule type="cellIs" dxfId="287" priority="51" operator="greaterThan">
      <formula>0</formula>
    </cfRule>
  </conditionalFormatting>
  <conditionalFormatting sqref="L607:L616 L618:L621">
    <cfRule type="cellIs" dxfId="286" priority="52" operator="greaterThan">
      <formula>0</formula>
    </cfRule>
  </conditionalFormatting>
  <conditionalFormatting sqref="L635">
    <cfRule type="cellIs" dxfId="285" priority="49" operator="greaterThan">
      <formula>0</formula>
    </cfRule>
  </conditionalFormatting>
  <conditionalFormatting sqref="L625:L634 L636:L639">
    <cfRule type="cellIs" dxfId="284" priority="50" operator="greaterThan">
      <formula>0</formula>
    </cfRule>
  </conditionalFormatting>
  <conditionalFormatting sqref="L657">
    <cfRule type="cellIs" dxfId="283" priority="48" operator="greaterThan">
      <formula>0</formula>
    </cfRule>
  </conditionalFormatting>
  <conditionalFormatting sqref="L658">
    <cfRule type="cellIs" dxfId="282" priority="47" operator="greaterThan">
      <formula>0</formula>
    </cfRule>
  </conditionalFormatting>
  <conditionalFormatting sqref="L799">
    <cfRule type="cellIs" dxfId="281" priority="43" operator="greaterThan">
      <formula>0</formula>
    </cfRule>
  </conditionalFormatting>
  <conditionalFormatting sqref="L346:L355 L357:L360">
    <cfRule type="cellIs" dxfId="280" priority="42" operator="greaterThan">
      <formula>0</formula>
    </cfRule>
  </conditionalFormatting>
  <conditionalFormatting sqref="L356">
    <cfRule type="cellIs" dxfId="279" priority="41" operator="greaterThan">
      <formula>0</formula>
    </cfRule>
  </conditionalFormatting>
  <conditionalFormatting sqref="L363:L372 L374:L377">
    <cfRule type="cellIs" dxfId="278" priority="40" operator="greaterThan">
      <formula>0</formula>
    </cfRule>
  </conditionalFormatting>
  <conditionalFormatting sqref="L373">
    <cfRule type="cellIs" dxfId="277" priority="39" operator="greaterThan">
      <formula>0</formula>
    </cfRule>
  </conditionalFormatting>
  <conditionalFormatting sqref="L380:L389 L391:L394">
    <cfRule type="cellIs" dxfId="276" priority="38" operator="greaterThan">
      <formula>0</formula>
    </cfRule>
  </conditionalFormatting>
  <conditionalFormatting sqref="L390">
    <cfRule type="cellIs" dxfId="275" priority="37" operator="greaterThan">
      <formula>0</formula>
    </cfRule>
  </conditionalFormatting>
  <conditionalFormatting sqref="L397:L406 L408:L411">
    <cfRule type="cellIs" dxfId="274" priority="36" operator="greaterThan">
      <formula>0</formula>
    </cfRule>
  </conditionalFormatting>
  <conditionalFormatting sqref="L407">
    <cfRule type="cellIs" dxfId="273" priority="35" operator="greaterThan">
      <formula>0</formula>
    </cfRule>
  </conditionalFormatting>
  <conditionalFormatting sqref="L431:L440 L442:L445">
    <cfRule type="cellIs" dxfId="272" priority="32" operator="greaterThan">
      <formula>0</formula>
    </cfRule>
  </conditionalFormatting>
  <conditionalFormatting sqref="L441">
    <cfRule type="cellIs" dxfId="271" priority="31" operator="greaterThan">
      <formula>0</formula>
    </cfRule>
  </conditionalFormatting>
  <conditionalFormatting sqref="L448:L457 L459:L462">
    <cfRule type="cellIs" dxfId="270" priority="30" operator="greaterThan">
      <formula>0</formula>
    </cfRule>
  </conditionalFormatting>
  <conditionalFormatting sqref="L458">
    <cfRule type="cellIs" dxfId="269" priority="29" operator="greaterThan">
      <formula>0</formula>
    </cfRule>
  </conditionalFormatting>
  <conditionalFormatting sqref="L465:L474 L476:L479">
    <cfRule type="cellIs" dxfId="268" priority="28" operator="greaterThan">
      <formula>0</formula>
    </cfRule>
  </conditionalFormatting>
  <conditionalFormatting sqref="L475">
    <cfRule type="cellIs" dxfId="267" priority="27" operator="greaterThan">
      <formula>0</formula>
    </cfRule>
  </conditionalFormatting>
  <conditionalFormatting sqref="L482:L491 L493:L496">
    <cfRule type="cellIs" dxfId="266" priority="26" operator="greaterThan">
      <formula>0</formula>
    </cfRule>
  </conditionalFormatting>
  <conditionalFormatting sqref="L492">
    <cfRule type="cellIs" dxfId="265" priority="25" operator="greaterThan">
      <formula>0</formula>
    </cfRule>
  </conditionalFormatting>
  <conditionalFormatting sqref="L499:L508 L510:L514">
    <cfRule type="cellIs" dxfId="264" priority="22" operator="greaterThan">
      <formula>0</formula>
    </cfRule>
  </conditionalFormatting>
  <conditionalFormatting sqref="L509">
    <cfRule type="cellIs" dxfId="263" priority="21" operator="greaterThan">
      <formula>0</formula>
    </cfRule>
  </conditionalFormatting>
  <conditionalFormatting sqref="L517:L526 L528:L532">
    <cfRule type="cellIs" dxfId="262" priority="16" operator="greaterThan">
      <formula>0</formula>
    </cfRule>
  </conditionalFormatting>
  <conditionalFormatting sqref="L527">
    <cfRule type="cellIs" dxfId="261" priority="15" operator="greaterThan">
      <formula>0</formula>
    </cfRule>
  </conditionalFormatting>
  <conditionalFormatting sqref="L535:L544 L546:L550">
    <cfRule type="cellIs" dxfId="260" priority="14" operator="greaterThan">
      <formula>0</formula>
    </cfRule>
  </conditionalFormatting>
  <conditionalFormatting sqref="L545">
    <cfRule type="cellIs" dxfId="259" priority="13" operator="greaterThan">
      <formula>0</formula>
    </cfRule>
  </conditionalFormatting>
  <conditionalFormatting sqref="L553:L562 L564:L568">
    <cfRule type="cellIs" dxfId="258" priority="12" operator="greaterThan">
      <formula>0</formula>
    </cfRule>
  </conditionalFormatting>
  <conditionalFormatting sqref="L563">
    <cfRule type="cellIs" dxfId="257" priority="11" operator="greaterThan">
      <formula>0</formula>
    </cfRule>
  </conditionalFormatting>
  <conditionalFormatting sqref="L571:L580 L582:L586">
    <cfRule type="cellIs" dxfId="256" priority="10" operator="greaterThan">
      <formula>0</formula>
    </cfRule>
  </conditionalFormatting>
  <conditionalFormatting sqref="L581">
    <cfRule type="cellIs" dxfId="255" priority="9" operator="greaterThan">
      <formula>0</formula>
    </cfRule>
  </conditionalFormatting>
  <conditionalFormatting sqref="L589:L598 L600:L604">
    <cfRule type="cellIs" dxfId="254" priority="6" operator="greaterThan">
      <formula>0</formula>
    </cfRule>
  </conditionalFormatting>
  <conditionalFormatting sqref="L599">
    <cfRule type="cellIs" dxfId="253" priority="5" operator="greaterThan">
      <formula>0</formula>
    </cfRule>
  </conditionalFormatting>
  <conditionalFormatting sqref="G2">
    <cfRule type="expression" dxfId="252" priority="4">
      <formula>Model.Navigation.View=No</formula>
    </cfRule>
  </conditionalFormatting>
  <conditionalFormatting sqref="G2">
    <cfRule type="expression" dxfId="251" priority="3">
      <formula>Model.Navigation.View=No</formula>
    </cfRule>
  </conditionalFormatting>
  <conditionalFormatting sqref="L156">
    <cfRule type="cellIs" dxfId="250" priority="2" operator="greaterThan">
      <formula>0</formula>
    </cfRule>
  </conditionalFormatting>
  <conditionalFormatting sqref="L138">
    <cfRule type="cellIs" dxfId="249" priority="1" operator="greaterThan">
      <formula>0</formula>
    </cfRule>
  </conditionalFormatting>
  <hyperlinks>
    <hyperlink ref="G2" location="'3.5 Indfødningstarif'!Print_Titles" tooltip="Gå til toppen af arket" display="'3.5 Indfødningstarif'!Print_Titles" xr:uid="{F7A17BBE-26C1-46FF-9339-7017086A5C96}"/>
    <hyperlink ref="H2" location="'2.3 Selskabsspecifikke input'!B2" tooltip="Gå til selskabsspecifikke input" display="'2.3 Selskabsspecifikke input'!B2" xr:uid="{F46D594B-CDF6-4381-B99A-084C75F4DB9D}"/>
    <hyperlink ref="F2" location="Modeloverblik!B2" tooltip="Gå til modelbeskrivelse" display="Modeloverblik!B2" xr:uid="{74AAE37F-D612-4127-86A5-0CB362068DF6}"/>
    <hyperlink ref="I2" location="'4.1 Fejl- og kontroloversigt'!B2" tooltip="Gå til fejl- og kontrolchecks" display="'4.1 Fejl- og kontroloversigt'!B2" xr:uid="{DD265B31-7528-4707-B7A7-A5E4ECB5750E}"/>
  </hyperlinks>
  <pageMargins left="0.70866141732283472" right="0.70866141732283472" top="0.74803149606299213" bottom="0.74803149606299213" header="0.31496062992125984" footer="0.31496062992125984"/>
  <pageSetup paperSize="9" scale="56"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6B7CE-076E-435A-AD22-5F5D30F15BDC}">
  <sheetPr>
    <tabColor rgb="FF222221"/>
  </sheetPr>
  <dimension ref="A1:O11"/>
  <sheetViews>
    <sheetView showGridLines="0" zoomScale="85" zoomScaleNormal="85" workbookViewId="0"/>
  </sheetViews>
  <sheetFormatPr defaultColWidth="0" defaultRowHeight="12" customHeight="1" zeroHeight="1"/>
  <cols>
    <col min="1" max="2" width="4.1640625" customWidth="1"/>
    <col min="3" max="13" width="9.1640625" customWidth="1"/>
    <col min="14" max="15" width="4.1640625" customWidth="1"/>
    <col min="16" max="16384" width="9.1640625" hidden="1"/>
  </cols>
  <sheetData>
    <row r="1" spans="2:14"/>
    <row r="2" spans="2:14">
      <c r="B2" s="55"/>
      <c r="C2" s="56"/>
      <c r="D2" s="56"/>
      <c r="E2" s="56"/>
      <c r="F2" s="56"/>
      <c r="G2" s="56"/>
      <c r="H2" s="56"/>
      <c r="I2" s="56"/>
      <c r="J2" s="56"/>
      <c r="K2" s="56"/>
      <c r="L2" s="56"/>
      <c r="M2" s="56"/>
      <c r="N2" s="57"/>
    </row>
    <row r="3" spans="2:14"/>
    <row r="4" spans="2:14"/>
    <row r="5" spans="2:14"/>
    <row r="6" spans="2:14" ht="35.25">
      <c r="C6" s="58" t="s">
        <v>365</v>
      </c>
    </row>
    <row r="7" spans="2:14"/>
    <row r="8" spans="2:14"/>
    <row r="9" spans="2:14"/>
    <row r="10" spans="2:14">
      <c r="B10" s="59"/>
      <c r="C10" s="60"/>
      <c r="D10" s="60"/>
      <c r="E10" s="60"/>
      <c r="F10" s="60"/>
      <c r="G10" s="60"/>
      <c r="H10" s="60"/>
      <c r="I10" s="60"/>
      <c r="J10" s="60"/>
      <c r="K10" s="60"/>
      <c r="L10" s="60"/>
      <c r="M10" s="60"/>
      <c r="N10" s="61"/>
    </row>
    <row r="11" spans="2:14"/>
  </sheetData>
  <sheetProtection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870F-3B45-4188-B11C-0E26E31B0420}">
  <sheetPr>
    <tabColor rgb="FF6C94A7"/>
    <outlinePr summaryBelow="0"/>
    <pageSetUpPr fitToPage="1"/>
  </sheetPr>
  <dimension ref="A1:CC233"/>
  <sheetViews>
    <sheetView showGridLines="0" zoomScale="85" zoomScaleNormal="85" workbookViewId="0">
      <pane xSplit="14" ySplit="10" topLeftCell="O11" activePane="bottomRight" state="frozen"/>
      <selection activeCell="C6" sqref="C6"/>
      <selection pane="topRight" activeCell="C6" sqref="C6"/>
      <selection pane="bottomLeft" activeCell="C6" sqref="C6"/>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23" width="18.6640625" style="1" customWidth="1"/>
    <col min="24" max="81" width="16.6640625" style="1" hidden="1" customWidth="1"/>
    <col min="82" max="16384" width="9.1640625" style="1" hidden="1"/>
  </cols>
  <sheetData>
    <row r="1" spans="2:23" ht="4.9000000000000004" customHeight="1"/>
    <row r="2" spans="2:23" ht="19.899999999999999" customHeight="1">
      <c r="B2" s="6" t="str">
        <f ca="1" xml:space="preserve"> MID( CELL("filename", B2), FIND("]", CELL("filename",B2) ) + 1, Model.MaxChars)</f>
        <v>4.1 Fejl- og kontroloversigt</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2:23"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2:23" ht="15" customHeight="1">
      <c r="F4" s="74" t="s">
        <v>274</v>
      </c>
      <c r="G4" s="2"/>
      <c r="I4" s="76"/>
    </row>
    <row r="5" spans="2:23" ht="15" customHeight="1">
      <c r="F5" s="74" t="s">
        <v>275</v>
      </c>
      <c r="G5" s="2"/>
      <c r="I5" s="76"/>
    </row>
    <row r="6" spans="2:23" ht="15" customHeight="1">
      <c r="F6" s="74" t="s">
        <v>276</v>
      </c>
      <c r="G6" s="2"/>
      <c r="I6" s="25">
        <f xml:space="preserve"> SUM( L:L ) + SUM( '1.1 Provenu'!L:L ) + SUM( '1.2 Tarifoversigt'!L:L) + SUM( '1.3 Varslingsanalyse'!L:L) + SUM( '1.4 Hoveddata'!L:L) + SUM('2.1 Model setup'!L:L ) + SUM('2.2 Generelle input'!L:L ) + SUM( '2.3 Selskabsspecifikke input'!L:L) + SUM( '3.1 Opsplitning af forbrug'!L:L) + SUM( '3.2 Abonnement'!L:L) + SUM( '3.3 Forbrugstariffer og effekt'!L:L) + SUM( '3.4 Tidsdifferentieret tarif'!L:L) + SUM('3.5 Indfødningstarif'!L:L)+ SUM( 'Hjælpeark, forbrugsnøgler'!L:L) + SUM( 'Hjælpeark, fall-back-metoden'!L:L )</f>
        <v>0</v>
      </c>
    </row>
    <row r="7" spans="2:23" ht="15" customHeight="1">
      <c r="F7" s="75" t="s">
        <v>236</v>
      </c>
      <c r="G7" s="26"/>
      <c r="H7" s="27"/>
      <c r="I7" s="329">
        <f xml:space="preserve"> '1.3 Varslingsanalyse'!I7</f>
        <v>0</v>
      </c>
    </row>
    <row r="8" spans="2:23" ht="15" customHeight="1">
      <c r="L8" s="484" t="str">
        <f xml:space="preserve"> Header.Labels</f>
        <v>Checks</v>
      </c>
      <c r="M8" s="484"/>
    </row>
    <row r="9" spans="2:23" ht="5.0999999999999996" customHeight="1">
      <c r="E9" s="14"/>
      <c r="F9" s="28"/>
      <c r="G9" s="28"/>
      <c r="H9" s="28"/>
      <c r="I9" s="28"/>
      <c r="J9" s="28"/>
      <c r="L9" s="485"/>
      <c r="M9" s="473"/>
      <c r="N9" s="28"/>
      <c r="O9" s="28"/>
      <c r="P9" s="28"/>
      <c r="Q9" s="28"/>
    </row>
    <row r="10" spans="2:23"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2:23" s="15" customFormat="1" ht="15" customHeight="1">
      <c r="C11" s="16"/>
      <c r="D11" s="17"/>
      <c r="F11" s="1"/>
      <c r="K11" s="19"/>
      <c r="W11" s="1"/>
    </row>
    <row r="12" spans="2:23" s="475" customFormat="1" ht="15" customHeight="1">
      <c r="B12" s="479" t="str">
        <f ca="1" xml:space="preserve"> COUNTA(B$10:B11) &amp; ") Oversigt over arket: "  &amp; Modeloverblik!E77</f>
        <v>1) Oversigt over arket: 1.1 Provenu</v>
      </c>
      <c r="C12" s="477"/>
      <c r="D12" s="478"/>
      <c r="K12" s="472"/>
    </row>
    <row r="14" spans="2:23" ht="15" customHeight="1">
      <c r="C14" s="4" t="str">
        <f xml:space="preserve"> "Sektion: " &amp; '1.1 Provenu'!B12</f>
        <v>Sektion: 1) Nedbrydning af provenu på kundekategorier</v>
      </c>
    </row>
    <row r="15" spans="2:23" ht="15" customHeight="1">
      <c r="C15" s="15" t="str">
        <f ca="1" xml:space="preserve"> "Samlet provenu fra tariffer (ekskl. rådighedsbetaling) stemmer ikke med det beregnet i arket " &amp; '3.3 Forbrugstariffer og effekt'!$B$2</f>
        <v>Samlet provenu fra tariffer (ekskl. rådighedsbetaling) stemmer ikke med det beregnet i arket 3.3 Forbrugstariffer og effekt</v>
      </c>
      <c r="D15" s="17"/>
      <c r="E15" s="15"/>
      <c r="F15" s="15"/>
      <c r="G15" s="15"/>
      <c r="H15" s="15"/>
      <c r="I15" s="15"/>
      <c r="J15" s="15"/>
      <c r="K15" s="19"/>
      <c r="L15" s="123">
        <f xml:space="preserve"> '1.1 Provenu'!L15</f>
        <v>0</v>
      </c>
      <c r="M15" s="15"/>
      <c r="N15" s="15"/>
      <c r="O15" s="15"/>
      <c r="P15" s="15"/>
      <c r="Q15" s="15"/>
      <c r="R15" s="15"/>
      <c r="S15" s="15"/>
      <c r="T15" s="15"/>
      <c r="U15" s="15"/>
      <c r="V15" s="15"/>
      <c r="W15" s="15"/>
    </row>
    <row r="16" spans="2:23" ht="15" customHeight="1">
      <c r="C16" s="1" t="str">
        <f ca="1" xml:space="preserve"> "Samlet provenu fra effekt stemmer ikke med det beregnet i arket " &amp; '3.3 Forbrugstariffer og effekt'!$B$2</f>
        <v>Samlet provenu fra effekt stemmer ikke med det beregnet i arket 3.3 Forbrugstariffer og effekt</v>
      </c>
      <c r="L16" s="85">
        <f xml:space="preserve"> '1.1 Provenu'!L16</f>
        <v>0</v>
      </c>
    </row>
    <row r="17" spans="2:23" ht="15" customHeight="1">
      <c r="C17" s="1" t="str">
        <f ca="1" xml:space="preserve"> "Samlet provenu fra abonnement stemmer ikke med det beregnet i arket " &amp; '3.2 Abonnement'!$B$2</f>
        <v>Samlet provenu fra abonnement stemmer ikke med det beregnet i arket 3.2 Abonnement</v>
      </c>
      <c r="L17" s="85">
        <f xml:space="preserve"> '1.1 Provenu'!L17</f>
        <v>0</v>
      </c>
    </row>
    <row r="18" spans="2:23" ht="15" customHeight="1">
      <c r="C18" s="1" t="s">
        <v>394</v>
      </c>
      <c r="L18" s="85">
        <f xml:space="preserve"> '1.1 Provenu'!L18</f>
        <v>0</v>
      </c>
    </row>
    <row r="19" spans="2:23" ht="15" customHeight="1">
      <c r="C19" s="1" t="s">
        <v>423</v>
      </c>
      <c r="L19" s="85">
        <f xml:space="preserve"> '1.1 Provenu'!L23</f>
        <v>0</v>
      </c>
    </row>
    <row r="20" spans="2:23" ht="15" customHeight="1">
      <c r="C20" s="27" t="s">
        <v>518</v>
      </c>
      <c r="D20" s="255"/>
      <c r="E20" s="27"/>
      <c r="F20" s="27"/>
      <c r="G20" s="27"/>
      <c r="H20" s="27"/>
      <c r="I20" s="27"/>
      <c r="J20" s="27"/>
      <c r="K20" s="32"/>
      <c r="L20" s="99">
        <f xml:space="preserve"> '1.1 Provenu'!L37</f>
        <v>0</v>
      </c>
      <c r="M20" s="27"/>
      <c r="N20" s="27"/>
      <c r="O20" s="27"/>
      <c r="P20" s="27"/>
      <c r="Q20" s="27"/>
      <c r="R20" s="27"/>
      <c r="S20" s="27"/>
      <c r="T20" s="27"/>
      <c r="U20" s="27"/>
      <c r="V20" s="27"/>
      <c r="W20" s="27"/>
    </row>
    <row r="22" spans="2:23" ht="15" customHeight="1">
      <c r="C22" s="4" t="str">
        <f xml:space="preserve"> "Sektion: " &amp; '1.1 Provenu'!B64</f>
        <v>Sektion: 2) Nedbrydning af provenu på omkostnings- og forrentningsposter, i alt</v>
      </c>
    </row>
    <row r="23" spans="2:23" ht="15" customHeight="1">
      <c r="C23" s="15" t="s">
        <v>395</v>
      </c>
      <c r="D23" s="17"/>
      <c r="E23" s="15"/>
      <c r="F23" s="15"/>
      <c r="G23" s="15"/>
      <c r="H23" s="15"/>
      <c r="I23" s="15"/>
      <c r="J23" s="15"/>
      <c r="K23" s="19"/>
      <c r="L23" s="123">
        <f xml:space="preserve"> '1.1 Provenu'!L85</f>
        <v>0</v>
      </c>
      <c r="M23" s="15"/>
      <c r="N23" s="15"/>
      <c r="O23" s="15"/>
      <c r="P23" s="15"/>
      <c r="Q23" s="15"/>
      <c r="R23" s="15"/>
      <c r="S23" s="15"/>
      <c r="T23" s="15"/>
      <c r="U23" s="15"/>
      <c r="V23" s="15"/>
      <c r="W23" s="15"/>
    </row>
    <row r="24" spans="2:23" ht="15" customHeight="1">
      <c r="C24" s="27" t="s">
        <v>396</v>
      </c>
      <c r="D24" s="255"/>
      <c r="E24" s="27"/>
      <c r="F24" s="27"/>
      <c r="G24" s="27"/>
      <c r="H24" s="27"/>
      <c r="I24" s="27"/>
      <c r="J24" s="27"/>
      <c r="K24" s="32"/>
      <c r="L24" s="99">
        <f xml:space="preserve"> '1.1 Provenu'!L87</f>
        <v>0</v>
      </c>
      <c r="M24" s="27"/>
      <c r="N24" s="27"/>
      <c r="O24" s="27"/>
      <c r="P24" s="27"/>
      <c r="Q24" s="27"/>
      <c r="R24" s="27"/>
      <c r="S24" s="27"/>
      <c r="T24" s="27"/>
      <c r="U24" s="27"/>
      <c r="V24" s="27"/>
      <c r="W24" s="27"/>
    </row>
    <row r="28" spans="2:23" s="475" customFormat="1" ht="15" customHeight="1">
      <c r="B28" s="479" t="str">
        <f ca="1" xml:space="preserve"> COUNTA(B$10:B27) &amp; ") Oversigt over arket: "  &amp; Modeloverblik!E85</f>
        <v>2) Oversigt over arket: 2.2 Generelle input</v>
      </c>
      <c r="C28" s="477"/>
      <c r="D28" s="478"/>
      <c r="K28" s="472"/>
    </row>
    <row r="30" spans="2:23" ht="15" customHeight="1">
      <c r="C30" s="35" t="str">
        <f xml:space="preserve"> "Sektion: " &amp; '2.2 Generelle input'!B12</f>
        <v>Sektion: 1) Input vedrørende egenproducenter</v>
      </c>
      <c r="D30" s="255"/>
      <c r="E30" s="27"/>
      <c r="F30" s="27"/>
      <c r="G30" s="27"/>
      <c r="H30" s="27"/>
      <c r="I30" s="27"/>
      <c r="J30" s="27"/>
      <c r="K30" s="32"/>
      <c r="L30" s="27"/>
      <c r="M30" s="27"/>
      <c r="N30" s="27"/>
      <c r="O30" s="27"/>
      <c r="P30" s="27"/>
      <c r="Q30" s="27"/>
      <c r="R30" s="27"/>
      <c r="S30" s="27"/>
      <c r="T30" s="27"/>
      <c r="U30" s="27"/>
      <c r="V30" s="27"/>
      <c r="W30" s="27"/>
    </row>
    <row r="31" spans="2:23" ht="15" customHeight="1">
      <c r="C31" s="33" t="s">
        <v>377</v>
      </c>
      <c r="D31" s="254"/>
      <c r="E31" s="33"/>
      <c r="F31" s="33"/>
      <c r="G31" s="33"/>
      <c r="H31" s="33"/>
      <c r="I31" s="33"/>
      <c r="J31" s="33"/>
      <c r="K31" s="34"/>
      <c r="L31" s="90">
        <f xml:space="preserve"> '2.2 Generelle input'!L15</f>
        <v>0</v>
      </c>
      <c r="M31" s="139">
        <f xml:space="preserve"> '2.2 Generelle input'!M15</f>
        <v>0</v>
      </c>
      <c r="N31" s="33"/>
      <c r="O31" s="33"/>
      <c r="P31" s="33"/>
      <c r="Q31" s="33"/>
      <c r="R31" s="33"/>
      <c r="S31" s="33"/>
      <c r="T31" s="33"/>
      <c r="U31" s="33"/>
      <c r="V31" s="33"/>
      <c r="W31" s="33"/>
    </row>
    <row r="33" spans="3:23" ht="15" customHeight="1">
      <c r="C33" s="35" t="str">
        <f xml:space="preserve"> "Sektion: " &amp; '2.2 Generelle input'!B19</f>
        <v>Sektion: 2) Input til fordelingsnøgler</v>
      </c>
      <c r="D33" s="255"/>
      <c r="E33" s="27"/>
      <c r="F33" s="27"/>
      <c r="G33" s="27"/>
      <c r="H33" s="27"/>
      <c r="I33" s="27"/>
      <c r="J33" s="27"/>
      <c r="K33" s="32"/>
      <c r="L33" s="27"/>
      <c r="M33" s="27"/>
      <c r="N33" s="27"/>
      <c r="O33" s="27"/>
      <c r="P33" s="27"/>
      <c r="Q33" s="27"/>
      <c r="R33" s="27"/>
      <c r="S33" s="27"/>
      <c r="T33" s="27"/>
      <c r="U33" s="27"/>
      <c r="V33" s="27"/>
      <c r="W33" s="27"/>
    </row>
    <row r="34" spans="3:23" ht="15" customHeight="1">
      <c r="C34" s="33" t="s">
        <v>378</v>
      </c>
      <c r="D34" s="254"/>
      <c r="E34" s="33"/>
      <c r="F34" s="33"/>
      <c r="G34" s="33"/>
      <c r="H34" s="33"/>
      <c r="I34" s="33"/>
      <c r="J34" s="33"/>
      <c r="K34" s="34"/>
      <c r="L34" s="90">
        <f xml:space="preserve"> SUM( '2.2 Generelle input'!L45:L48 )</f>
        <v>0</v>
      </c>
      <c r="M34" s="139">
        <f xml:space="preserve"> SUM( '2.2 Generelle input'!M45:M48 )</f>
        <v>0</v>
      </c>
      <c r="N34" s="33"/>
      <c r="O34" s="33"/>
      <c r="P34" s="33"/>
      <c r="Q34" s="33"/>
      <c r="R34" s="33"/>
      <c r="S34" s="33"/>
      <c r="T34" s="33"/>
      <c r="U34" s="33"/>
      <c r="V34" s="33"/>
      <c r="W34" s="33"/>
    </row>
    <row r="36" spans="3:23" ht="15" customHeight="1">
      <c r="C36" s="35" t="str">
        <f xml:space="preserve"> "Sektion: " &amp; '2.2 Generelle input'!B52</f>
        <v>Sektion: 3) Opsplitning på tarif (forbrug og rådighed), effekt og abonnement</v>
      </c>
      <c r="D36" s="255"/>
      <c r="E36" s="27"/>
      <c r="F36" s="27"/>
      <c r="G36" s="27"/>
      <c r="H36" s="27"/>
      <c r="I36" s="27"/>
      <c r="J36" s="27"/>
      <c r="K36" s="32"/>
      <c r="L36" s="27"/>
      <c r="M36" s="27"/>
      <c r="N36" s="27"/>
      <c r="O36" s="27"/>
      <c r="P36" s="27"/>
      <c r="Q36" s="27"/>
      <c r="R36" s="27"/>
      <c r="S36" s="27"/>
      <c r="T36" s="27"/>
      <c r="U36" s="27"/>
      <c r="V36" s="27"/>
      <c r="W36" s="27"/>
    </row>
    <row r="37" spans="3:23" ht="15" customHeight="1">
      <c r="C37" s="33" t="s">
        <v>379</v>
      </c>
      <c r="D37" s="254"/>
      <c r="E37" s="33"/>
      <c r="F37" s="33"/>
      <c r="G37" s="33"/>
      <c r="H37" s="33"/>
      <c r="I37" s="33"/>
      <c r="J37" s="33"/>
      <c r="K37" s="34"/>
      <c r="L37" s="90">
        <f xml:space="preserve"> SUM( '2.2 Generelle input'!L75:L92 )</f>
        <v>0</v>
      </c>
      <c r="M37" s="139">
        <f xml:space="preserve"> SUM( '2.2 Generelle input'!M75:M92 )</f>
        <v>0</v>
      </c>
      <c r="N37" s="33"/>
      <c r="O37" s="33"/>
      <c r="P37" s="33"/>
      <c r="Q37" s="33"/>
      <c r="R37" s="33"/>
      <c r="S37" s="33"/>
      <c r="T37" s="33"/>
      <c r="U37" s="33"/>
      <c r="V37" s="33"/>
      <c r="W37" s="33"/>
    </row>
    <row r="39" spans="3:23" ht="15" customHeight="1">
      <c r="C39" s="4" t="str">
        <f xml:space="preserve"> "Sektion: " &amp; '2.2 Generelle input'!B96</f>
        <v>Sektion: 4) Byggeklodser - abonnement</v>
      </c>
    </row>
    <row r="40" spans="3:23" ht="15" customHeight="1">
      <c r="C40" s="15" t="s">
        <v>370</v>
      </c>
      <c r="D40" s="17"/>
      <c r="E40" s="15"/>
      <c r="F40" s="15"/>
      <c r="G40" s="15"/>
      <c r="H40" s="15"/>
      <c r="I40" s="15"/>
      <c r="J40" s="15"/>
      <c r="K40" s="19"/>
      <c r="L40" s="123">
        <f xml:space="preserve"> SUM( '2.2 Generelle input'!L99:L116 )</f>
        <v>0</v>
      </c>
      <c r="M40" s="142">
        <f xml:space="preserve"> SUM( '2.2 Generelle input'!M99:M116 )</f>
        <v>0</v>
      </c>
      <c r="N40" s="15"/>
      <c r="O40" s="15"/>
      <c r="P40" s="15"/>
      <c r="Q40" s="15"/>
      <c r="R40" s="15"/>
      <c r="S40" s="15"/>
      <c r="T40" s="15"/>
      <c r="U40" s="15"/>
      <c r="V40" s="15"/>
      <c r="W40" s="15"/>
    </row>
    <row r="41" spans="3:23" ht="15" customHeight="1">
      <c r="C41" s="1" t="s">
        <v>371</v>
      </c>
      <c r="L41" s="85">
        <f xml:space="preserve"> SUM( '2.2 Generelle input'!L119:L136 )</f>
        <v>0</v>
      </c>
      <c r="M41" s="119">
        <f xml:space="preserve"> SUM( '2.2 Generelle input'!M119:M136 )</f>
        <v>0</v>
      </c>
    </row>
    <row r="42" spans="3:23" ht="15" customHeight="1">
      <c r="C42" s="1" t="s">
        <v>372</v>
      </c>
      <c r="L42" s="85">
        <f xml:space="preserve"> SUM( '2.2 Generelle input'!L139:L156 )</f>
        <v>0</v>
      </c>
      <c r="M42" s="119">
        <f xml:space="preserve"> SUM( '2.2 Generelle input'!M139:M156 )</f>
        <v>0</v>
      </c>
    </row>
    <row r="43" spans="3:23" ht="15" customHeight="1">
      <c r="C43" s="27" t="s">
        <v>373</v>
      </c>
      <c r="D43" s="255"/>
      <c r="E43" s="27"/>
      <c r="F43" s="27"/>
      <c r="G43" s="27"/>
      <c r="H43" s="27"/>
      <c r="I43" s="27"/>
      <c r="J43" s="27"/>
      <c r="K43" s="32"/>
      <c r="L43" s="99">
        <f xml:space="preserve"> SUM( '2.2 Generelle input'!L159:L176 )</f>
        <v>0</v>
      </c>
      <c r="M43" s="151">
        <f xml:space="preserve"> SUM( '2.2 Generelle input'!M159:M176 )</f>
        <v>0</v>
      </c>
      <c r="N43" s="27"/>
      <c r="O43" s="27"/>
      <c r="P43" s="27"/>
      <c r="Q43" s="27"/>
      <c r="R43" s="27"/>
      <c r="S43" s="27"/>
      <c r="T43" s="27"/>
      <c r="U43" s="27"/>
      <c r="V43" s="27"/>
      <c r="W43" s="27"/>
    </row>
    <row r="45" spans="3:23" ht="15" customHeight="1">
      <c r="C45" s="4" t="str">
        <f xml:space="preserve"> "Sektion: " &amp; '2.2 Generelle input'!B180</f>
        <v>Sektion: 5) Byggeklodser - tarif (forbrug og rådighed)</v>
      </c>
    </row>
    <row r="46" spans="3:23" ht="15" customHeight="1">
      <c r="C46" s="15" t="s">
        <v>374</v>
      </c>
      <c r="D46" s="17"/>
      <c r="E46" s="15"/>
      <c r="F46" s="15"/>
      <c r="G46" s="15"/>
      <c r="H46" s="15"/>
      <c r="I46" s="15"/>
      <c r="J46" s="15"/>
      <c r="K46" s="19"/>
      <c r="L46" s="123">
        <f xml:space="preserve"> SUM( '2.2 Generelle input'!L183:L200 )</f>
        <v>0</v>
      </c>
      <c r="M46" s="142">
        <f xml:space="preserve"> SUM( '2.2 Generelle input'!M183:M200 )</f>
        <v>0</v>
      </c>
      <c r="N46" s="15"/>
      <c r="O46" s="15"/>
      <c r="P46" s="15"/>
      <c r="Q46" s="15"/>
      <c r="R46" s="15"/>
      <c r="S46" s="15"/>
      <c r="T46" s="15"/>
      <c r="U46" s="15"/>
      <c r="V46" s="15"/>
      <c r="W46" s="15"/>
    </row>
    <row r="47" spans="3:23" ht="15" customHeight="1">
      <c r="C47" s="27" t="s">
        <v>375</v>
      </c>
      <c r="D47" s="255"/>
      <c r="E47" s="27"/>
      <c r="F47" s="27"/>
      <c r="G47" s="27"/>
      <c r="H47" s="27"/>
      <c r="I47" s="27"/>
      <c r="J47" s="27"/>
      <c r="K47" s="32"/>
      <c r="L47" s="99">
        <f xml:space="preserve"> SUM( '2.2 Generelle input'!L203:L220 )</f>
        <v>0</v>
      </c>
      <c r="M47" s="151">
        <f xml:space="preserve"> SUM( '2.2 Generelle input'!M203:M220 )</f>
        <v>0</v>
      </c>
      <c r="N47" s="27"/>
      <c r="O47" s="27"/>
      <c r="P47" s="27"/>
      <c r="Q47" s="27"/>
      <c r="R47" s="27"/>
      <c r="S47" s="27"/>
      <c r="T47" s="27"/>
      <c r="U47" s="27"/>
      <c r="V47" s="27"/>
      <c r="W47" s="27"/>
    </row>
    <row r="49" spans="3:23" ht="15" customHeight="1">
      <c r="C49" s="4" t="str">
        <f xml:space="preserve"> "Sektion: " &amp; '2.2 Generelle input'!B224</f>
        <v>Sektion: 6) Byggeklodser - indfødningstarif</v>
      </c>
    </row>
    <row r="50" spans="3:23" ht="15" customHeight="1">
      <c r="C50" s="33" t="s">
        <v>619</v>
      </c>
      <c r="D50" s="254"/>
      <c r="E50" s="33"/>
      <c r="F50" s="33"/>
      <c r="G50" s="33"/>
      <c r="H50" s="33"/>
      <c r="I50" s="33"/>
      <c r="J50" s="33"/>
      <c r="K50" s="34"/>
      <c r="L50" s="90">
        <f xml:space="preserve"> SUM( '2.2 Generelle input'!L227:L241 )</f>
        <v>0</v>
      </c>
      <c r="M50" s="139">
        <f xml:space="preserve"> SUM( '2.2 Generelle input'!M227:M241 )</f>
        <v>0</v>
      </c>
      <c r="N50" s="33"/>
      <c r="O50" s="33"/>
      <c r="P50" s="33"/>
      <c r="Q50" s="33"/>
      <c r="R50" s="33"/>
      <c r="S50" s="33"/>
      <c r="T50" s="33"/>
      <c r="U50" s="33"/>
      <c r="V50" s="33"/>
      <c r="W50" s="33"/>
    </row>
    <row r="52" spans="3:23" ht="15" customHeight="1">
      <c r="C52" s="4" t="str">
        <f xml:space="preserve"> "Sektion: " &amp; '2.2 Generelle input'!B266</f>
        <v>Sektion: 8) Allokeringsmæssig differentiering (både forbrug, rådighed og indfødning)</v>
      </c>
    </row>
    <row r="53" spans="3:23" ht="15" customHeight="1">
      <c r="C53" s="33" t="s">
        <v>368</v>
      </c>
      <c r="D53" s="254"/>
      <c r="E53" s="33"/>
      <c r="F53" s="33"/>
      <c r="G53" s="33"/>
      <c r="H53" s="33"/>
      <c r="I53" s="33"/>
      <c r="J53" s="33"/>
      <c r="K53" s="34"/>
      <c r="L53" s="33"/>
      <c r="M53" s="139">
        <f xml:space="preserve"> SUM( '2.2 Generelle input'!M269:M284 )</f>
        <v>0</v>
      </c>
      <c r="N53" s="33"/>
      <c r="O53" s="33"/>
      <c r="P53" s="33"/>
      <c r="Q53" s="33"/>
      <c r="R53" s="33"/>
      <c r="S53" s="33"/>
      <c r="T53" s="33"/>
      <c r="U53" s="33"/>
      <c r="V53" s="33"/>
      <c r="W53" s="33"/>
    </row>
    <row r="55" spans="3:23" ht="15" customHeight="1">
      <c r="C55" s="4" t="str">
        <f xml:space="preserve"> "Sektion: " &amp; '2.2 Generelle input'!B288</f>
        <v>Sektion: 9) Vandfald for forbrug</v>
      </c>
    </row>
    <row r="56" spans="3:23" ht="15" customHeight="1">
      <c r="C56" s="15" t="s">
        <v>369</v>
      </c>
      <c r="D56" s="17"/>
      <c r="E56" s="15"/>
      <c r="F56" s="15"/>
      <c r="G56" s="15"/>
      <c r="H56" s="15"/>
      <c r="I56" s="15"/>
      <c r="J56" s="15"/>
      <c r="K56" s="19"/>
      <c r="L56" s="123"/>
      <c r="M56" s="142">
        <f xml:space="preserve"> SUM( '2.2 Generelle input'!M291:M308 )</f>
        <v>0</v>
      </c>
      <c r="N56" s="15"/>
      <c r="O56" s="15"/>
      <c r="P56" s="15"/>
      <c r="Q56" s="15"/>
      <c r="R56" s="15"/>
      <c r="S56" s="15"/>
      <c r="T56" s="15"/>
      <c r="U56" s="15"/>
      <c r="V56" s="15"/>
      <c r="W56" s="15"/>
    </row>
    <row r="57" spans="3:23" ht="15" customHeight="1">
      <c r="C57" s="27" t="s">
        <v>376</v>
      </c>
      <c r="D57" s="255"/>
      <c r="E57" s="27"/>
      <c r="F57" s="27"/>
      <c r="G57" s="27"/>
      <c r="H57" s="27"/>
      <c r="I57" s="27"/>
      <c r="J57" s="27"/>
      <c r="K57" s="32"/>
      <c r="L57" s="99">
        <f xml:space="preserve"> SUM( '2.2 Generelle input'!L311:L314 )</f>
        <v>0</v>
      </c>
      <c r="M57" s="151">
        <f xml:space="preserve"> SUM( '2.2 Generelle input'!M311:M314 )</f>
        <v>0</v>
      </c>
      <c r="N57" s="27"/>
      <c r="O57" s="27"/>
      <c r="P57" s="27"/>
      <c r="Q57" s="27"/>
      <c r="R57" s="27"/>
      <c r="S57" s="27"/>
      <c r="T57" s="27"/>
      <c r="U57" s="27"/>
      <c r="V57" s="27"/>
      <c r="W57" s="27"/>
    </row>
    <row r="59" spans="3:23" ht="15" customHeight="1">
      <c r="C59" s="4" t="str">
        <f xml:space="preserve"> "Sektion: " &amp; '2.2 Generelle input'!B318</f>
        <v>Sektion: 10) Vandfald for indfødning</v>
      </c>
    </row>
    <row r="60" spans="3:23" ht="15" customHeight="1">
      <c r="C60" s="15" t="s">
        <v>369</v>
      </c>
      <c r="D60" s="17"/>
      <c r="E60" s="15"/>
      <c r="F60" s="15"/>
      <c r="G60" s="15"/>
      <c r="H60" s="15"/>
      <c r="I60" s="15"/>
      <c r="J60" s="15"/>
      <c r="K60" s="19"/>
      <c r="L60" s="123"/>
      <c r="M60" s="142">
        <f xml:space="preserve"> SUM( '2.2 Generelle input'!M321:M335 )</f>
        <v>0</v>
      </c>
      <c r="N60" s="15"/>
      <c r="O60" s="15"/>
      <c r="P60" s="15"/>
      <c r="Q60" s="15"/>
      <c r="R60" s="15"/>
      <c r="S60" s="15"/>
      <c r="T60" s="15"/>
      <c r="U60" s="15"/>
      <c r="V60" s="15"/>
      <c r="W60" s="15"/>
    </row>
    <row r="61" spans="3:23" ht="15" customHeight="1">
      <c r="C61" s="27" t="s">
        <v>376</v>
      </c>
      <c r="D61" s="255"/>
      <c r="E61" s="27"/>
      <c r="F61" s="27"/>
      <c r="G61" s="27"/>
      <c r="H61" s="27"/>
      <c r="I61" s="27"/>
      <c r="J61" s="27"/>
      <c r="K61" s="32"/>
      <c r="L61" s="99">
        <f xml:space="preserve"> SUM( '2.2 Generelle input'!L338:L343 )</f>
        <v>0</v>
      </c>
      <c r="M61" s="151">
        <f xml:space="preserve"> SUM( '2.2 Generelle input'!M338:M343 )</f>
        <v>0</v>
      </c>
      <c r="N61" s="27"/>
      <c r="O61" s="27"/>
      <c r="P61" s="27"/>
      <c r="Q61" s="27"/>
      <c r="R61" s="27"/>
      <c r="S61" s="27"/>
      <c r="T61" s="27"/>
      <c r="U61" s="27"/>
      <c r="V61" s="27"/>
      <c r="W61" s="27"/>
    </row>
    <row r="63" spans="3:23" ht="15" customHeight="1">
      <c r="C63" s="4" t="str">
        <f xml:space="preserve"> "Sektion: " &amp; '2.2 Generelle input'!B347</f>
        <v>Sektion: 11) Tidsdifferentieret forbrugstariffer</v>
      </c>
    </row>
    <row r="64" spans="3:23" ht="15" customHeight="1">
      <c r="C64" s="15" t="s">
        <v>414</v>
      </c>
      <c r="D64" s="17"/>
      <c r="E64" s="15"/>
      <c r="F64" s="15"/>
      <c r="G64" s="15"/>
      <c r="H64" s="15"/>
      <c r="I64" s="15"/>
      <c r="J64" s="15"/>
      <c r="K64" s="19"/>
      <c r="L64" s="123">
        <f xml:space="preserve"> SUM( '2.2 Generelle input'!L350:L352,'2.2 Generelle input'!L355:L357 )</f>
        <v>0</v>
      </c>
      <c r="M64" s="142">
        <f xml:space="preserve"> SUM( '2.2 Generelle input'!M350:M352,'2.2 Generelle input'!M355:M357 )</f>
        <v>0</v>
      </c>
      <c r="N64" s="15"/>
      <c r="O64" s="15"/>
      <c r="P64" s="15"/>
      <c r="Q64" s="15"/>
      <c r="R64" s="15"/>
      <c r="S64" s="15"/>
      <c r="T64" s="15"/>
      <c r="U64" s="15"/>
      <c r="V64" s="15"/>
      <c r="W64" s="15"/>
    </row>
    <row r="65" spans="2:23" ht="15" customHeight="1">
      <c r="C65" s="27" t="s">
        <v>415</v>
      </c>
      <c r="D65" s="255"/>
      <c r="E65" s="27"/>
      <c r="F65" s="27"/>
      <c r="G65" s="27"/>
      <c r="H65" s="27"/>
      <c r="I65" s="27"/>
      <c r="J65" s="27"/>
      <c r="K65" s="32"/>
      <c r="L65" s="99"/>
      <c r="M65" s="151">
        <f xml:space="preserve"> SUM( '2.2 Generelle input'!M412:M435,'2.2 Generelle input'!M438:M461 )</f>
        <v>0</v>
      </c>
      <c r="N65" s="27"/>
      <c r="O65" s="27"/>
      <c r="P65" s="27"/>
      <c r="Q65" s="27"/>
      <c r="R65" s="27"/>
      <c r="S65" s="27"/>
      <c r="T65" s="27"/>
      <c r="U65" s="27"/>
      <c r="V65" s="27"/>
      <c r="W65" s="27"/>
    </row>
    <row r="69" spans="2:23" s="475" customFormat="1" ht="15" customHeight="1">
      <c r="B69" s="479" t="str">
        <f ca="1" xml:space="preserve"> COUNTA(B$10:B68) &amp; ") Oversigt over arket: "  &amp; Modeloverblik!E86</f>
        <v>3) Oversigt over arket: 2.3 Selskabsspecifikke input</v>
      </c>
      <c r="C69" s="477"/>
      <c r="D69" s="478"/>
      <c r="K69" s="472"/>
    </row>
    <row r="71" spans="2:23" ht="15" customHeight="1">
      <c r="C71" s="4" t="str">
        <f xml:space="preserve"> "Sektion: " &amp; '2.3 Selskabsspecifikke input'!B25</f>
        <v>Sektion: 2) Indtægtsramme</v>
      </c>
    </row>
    <row r="72" spans="2:23" ht="15" customHeight="1">
      <c r="C72" s="15" t="s">
        <v>380</v>
      </c>
      <c r="D72" s="17"/>
      <c r="E72" s="15"/>
      <c r="F72" s="15"/>
      <c r="G72" s="15"/>
      <c r="H72" s="15"/>
      <c r="I72" s="15"/>
      <c r="J72" s="15"/>
      <c r="K72" s="19"/>
      <c r="L72" s="123">
        <f xml:space="preserve"> '2.3 Selskabsspecifikke input'!L28</f>
        <v>0</v>
      </c>
      <c r="M72" s="142">
        <f xml:space="preserve"> '2.3 Selskabsspecifikke input'!M28</f>
        <v>1</v>
      </c>
      <c r="N72" s="15"/>
      <c r="O72" s="15"/>
      <c r="P72" s="15"/>
      <c r="Q72" s="15"/>
      <c r="R72" s="15"/>
      <c r="S72" s="15"/>
      <c r="T72" s="15"/>
      <c r="U72" s="15"/>
      <c r="V72" s="15"/>
      <c r="W72" s="15"/>
    </row>
    <row r="73" spans="2:23" ht="15" customHeight="1">
      <c r="C73" s="1" t="s">
        <v>381</v>
      </c>
      <c r="L73" s="85">
        <f xml:space="preserve"> '2.3 Selskabsspecifikke input'!L31</f>
        <v>0</v>
      </c>
      <c r="M73" s="119">
        <f xml:space="preserve"> '2.3 Selskabsspecifikke input'!M31</f>
        <v>1</v>
      </c>
    </row>
    <row r="74" spans="2:23" ht="15" customHeight="1">
      <c r="C74" s="1" t="s">
        <v>382</v>
      </c>
      <c r="L74" s="85">
        <f xml:space="preserve"> SUM( '2.3 Selskabsspecifikke input'!L34:L37 )</f>
        <v>0</v>
      </c>
      <c r="M74" s="119">
        <f xml:space="preserve"> SUM( '2.3 Selskabsspecifikke input'!M34:M37 )</f>
        <v>4</v>
      </c>
    </row>
    <row r="75" spans="2:23" ht="15" customHeight="1">
      <c r="C75" s="27" t="s">
        <v>383</v>
      </c>
      <c r="D75" s="255"/>
      <c r="E75" s="27"/>
      <c r="F75" s="27"/>
      <c r="G75" s="27"/>
      <c r="H75" s="27"/>
      <c r="I75" s="27"/>
      <c r="J75" s="27"/>
      <c r="K75" s="32"/>
      <c r="L75" s="99">
        <f xml:space="preserve"> SUM( '2.3 Selskabsspecifikke input'!L41:L44 )</f>
        <v>0</v>
      </c>
      <c r="M75" s="151">
        <f xml:space="preserve"> SUM( '2.3 Selskabsspecifikke input'!M41:M44 )</f>
        <v>4</v>
      </c>
      <c r="N75" s="27"/>
      <c r="O75" s="27"/>
      <c r="P75" s="27"/>
      <c r="Q75" s="27"/>
      <c r="R75" s="27"/>
      <c r="S75" s="27"/>
      <c r="T75" s="27"/>
      <c r="U75" s="27"/>
      <c r="V75" s="27"/>
      <c r="W75" s="27"/>
    </row>
    <row r="77" spans="2:23" ht="15" customHeight="1">
      <c r="C77" s="35" t="str">
        <f xml:space="preserve"> "Sektion: " &amp; '2.3 Selskabsspecifikke input'!B55</f>
        <v>Sektion: 3) Omkostninger til forbrug</v>
      </c>
      <c r="D77" s="255"/>
      <c r="E77" s="27"/>
      <c r="F77" s="27"/>
      <c r="G77" s="27"/>
      <c r="H77" s="27"/>
      <c r="I77" s="27"/>
      <c r="J77" s="27"/>
      <c r="K77" s="32"/>
      <c r="L77" s="27"/>
      <c r="M77" s="27"/>
      <c r="N77" s="27"/>
      <c r="O77" s="27"/>
      <c r="P77" s="27"/>
      <c r="Q77" s="27"/>
      <c r="R77" s="27"/>
      <c r="S77" s="27"/>
      <c r="T77" s="27"/>
      <c r="U77" s="27"/>
      <c r="V77" s="27"/>
      <c r="W77" s="27"/>
    </row>
    <row r="78" spans="2:23" ht="15" customHeight="1">
      <c r="C78" s="33" t="s">
        <v>384</v>
      </c>
      <c r="D78" s="254"/>
      <c r="E78" s="33"/>
      <c r="F78" s="33"/>
      <c r="G78" s="33"/>
      <c r="H78" s="33"/>
      <c r="I78" s="33"/>
      <c r="J78" s="33"/>
      <c r="K78" s="34"/>
      <c r="L78" s="90">
        <f xml:space="preserve"> SUM( '2.3 Selskabsspecifikke input'!L77:L92 )</f>
        <v>0</v>
      </c>
      <c r="M78" s="139">
        <f xml:space="preserve"> SUM( '2.3 Selskabsspecifikke input'!M77:M92 )</f>
        <v>0</v>
      </c>
      <c r="N78" s="33"/>
      <c r="O78" s="33"/>
      <c r="P78" s="33"/>
      <c r="Q78" s="33"/>
      <c r="R78" s="33"/>
      <c r="S78" s="33"/>
      <c r="T78" s="33"/>
      <c r="U78" s="33"/>
      <c r="V78" s="33"/>
      <c r="W78" s="33"/>
    </row>
    <row r="80" spans="2:23" ht="15" customHeight="1">
      <c r="C80" s="35" t="str">
        <f xml:space="preserve"> "Sektion: " &amp; '2.3 Selskabsspecifikke input'!B96</f>
        <v>Sektion: 4) Omkostninger til indfødning</v>
      </c>
      <c r="D80" s="255"/>
      <c r="E80" s="27"/>
      <c r="F80" s="27"/>
      <c r="G80" s="27"/>
      <c r="H80" s="27"/>
      <c r="I80" s="27"/>
      <c r="J80" s="27"/>
      <c r="K80" s="32"/>
      <c r="L80" s="27"/>
      <c r="M80" s="27"/>
      <c r="N80" s="27"/>
      <c r="O80" s="27"/>
      <c r="P80" s="27"/>
      <c r="Q80" s="27"/>
      <c r="R80" s="27"/>
      <c r="S80" s="27"/>
      <c r="T80" s="27"/>
      <c r="U80" s="27"/>
      <c r="V80" s="27"/>
      <c r="W80" s="27"/>
    </row>
    <row r="81" spans="1:23" ht="15" customHeight="1">
      <c r="C81" s="33" t="s">
        <v>384</v>
      </c>
      <c r="D81" s="254"/>
      <c r="E81" s="33"/>
      <c r="F81" s="33"/>
      <c r="G81" s="33"/>
      <c r="H81" s="33"/>
      <c r="I81" s="33"/>
      <c r="J81" s="33"/>
      <c r="K81" s="34"/>
      <c r="L81" s="90">
        <f xml:space="preserve"> SUM( '2.3 Selskabsspecifikke input'!L118:L133 )</f>
        <v>0</v>
      </c>
      <c r="M81" s="90">
        <f xml:space="preserve"> SUM( '2.3 Selskabsspecifikke input'!M118:M133 )</f>
        <v>0</v>
      </c>
      <c r="N81" s="33"/>
      <c r="O81" s="33"/>
      <c r="P81" s="33"/>
      <c r="Q81" s="33"/>
      <c r="R81" s="33"/>
      <c r="S81" s="33"/>
      <c r="T81" s="33"/>
      <c r="U81" s="33"/>
      <c r="V81" s="33"/>
      <c r="W81" s="33"/>
    </row>
    <row r="83" spans="1:23" ht="15" customHeight="1">
      <c r="C83" s="4" t="str">
        <f xml:space="preserve"> "Sektion: " &amp; '2.3 Selskabsspecifikke input'!B137</f>
        <v>Sektion: 5) Stamdata</v>
      </c>
    </row>
    <row r="84" spans="1:23" ht="15" customHeight="1">
      <c r="C84" s="15" t="s">
        <v>388</v>
      </c>
      <c r="D84" s="17"/>
      <c r="E84" s="15"/>
      <c r="F84" s="15"/>
      <c r="G84" s="15"/>
      <c r="H84" s="15"/>
      <c r="I84" s="15"/>
      <c r="J84" s="15"/>
      <c r="K84" s="19"/>
      <c r="L84" s="123">
        <f xml:space="preserve"> SUM( '2.3 Selskabsspecifikke input'!L140:L149 )</f>
        <v>0</v>
      </c>
      <c r="M84" s="142">
        <f xml:space="preserve"> SUM( '2.3 Selskabsspecifikke input'!M140:M149 )</f>
        <v>5</v>
      </c>
      <c r="N84" s="15"/>
      <c r="O84" s="15"/>
      <c r="P84" s="15"/>
      <c r="Q84" s="15"/>
      <c r="R84" s="15"/>
      <c r="S84" s="15"/>
      <c r="T84" s="15"/>
      <c r="U84" s="15"/>
      <c r="V84" s="15"/>
      <c r="W84" s="15"/>
    </row>
    <row r="85" spans="1:23" ht="15" customHeight="1">
      <c r="C85" s="1" t="s">
        <v>387</v>
      </c>
      <c r="L85" s="85">
        <f xml:space="preserve"> SUM( '2.3 Selskabsspecifikke input'!L153:L162 )</f>
        <v>0</v>
      </c>
      <c r="M85" s="119">
        <f xml:space="preserve"> SUM( '2.3 Selskabsspecifikke input'!M153:M162 )</f>
        <v>0</v>
      </c>
    </row>
    <row r="86" spans="1:23" ht="15" customHeight="1">
      <c r="C86" s="27" t="s">
        <v>389</v>
      </c>
      <c r="D86" s="255"/>
      <c r="E86" s="27"/>
      <c r="F86" s="27"/>
      <c r="G86" s="27"/>
      <c r="H86" s="27"/>
      <c r="I86" s="27"/>
      <c r="J86" s="27"/>
      <c r="K86" s="32"/>
      <c r="L86" s="99">
        <f xml:space="preserve"> '2.3 Selskabsspecifikke input'!L167</f>
        <v>0</v>
      </c>
      <c r="M86" s="151">
        <f xml:space="preserve"> '2.3 Selskabsspecifikke input'!M167</f>
        <v>1</v>
      </c>
      <c r="N86" s="27"/>
      <c r="O86" s="27"/>
      <c r="P86" s="27"/>
      <c r="Q86" s="27"/>
      <c r="R86" s="27"/>
      <c r="S86" s="27"/>
      <c r="T86" s="27"/>
      <c r="U86" s="27"/>
      <c r="V86" s="27"/>
      <c r="W86" s="27"/>
    </row>
    <row r="87" spans="1:23" ht="15" customHeight="1">
      <c r="C87" s="1"/>
      <c r="L87" s="85"/>
      <c r="M87" s="119"/>
    </row>
    <row r="88" spans="1:23" ht="15" customHeight="1">
      <c r="C88" s="35" t="str">
        <f xml:space="preserve"> "Sektion: " &amp; '2.3 Selskabsspecifikke input'!B171</f>
        <v>Sektion: 6) Forudsætninger vedrørende: 5.2 Øvrige omkostninger</v>
      </c>
      <c r="D88" s="255"/>
      <c r="E88" s="27"/>
      <c r="F88" s="27"/>
      <c r="G88" s="27"/>
      <c r="H88" s="27"/>
      <c r="I88" s="27"/>
      <c r="J88" s="27"/>
      <c r="K88" s="32"/>
      <c r="L88" s="27"/>
      <c r="M88" s="27"/>
      <c r="N88" s="27"/>
      <c r="O88" s="27"/>
      <c r="P88" s="27"/>
      <c r="Q88" s="27"/>
      <c r="R88" s="27"/>
      <c r="S88" s="27"/>
      <c r="T88" s="27"/>
      <c r="U88" s="27"/>
      <c r="V88" s="27"/>
      <c r="W88" s="27"/>
    </row>
    <row r="89" spans="1:23" ht="15" customHeight="1">
      <c r="C89" s="33" t="s">
        <v>416</v>
      </c>
      <c r="D89" s="254"/>
      <c r="E89" s="33"/>
      <c r="F89" s="33"/>
      <c r="G89" s="33"/>
      <c r="H89" s="33"/>
      <c r="I89" s="33"/>
      <c r="J89" s="33"/>
      <c r="K89" s="34"/>
      <c r="L89" s="90"/>
      <c r="M89" s="139">
        <f xml:space="preserve"> SUM( '2.3 Selskabsspecifikke input'!M176:M177 )</f>
        <v>1</v>
      </c>
      <c r="N89" s="33"/>
      <c r="O89" s="33"/>
      <c r="P89" s="33"/>
      <c r="Q89" s="33"/>
      <c r="R89" s="33"/>
      <c r="S89" s="33"/>
      <c r="T89" s="33"/>
      <c r="U89" s="33"/>
      <c r="V89" s="33"/>
      <c r="W89" s="33"/>
    </row>
    <row r="91" spans="1:23" ht="15" customHeight="1">
      <c r="C91" s="4" t="str">
        <f xml:space="preserve"> "Sektion: " &amp; '2.3 Selskabsspecifikke input'!B181</f>
        <v>Sektion: 7) Leverede mængder</v>
      </c>
    </row>
    <row r="92" spans="1:23" ht="15" customHeight="1">
      <c r="C92" s="15" t="s">
        <v>385</v>
      </c>
      <c r="D92" s="17"/>
      <c r="E92" s="15"/>
      <c r="F92" s="15"/>
      <c r="G92" s="15"/>
      <c r="H92" s="15"/>
      <c r="I92" s="15"/>
      <c r="J92" s="15"/>
      <c r="K92" s="19"/>
      <c r="L92" s="123">
        <f xml:space="preserve"> '2.3 Selskabsspecifikke input'!L184</f>
        <v>0</v>
      </c>
      <c r="M92" s="142">
        <f xml:space="preserve"> '2.3 Selskabsspecifikke input'!M184</f>
        <v>1</v>
      </c>
      <c r="N92" s="15"/>
      <c r="O92" s="15"/>
      <c r="P92" s="15"/>
      <c r="Q92" s="15"/>
      <c r="R92" s="15"/>
      <c r="S92" s="15"/>
      <c r="T92" s="15"/>
      <c r="U92" s="15"/>
      <c r="V92" s="15"/>
      <c r="W92" s="15"/>
    </row>
    <row r="93" spans="1:23" ht="15" customHeight="1">
      <c r="C93" s="27" t="s">
        <v>433</v>
      </c>
      <c r="D93" s="255"/>
      <c r="E93" s="27"/>
      <c r="F93" s="27"/>
      <c r="G93" s="27"/>
      <c r="H93" s="27"/>
      <c r="I93" s="27"/>
      <c r="J93" s="27"/>
      <c r="K93" s="32"/>
      <c r="L93" s="99">
        <f xml:space="preserve"> SUM( '2.3 Selskabsspecifikke input'!L190:L213,'2.3 Selskabsspecifikke input'!L217:L240,'2.3 Selskabsspecifikke input'!L244:L267,'2.3 Selskabsspecifikke input'!L271:L294 )</f>
        <v>0</v>
      </c>
      <c r="M93" s="151">
        <f xml:space="preserve"> SUM( '2.3 Selskabsspecifikke input'!M190:M213,'2.3 Selskabsspecifikke input'!M217:M240,'2.3 Selskabsspecifikke input'!M244:M267,'2.3 Selskabsspecifikke input'!M271:M294 )</f>
        <v>0</v>
      </c>
      <c r="N93" s="27"/>
      <c r="O93" s="27"/>
      <c r="P93" s="27"/>
      <c r="Q93" s="27"/>
      <c r="R93" s="27"/>
      <c r="S93" s="27"/>
      <c r="T93" s="27"/>
      <c r="U93" s="27"/>
      <c r="V93" s="27"/>
      <c r="W93" s="27"/>
    </row>
    <row r="95" spans="1:23" ht="15" customHeight="1">
      <c r="C95" s="4" t="str">
        <f xml:space="preserve"> "Sektion: " &amp; '2.3 Selskabsspecifikke input'!B302</f>
        <v>Sektion: 8) Indfødte mængder</v>
      </c>
    </row>
    <row r="96" spans="1:23" s="33" customFormat="1" ht="15" customHeight="1">
      <c r="A96" s="1"/>
      <c r="B96" s="1"/>
      <c r="C96" s="33" t="s">
        <v>627</v>
      </c>
      <c r="D96" s="254"/>
      <c r="K96" s="34"/>
      <c r="L96" s="90">
        <f xml:space="preserve"> '2.3 Selskabsspecifikke input'!L306</f>
        <v>0</v>
      </c>
      <c r="M96" s="139">
        <f xml:space="preserve"> '2.3 Selskabsspecifikke input'!M306</f>
        <v>1</v>
      </c>
    </row>
    <row r="98" spans="1:23" ht="15" customHeight="1">
      <c r="C98" s="4" t="str">
        <f xml:space="preserve"> "Sektion: " &amp; '2.3 Selskabsspecifikke input'!B314</f>
        <v>Sektion: 9) Installationer</v>
      </c>
    </row>
    <row r="99" spans="1:23" ht="15" customHeight="1">
      <c r="C99" s="15" t="s">
        <v>386</v>
      </c>
      <c r="D99" s="17"/>
      <c r="E99" s="15"/>
      <c r="F99" s="15"/>
      <c r="G99" s="15"/>
      <c r="H99" s="15"/>
      <c r="I99" s="15"/>
      <c r="J99" s="15"/>
      <c r="K99" s="19"/>
      <c r="L99" s="123">
        <f xml:space="preserve"> SUM( '2.3 Selskabsspecifikke input'!L317:L318 )</f>
        <v>0</v>
      </c>
      <c r="M99" s="142">
        <f xml:space="preserve"> SUM( '2.3 Selskabsspecifikke input'!M317:M318 )</f>
        <v>2</v>
      </c>
      <c r="N99" s="15"/>
      <c r="O99" s="15"/>
      <c r="P99" s="15"/>
      <c r="Q99" s="15"/>
      <c r="R99" s="15"/>
      <c r="S99" s="15"/>
      <c r="T99" s="15"/>
      <c r="U99" s="15"/>
      <c r="V99" s="15"/>
      <c r="W99" s="15"/>
    </row>
    <row r="100" spans="1:23" ht="15" customHeight="1">
      <c r="C100" s="27" t="s">
        <v>425</v>
      </c>
      <c r="D100" s="255"/>
      <c r="E100" s="27"/>
      <c r="F100" s="27"/>
      <c r="G100" s="27"/>
      <c r="H100" s="27"/>
      <c r="I100" s="27"/>
      <c r="J100" s="27"/>
      <c r="K100" s="32"/>
      <c r="L100" s="99">
        <f xml:space="preserve"> SUM( '2.3 Selskabsspecifikke input'!L322:L326 )</f>
        <v>0</v>
      </c>
      <c r="M100" s="151">
        <f xml:space="preserve"> SUM( '2.3 Selskabsspecifikke input'!M322:M326 )</f>
        <v>4</v>
      </c>
      <c r="N100" s="27"/>
      <c r="O100" s="27"/>
      <c r="P100" s="27"/>
      <c r="Q100" s="27"/>
      <c r="R100" s="27"/>
      <c r="S100" s="27"/>
      <c r="T100" s="27"/>
      <c r="U100" s="27"/>
      <c r="V100" s="27"/>
      <c r="W100" s="27"/>
    </row>
    <row r="102" spans="1:23" ht="15" customHeight="1">
      <c r="C102" s="4" t="str">
        <f xml:space="preserve"> "Sektion: " &amp; '2.3 Selskabsspecifikke input'!B331</f>
        <v>Sektion: 10) Eksisterende tarifblad til brug for varslingsoutput</v>
      </c>
    </row>
    <row r="103" spans="1:23" s="15" customFormat="1" ht="15" customHeight="1">
      <c r="A103" s="1"/>
      <c r="B103" s="1"/>
      <c r="C103" s="15" t="s">
        <v>374</v>
      </c>
      <c r="D103" s="17"/>
      <c r="K103" s="19"/>
      <c r="L103" s="123">
        <f xml:space="preserve"> SUM( '2.3 Selskabsspecifikke input'!L334:L336,'2.3 Selskabsspecifikke input'!L339:L341 )</f>
        <v>0</v>
      </c>
      <c r="M103" s="142">
        <f xml:space="preserve"> SUM( '2.3 Selskabsspecifikke input'!M334:M336,'2.3 Selskabsspecifikke input'!M339:M341 )</f>
        <v>6</v>
      </c>
    </row>
    <row r="104" spans="1:23" ht="15" customHeight="1">
      <c r="C104" s="1" t="s">
        <v>375</v>
      </c>
      <c r="L104" s="85">
        <f xml:space="preserve"> '2.3 Selskabsspecifikke input'!L347</f>
        <v>0</v>
      </c>
      <c r="M104" s="119">
        <f xml:space="preserve"> '2.3 Selskabsspecifikke input'!M347</f>
        <v>1</v>
      </c>
    </row>
    <row r="105" spans="1:23" ht="15" customHeight="1">
      <c r="C105" s="1" t="s">
        <v>390</v>
      </c>
      <c r="L105" s="85">
        <f xml:space="preserve"> '2.3 Selskabsspecifikke input'!L350</f>
        <v>0</v>
      </c>
      <c r="M105" s="119">
        <f xml:space="preserve"> '2.3 Selskabsspecifikke input'!M350</f>
        <v>1</v>
      </c>
    </row>
    <row r="106" spans="1:23" ht="15" customHeight="1">
      <c r="C106" s="1" t="s">
        <v>391</v>
      </c>
      <c r="L106" s="85">
        <f xml:space="preserve"> SUM( '2.3 Selskabsspecifikke input'!L353:L356 )</f>
        <v>0</v>
      </c>
      <c r="M106" s="119">
        <f xml:space="preserve"> SUM( '2.3 Selskabsspecifikke input'!M353:M356 )</f>
        <v>4</v>
      </c>
    </row>
    <row r="107" spans="1:23" s="27" customFormat="1" ht="15" customHeight="1">
      <c r="A107" s="1"/>
      <c r="B107" s="1"/>
      <c r="C107" s="27" t="s">
        <v>619</v>
      </c>
      <c r="D107" s="255"/>
      <c r="K107" s="32"/>
      <c r="L107" s="151">
        <f xml:space="preserve"> SUM( '2.3 Selskabsspecifikke input'!L344 )</f>
        <v>0</v>
      </c>
      <c r="M107" s="151">
        <f xml:space="preserve"> SUM( '2.3 Selskabsspecifikke input'!M344 )</f>
        <v>1</v>
      </c>
    </row>
    <row r="108" spans="1:23" ht="15" customHeight="1">
      <c r="C108" s="1"/>
      <c r="L108" s="85"/>
      <c r="M108" s="119"/>
    </row>
    <row r="109" spans="1:23" ht="15" customHeight="1">
      <c r="C109" s="1"/>
      <c r="L109" s="85"/>
      <c r="M109" s="119"/>
    </row>
    <row r="111" spans="1:23" s="475" customFormat="1" ht="15" customHeight="1">
      <c r="B111" s="479" t="str">
        <f ca="1" xml:space="preserve"> COUNTA(B$10:B110) &amp; ") Oversigt over arket: "  &amp; Modeloverblik!E89</f>
        <v>4) Oversigt over arket: 3.1 Opsplitning af forbrug</v>
      </c>
      <c r="C111" s="477"/>
      <c r="D111" s="478"/>
      <c r="K111" s="472"/>
    </row>
    <row r="113" spans="3:23" ht="15" customHeight="1">
      <c r="C113" s="35" t="str">
        <f xml:space="preserve"> "Sektion: " &amp; '3.1 Opsplitning af forbrug'!B12</f>
        <v>Sektion: 1) Tariferingsgrundlag og forrentning</v>
      </c>
      <c r="D113" s="255"/>
      <c r="E113" s="27"/>
      <c r="F113" s="27"/>
      <c r="G113" s="27"/>
      <c r="H113" s="27"/>
      <c r="I113" s="27"/>
      <c r="J113" s="27"/>
      <c r="K113" s="32"/>
      <c r="L113" s="27"/>
      <c r="M113" s="27"/>
      <c r="N113" s="27"/>
      <c r="O113" s="27"/>
      <c r="P113" s="27"/>
      <c r="Q113" s="27"/>
      <c r="R113" s="27"/>
      <c r="S113" s="27"/>
      <c r="T113" s="27"/>
      <c r="U113" s="27"/>
      <c r="V113" s="27"/>
      <c r="W113" s="27"/>
    </row>
    <row r="114" spans="3:23" ht="15" customHeight="1">
      <c r="C114" s="1" t="s">
        <v>482</v>
      </c>
      <c r="L114" s="85">
        <f xml:space="preserve"> '3.1 Opsplitning af forbrug'!L18</f>
        <v>0</v>
      </c>
    </row>
    <row r="115" spans="3:23" ht="15" customHeight="1">
      <c r="C115" s="1" t="s">
        <v>417</v>
      </c>
      <c r="L115" s="85"/>
      <c r="M115" s="119">
        <f xml:space="preserve"> '3.1 Opsplitning af forbrug'!M24</f>
        <v>0</v>
      </c>
    </row>
    <row r="116" spans="3:23" ht="15" customHeight="1">
      <c r="C116" s="27" t="s">
        <v>418</v>
      </c>
      <c r="D116" s="255"/>
      <c r="E116" s="27"/>
      <c r="F116" s="27"/>
      <c r="G116" s="27"/>
      <c r="H116" s="27"/>
      <c r="I116" s="27"/>
      <c r="J116" s="27"/>
      <c r="K116" s="32"/>
      <c r="L116" s="99"/>
      <c r="M116" s="151">
        <f xml:space="preserve"> '3.1 Opsplitning af forbrug'!M26</f>
        <v>0</v>
      </c>
      <c r="N116" s="27"/>
      <c r="O116" s="27"/>
      <c r="P116" s="27"/>
      <c r="Q116" s="27"/>
      <c r="R116" s="27"/>
      <c r="S116" s="27"/>
      <c r="T116" s="27"/>
      <c r="U116" s="27"/>
      <c r="V116" s="27"/>
      <c r="W116" s="27"/>
    </row>
    <row r="118" spans="3:23" ht="15" customHeight="1">
      <c r="C118" s="4" t="str">
        <f xml:space="preserve"> "Sektion: " &amp; '3.1 Opsplitning af forbrug'!B35</f>
        <v>Sektion: 2) Fordelingsnøgler</v>
      </c>
    </row>
    <row r="119" spans="3:23" ht="15" customHeight="1">
      <c r="C119" s="15" t="s">
        <v>426</v>
      </c>
      <c r="D119" s="17"/>
      <c r="E119" s="15"/>
      <c r="F119" s="15"/>
      <c r="G119" s="15"/>
      <c r="H119" s="15"/>
      <c r="I119" s="15"/>
      <c r="J119" s="15"/>
      <c r="K119" s="19"/>
      <c r="L119" s="123">
        <f xml:space="preserve"> '3.1 Opsplitning af forbrug'!L286</f>
        <v>0</v>
      </c>
      <c r="M119" s="15"/>
      <c r="N119" s="15"/>
      <c r="O119" s="15"/>
      <c r="P119" s="15"/>
      <c r="Q119" s="15"/>
      <c r="R119" s="15"/>
      <c r="S119" s="15"/>
      <c r="T119" s="15"/>
      <c r="U119" s="15"/>
      <c r="V119" s="15"/>
      <c r="W119" s="15"/>
    </row>
    <row r="120" spans="3:23" ht="15" customHeight="1">
      <c r="C120" s="27" t="s">
        <v>392</v>
      </c>
      <c r="D120" s="255"/>
      <c r="E120" s="27"/>
      <c r="F120" s="27"/>
      <c r="G120" s="27"/>
      <c r="H120" s="27"/>
      <c r="I120" s="27"/>
      <c r="J120" s="27"/>
      <c r="K120" s="32"/>
      <c r="L120" s="99">
        <f xml:space="preserve"> SUM( '3.1 Opsplitning af forbrug'!L77:L84 )</f>
        <v>0</v>
      </c>
      <c r="M120" s="27"/>
      <c r="N120" s="27"/>
      <c r="O120" s="27"/>
      <c r="P120" s="27"/>
      <c r="Q120" s="27"/>
      <c r="R120" s="27"/>
      <c r="S120" s="27"/>
      <c r="T120" s="27"/>
      <c r="U120" s="27"/>
      <c r="V120" s="27"/>
      <c r="W120" s="27"/>
    </row>
    <row r="121" spans="3:23" ht="15" customHeight="1">
      <c r="C121" s="1"/>
      <c r="L121" s="85"/>
    </row>
    <row r="122" spans="3:23" ht="15" customHeight="1">
      <c r="C122" s="4" t="str">
        <f xml:space="preserve"> "Sektion: " &amp; '3.1 Opsplitning af forbrug'!B88</f>
        <v>Sektion: 3) Fordelingsnøgler, korrigeret for antal installationer</v>
      </c>
    </row>
    <row r="123" spans="3:23" ht="15" customHeight="1">
      <c r="C123" s="15" t="s">
        <v>392</v>
      </c>
      <c r="D123" s="17"/>
      <c r="E123" s="15"/>
      <c r="F123" s="15"/>
      <c r="G123" s="15"/>
      <c r="H123" s="15"/>
      <c r="I123" s="15"/>
      <c r="J123" s="15"/>
      <c r="K123" s="19"/>
      <c r="L123" s="123">
        <f xml:space="preserve"> SUM( '3.1 Opsplitning af forbrug'!L199:L213 )</f>
        <v>0</v>
      </c>
      <c r="M123" s="142"/>
      <c r="N123" s="15"/>
      <c r="O123" s="15"/>
      <c r="P123" s="15"/>
      <c r="Q123" s="15"/>
      <c r="R123" s="15"/>
      <c r="S123" s="15"/>
      <c r="T123" s="15"/>
      <c r="U123" s="15"/>
      <c r="V123" s="15"/>
      <c r="W123" s="15"/>
    </row>
    <row r="124" spans="3:23" ht="15" customHeight="1">
      <c r="C124" s="1" t="s">
        <v>392</v>
      </c>
      <c r="L124" s="85">
        <f xml:space="preserve"> SUM( '3.1 Opsplitning af forbrug'!L216:L230 )</f>
        <v>0</v>
      </c>
      <c r="M124" s="119"/>
    </row>
    <row r="125" spans="3:23" ht="15" customHeight="1">
      <c r="C125" s="1" t="s">
        <v>392</v>
      </c>
      <c r="L125" s="85">
        <f xml:space="preserve"> SUM( '3.1 Opsplitning af forbrug'!L233:L247 )</f>
        <v>0</v>
      </c>
    </row>
    <row r="126" spans="3:23" ht="15" customHeight="1">
      <c r="C126" s="1" t="s">
        <v>392</v>
      </c>
      <c r="L126" s="85">
        <f xml:space="preserve"> SUM( '3.1 Opsplitning af forbrug'!L267:L282 )</f>
        <v>0</v>
      </c>
    </row>
    <row r="127" spans="3:23" ht="15" customHeight="1">
      <c r="C127" s="27" t="s">
        <v>483</v>
      </c>
      <c r="D127" s="255"/>
      <c r="E127" s="27"/>
      <c r="F127" s="27"/>
      <c r="G127" s="27"/>
      <c r="H127" s="27"/>
      <c r="I127" s="27"/>
      <c r="J127" s="27"/>
      <c r="K127" s="32"/>
      <c r="L127" s="99">
        <f xml:space="preserve"> SUM( '3.1 Opsplitning af forbrug'!L285:L286 )</f>
        <v>0</v>
      </c>
      <c r="M127" s="27"/>
      <c r="N127" s="27"/>
      <c r="O127" s="27"/>
      <c r="P127" s="27"/>
      <c r="Q127" s="27"/>
      <c r="R127" s="27"/>
      <c r="S127" s="27"/>
      <c r="T127" s="27"/>
      <c r="U127" s="27"/>
      <c r="V127" s="27"/>
      <c r="W127" s="27"/>
    </row>
    <row r="128" spans="3:23" ht="15" customHeight="1">
      <c r="C128" s="1"/>
      <c r="L128" s="85"/>
    </row>
    <row r="129" spans="3:23" ht="15" customHeight="1">
      <c r="C129" s="4" t="str">
        <f xml:space="preserve"> "Sektion: " &amp; '3.1 Opsplitning af forbrug'!B290</f>
        <v>Sektion: 4) Fordeling af forrentning</v>
      </c>
    </row>
    <row r="130" spans="3:23" ht="15" customHeight="1">
      <c r="C130" s="262" t="s">
        <v>393</v>
      </c>
      <c r="D130" s="17"/>
      <c r="E130" s="15"/>
      <c r="F130" s="15"/>
      <c r="G130" s="15"/>
      <c r="H130" s="15"/>
      <c r="I130" s="15"/>
      <c r="J130" s="15"/>
      <c r="K130" s="19"/>
      <c r="L130" s="123">
        <f xml:space="preserve"> '3.1 Opsplitning af forbrug'!L296</f>
        <v>0</v>
      </c>
      <c r="M130" s="142"/>
      <c r="N130" s="15"/>
      <c r="O130" s="15"/>
      <c r="P130" s="15"/>
      <c r="Q130" s="15"/>
      <c r="R130" s="15"/>
      <c r="S130" s="15"/>
      <c r="T130" s="15"/>
      <c r="U130" s="15"/>
      <c r="V130" s="15"/>
      <c r="W130" s="15"/>
    </row>
    <row r="131" spans="3:23" ht="15" customHeight="1">
      <c r="C131" s="1" t="s">
        <v>397</v>
      </c>
      <c r="L131" s="85">
        <f xml:space="preserve"> '3.1 Opsplitning af forbrug'!L302</f>
        <v>0</v>
      </c>
      <c r="M131" s="119"/>
    </row>
    <row r="132" spans="3:23" ht="15" customHeight="1">
      <c r="C132" s="1" t="s">
        <v>398</v>
      </c>
      <c r="L132" s="85">
        <f xml:space="preserve"> SUM( '3.1 Opsplitning af forbrug'!L305:L308 )</f>
        <v>0</v>
      </c>
    </row>
    <row r="133" spans="3:23" ht="15" customHeight="1">
      <c r="C133" s="1" t="s">
        <v>453</v>
      </c>
      <c r="L133" s="85">
        <f xml:space="preserve"> '3.1 Opsplitning af forbrug'!L313</f>
        <v>0</v>
      </c>
    </row>
    <row r="134" spans="3:23" ht="15" customHeight="1">
      <c r="C134" s="1" t="s">
        <v>454</v>
      </c>
      <c r="L134" s="85">
        <f xml:space="preserve"> '3.1 Opsplitning af forbrug'!L321</f>
        <v>0</v>
      </c>
    </row>
    <row r="135" spans="3:23" ht="15" customHeight="1">
      <c r="C135" s="1" t="s">
        <v>419</v>
      </c>
      <c r="L135" s="85">
        <f xml:space="preserve"> SUM( '3.1 Opsplitning af forbrug'!L324:L327 )</f>
        <v>0</v>
      </c>
    </row>
    <row r="136" spans="3:23" ht="15" customHeight="1">
      <c r="C136" s="27" t="s">
        <v>399</v>
      </c>
      <c r="D136" s="255"/>
      <c r="E136" s="27"/>
      <c r="F136" s="27"/>
      <c r="G136" s="27"/>
      <c r="H136" s="27"/>
      <c r="I136" s="27"/>
      <c r="J136" s="27"/>
      <c r="K136" s="32"/>
      <c r="L136" s="99"/>
      <c r="M136" s="151">
        <f xml:space="preserve"> SUM( '3.1 Opsplitning af forbrug'!M324:M326 )</f>
        <v>0</v>
      </c>
      <c r="N136" s="27"/>
      <c r="O136" s="27"/>
      <c r="P136" s="27"/>
      <c r="Q136" s="27"/>
      <c r="R136" s="27"/>
      <c r="S136" s="27"/>
      <c r="T136" s="27"/>
      <c r="U136" s="27"/>
      <c r="V136" s="27"/>
      <c r="W136" s="27"/>
    </row>
    <row r="138" spans="3:23" ht="15" customHeight="1">
      <c r="C138" s="4" t="str">
        <f xml:space="preserve"> "Sektion: " &amp; '3.1 Opsplitning af forbrug'!B331</f>
        <v>Sektion: 5) Fordeling af omkostninger</v>
      </c>
    </row>
    <row r="139" spans="3:23" ht="15" customHeight="1">
      <c r="C139" s="15" t="s">
        <v>400</v>
      </c>
      <c r="D139" s="17"/>
      <c r="E139" s="15"/>
      <c r="F139" s="15"/>
      <c r="G139" s="15"/>
      <c r="H139" s="15"/>
      <c r="I139" s="15"/>
      <c r="J139" s="15"/>
      <c r="K139" s="19"/>
      <c r="L139" s="123">
        <f xml:space="preserve"> SUM( '3.1 Opsplitning af forbrug'!L369:L383 )</f>
        <v>0</v>
      </c>
      <c r="M139" s="142"/>
      <c r="N139" s="15"/>
      <c r="O139" s="15"/>
      <c r="P139" s="15"/>
      <c r="Q139" s="15"/>
      <c r="R139" s="15"/>
      <c r="S139" s="15"/>
      <c r="T139" s="15"/>
      <c r="U139" s="15"/>
      <c r="V139" s="15"/>
      <c r="W139" s="15"/>
    </row>
    <row r="140" spans="3:23" ht="15" customHeight="1">
      <c r="C140" s="27" t="s">
        <v>427</v>
      </c>
      <c r="D140" s="255"/>
      <c r="E140" s="27"/>
      <c r="F140" s="27"/>
      <c r="G140" s="27"/>
      <c r="H140" s="27"/>
      <c r="I140" s="27"/>
      <c r="J140" s="27"/>
      <c r="K140" s="32"/>
      <c r="L140" s="99">
        <f xml:space="preserve"> SUM( '3.1 Opsplitning af forbrug'!L506:L521 )</f>
        <v>0</v>
      </c>
      <c r="M140" s="27"/>
      <c r="N140" s="27"/>
      <c r="O140" s="27"/>
      <c r="P140" s="27"/>
      <c r="Q140" s="27"/>
      <c r="R140" s="27"/>
      <c r="S140" s="27"/>
      <c r="T140" s="27"/>
      <c r="U140" s="27"/>
      <c r="V140" s="27"/>
      <c r="W140" s="27"/>
    </row>
    <row r="142" spans="3:23" ht="15" customHeight="1">
      <c r="C142" s="4" t="str">
        <f xml:space="preserve"> "Sektion: " &amp; '3.1 Opsplitning af forbrug'!B525</f>
        <v>Sektion: 6) Tariferingsgrundlag fordelt til tarif/effekt og abonnement</v>
      </c>
    </row>
    <row r="143" spans="3:23" ht="15" customHeight="1">
      <c r="C143" s="15" t="s">
        <v>401</v>
      </c>
      <c r="D143" s="17"/>
      <c r="E143" s="15"/>
      <c r="F143" s="15"/>
      <c r="G143" s="15"/>
      <c r="H143" s="15"/>
      <c r="I143" s="15"/>
      <c r="J143" s="15"/>
      <c r="K143" s="19"/>
      <c r="L143" s="123">
        <f xml:space="preserve"> '3.1 Opsplitning af forbrug'!L621</f>
        <v>0</v>
      </c>
      <c r="M143" s="142"/>
      <c r="N143" s="15"/>
      <c r="O143" s="15"/>
      <c r="P143" s="15"/>
      <c r="Q143" s="15"/>
      <c r="R143" s="15"/>
      <c r="S143" s="15"/>
      <c r="T143" s="15"/>
      <c r="U143" s="15"/>
      <c r="V143" s="15"/>
      <c r="W143" s="15"/>
    </row>
    <row r="144" spans="3:23" ht="15" customHeight="1">
      <c r="C144" s="27" t="s">
        <v>402</v>
      </c>
      <c r="D144" s="255"/>
      <c r="E144" s="27"/>
      <c r="F144" s="27"/>
      <c r="G144" s="27"/>
      <c r="H144" s="27"/>
      <c r="I144" s="27"/>
      <c r="J144" s="27"/>
      <c r="K144" s="32"/>
      <c r="L144" s="99">
        <f xml:space="preserve"> '3.1 Opsplitning af forbrug'!L627</f>
        <v>0</v>
      </c>
      <c r="M144" s="27"/>
      <c r="N144" s="27"/>
      <c r="O144" s="27"/>
      <c r="P144" s="27"/>
      <c r="Q144" s="27"/>
      <c r="R144" s="27"/>
      <c r="S144" s="27"/>
      <c r="T144" s="27"/>
      <c r="U144" s="27"/>
      <c r="V144" s="27"/>
      <c r="W144" s="27"/>
    </row>
    <row r="148" spans="2:23" s="475" customFormat="1" ht="15" customHeight="1">
      <c r="B148" s="479" t="str">
        <f ca="1" xml:space="preserve"> COUNTA(B$10:B140) &amp; ") Oversigt over arket: "  &amp; Modeloverblik!E90</f>
        <v>5) Oversigt over arket: 3.2 Abonnement</v>
      </c>
      <c r="C148" s="477"/>
      <c r="D148" s="478"/>
      <c r="K148" s="472"/>
    </row>
    <row r="150" spans="2:23" ht="15" customHeight="1">
      <c r="C150" s="4" t="str">
        <f xml:space="preserve"> "Sektion: " &amp; '3.2 Abonnement'!B96</f>
        <v>Sektion: 2) Byggeklodser</v>
      </c>
    </row>
    <row r="151" spans="2:23" ht="15" customHeight="1">
      <c r="C151" s="266" t="s">
        <v>428</v>
      </c>
      <c r="D151" s="254"/>
      <c r="E151" s="33"/>
      <c r="F151" s="33"/>
      <c r="G151" s="33"/>
      <c r="H151" s="33"/>
      <c r="I151" s="33"/>
      <c r="J151" s="33"/>
      <c r="K151" s="34"/>
      <c r="L151" s="90">
        <f xml:space="preserve"> '3.2 Abonnement'!L125</f>
        <v>0</v>
      </c>
      <c r="M151" s="139"/>
      <c r="N151" s="33"/>
      <c r="O151" s="33"/>
      <c r="P151" s="33"/>
      <c r="Q151" s="33"/>
      <c r="R151" s="33"/>
      <c r="S151" s="33"/>
      <c r="T151" s="33"/>
      <c r="U151" s="33"/>
      <c r="V151" s="33"/>
      <c r="W151" s="33"/>
    </row>
    <row r="153" spans="2:23" ht="15" customHeight="1">
      <c r="C153" s="4" t="str">
        <f xml:space="preserve"> "Sektion: " &amp; '3.2 Abonnement'!B149</f>
        <v>Sektion: 3) Abonnnementspris</v>
      </c>
    </row>
    <row r="154" spans="2:23" ht="15" customHeight="1">
      <c r="C154" s="267" t="s">
        <v>403</v>
      </c>
      <c r="D154" s="254"/>
      <c r="E154" s="33"/>
      <c r="F154" s="33"/>
      <c r="G154" s="33"/>
      <c r="H154" s="33"/>
      <c r="I154" s="33"/>
      <c r="J154" s="33"/>
      <c r="K154" s="34"/>
      <c r="L154" s="90">
        <f xml:space="preserve"> '3.2 Abonnement'!L162</f>
        <v>0</v>
      </c>
      <c r="M154" s="139"/>
      <c r="N154" s="33"/>
      <c r="O154" s="33"/>
      <c r="P154" s="33"/>
      <c r="Q154" s="33"/>
      <c r="R154" s="33"/>
      <c r="S154" s="33"/>
      <c r="T154" s="33"/>
      <c r="U154" s="33"/>
      <c r="V154" s="33"/>
      <c r="W154" s="33"/>
    </row>
    <row r="158" spans="2:23" s="475" customFormat="1" ht="15" customHeight="1">
      <c r="B158" s="479" t="str">
        <f ca="1" xml:space="preserve"> COUNTA(B$10:B157) &amp; ") Oversigt over arket: "  &amp; Modeloverblik!E91</f>
        <v>6) Oversigt over arket: 3.3 Forbrugstariffer og effekt</v>
      </c>
      <c r="C158" s="477"/>
      <c r="D158" s="478"/>
      <c r="K158" s="472"/>
    </row>
    <row r="160" spans="2:23" ht="15" customHeight="1">
      <c r="C160" s="4" t="str">
        <f xml:space="preserve"> "Sektion: " &amp; '3.3 Forbrugstariffer og effekt'!B12</f>
        <v>Sektion: 1) Allokeringsmæssig differentiering</v>
      </c>
    </row>
    <row r="161" spans="3:23" ht="15" customHeight="1">
      <c r="C161" s="262" t="s">
        <v>404</v>
      </c>
      <c r="D161" s="17"/>
      <c r="E161" s="15"/>
      <c r="F161" s="15"/>
      <c r="G161" s="15"/>
      <c r="H161" s="15"/>
      <c r="I161" s="15"/>
      <c r="J161" s="15"/>
      <c r="K161" s="19"/>
      <c r="L161" s="123">
        <f xml:space="preserve"> '3.3 Forbrugstariffer og effekt'!L51</f>
        <v>0</v>
      </c>
      <c r="M161" s="142"/>
      <c r="N161" s="15"/>
      <c r="O161" s="15"/>
      <c r="P161" s="15"/>
      <c r="Q161" s="15"/>
      <c r="R161" s="15"/>
      <c r="S161" s="15"/>
      <c r="T161" s="15"/>
      <c r="U161" s="15"/>
      <c r="V161" s="15"/>
      <c r="W161" s="15"/>
    </row>
    <row r="162" spans="3:23" ht="15" customHeight="1">
      <c r="C162" s="1" t="s">
        <v>405</v>
      </c>
      <c r="L162" s="85">
        <f xml:space="preserve"> SUM( '3.3 Forbrugstariffer og effekt'!L113:L127 )</f>
        <v>0</v>
      </c>
    </row>
    <row r="163" spans="3:23" ht="15" customHeight="1">
      <c r="C163" s="1" t="s">
        <v>420</v>
      </c>
      <c r="L163" s="85">
        <f xml:space="preserve"> SUM( '3.3 Forbrugstariffer og effekt'!L130,'3.3 Forbrugstariffer og effekt'!L138,'3.3 Forbrugstariffer og effekt'!L142 )</f>
        <v>0</v>
      </c>
    </row>
    <row r="164" spans="3:23" ht="15" customHeight="1">
      <c r="C164" s="1" t="s">
        <v>420</v>
      </c>
      <c r="L164" s="85">
        <f xml:space="preserve"> SUM( '3.3 Forbrugstariffer og effekt'!L148,'3.3 Forbrugstariffer og effekt'!L156,'3.3 Forbrugstariffer og effekt'!L160,'3.3 Forbrugstariffer og effekt'!L163 )</f>
        <v>0</v>
      </c>
    </row>
    <row r="165" spans="3:23" ht="15" customHeight="1">
      <c r="C165" s="27" t="s">
        <v>429</v>
      </c>
      <c r="D165" s="255"/>
      <c r="E165" s="27"/>
      <c r="F165" s="27"/>
      <c r="G165" s="27"/>
      <c r="H165" s="27"/>
      <c r="I165" s="27"/>
      <c r="J165" s="27"/>
      <c r="K165" s="32"/>
      <c r="L165" s="99">
        <f xml:space="preserve"> '3.3 Forbrugstariffer og effekt'!L166</f>
        <v>0</v>
      </c>
      <c r="M165" s="27"/>
      <c r="N165" s="27"/>
      <c r="O165" s="27"/>
      <c r="P165" s="27"/>
      <c r="Q165" s="27"/>
      <c r="R165" s="27"/>
      <c r="S165" s="27"/>
      <c r="T165" s="27"/>
      <c r="U165" s="27"/>
      <c r="V165" s="27"/>
      <c r="W165" s="27"/>
    </row>
    <row r="166" spans="3:23" ht="15" customHeight="1">
      <c r="C166" s="1"/>
      <c r="L166" s="85"/>
    </row>
    <row r="167" spans="3:23" ht="15" customHeight="1">
      <c r="C167" s="4" t="str">
        <f xml:space="preserve"> "Sektion: " &amp; '3.3 Forbrugstariffer og effekt'!B170</f>
        <v>Sektion: 2) Vandfald</v>
      </c>
    </row>
    <row r="168" spans="3:23" ht="15" customHeight="1">
      <c r="C168" s="262" t="s">
        <v>406</v>
      </c>
      <c r="D168" s="17"/>
      <c r="E168" s="15"/>
      <c r="F168" s="15"/>
      <c r="G168" s="15"/>
      <c r="H168" s="15"/>
      <c r="I168" s="15"/>
      <c r="J168" s="15"/>
      <c r="K168" s="19"/>
      <c r="L168" s="123">
        <f xml:space="preserve"> SUM( '3.3 Forbrugstariffer og effekt'!L279:L296, '3.3 Forbrugstariffer og effekt'!L299:L316, '3.3 Forbrugstariffer og effekt'!L319:L336, '3.3 Forbrugstariffer og effekt'!L339:L356 )</f>
        <v>0</v>
      </c>
      <c r="M168" s="142"/>
      <c r="N168" s="15"/>
      <c r="O168" s="15"/>
      <c r="P168" s="15"/>
      <c r="Q168" s="15"/>
      <c r="R168" s="15"/>
      <c r="S168" s="15"/>
      <c r="T168" s="15"/>
      <c r="U168" s="15"/>
      <c r="V168" s="15"/>
      <c r="W168" s="15"/>
    </row>
    <row r="169" spans="3:23" ht="15" customHeight="1">
      <c r="C169" s="1" t="s">
        <v>407</v>
      </c>
      <c r="L169" s="85">
        <f xml:space="preserve"> SUM( '3.3 Forbrugstariffer og effekt'!L359:L376, '3.3 Forbrugstariffer og effekt'!L380:L397,'3.3 Forbrugstariffer og effekt'!L401:L418,'3.3 Forbrugstariffer og effekt'!L422:L439 )</f>
        <v>0</v>
      </c>
    </row>
    <row r="170" spans="3:23" ht="15" customHeight="1">
      <c r="C170" s="27" t="s">
        <v>408</v>
      </c>
      <c r="D170" s="255"/>
      <c r="E170" s="27"/>
      <c r="F170" s="27"/>
      <c r="G170" s="27"/>
      <c r="H170" s="27"/>
      <c r="I170" s="27"/>
      <c r="J170" s="27"/>
      <c r="K170" s="32"/>
      <c r="L170" s="99">
        <f xml:space="preserve"> '3.3 Forbrugstariffer og effekt'!L508</f>
        <v>0</v>
      </c>
      <c r="M170" s="27"/>
      <c r="N170" s="27"/>
      <c r="O170" s="27"/>
      <c r="P170" s="27"/>
      <c r="Q170" s="27"/>
      <c r="R170" s="27"/>
      <c r="S170" s="27"/>
      <c r="T170" s="27"/>
      <c r="U170" s="27"/>
      <c r="V170" s="27"/>
      <c r="W170" s="27"/>
    </row>
    <row r="171" spans="3:23" ht="15" customHeight="1">
      <c r="C171" s="1"/>
      <c r="L171" s="85"/>
    </row>
    <row r="172" spans="3:23" ht="15" customHeight="1">
      <c r="C172" s="4" t="str">
        <f xml:space="preserve"> "Sektion: " &amp; '3.3 Forbrugstariffer og effekt'!B512</f>
        <v>Sektion: 3) Opsplitning på tarif og effekt</v>
      </c>
    </row>
    <row r="173" spans="3:23" ht="15" customHeight="1">
      <c r="C173" s="262" t="s">
        <v>484</v>
      </c>
      <c r="D173" s="17"/>
      <c r="E173" s="15"/>
      <c r="F173" s="15"/>
      <c r="G173" s="15"/>
      <c r="H173" s="15"/>
      <c r="I173" s="15"/>
      <c r="J173" s="15"/>
      <c r="K173" s="19"/>
      <c r="L173" s="123">
        <f xml:space="preserve"> SUM( '3.3 Forbrugstariffer og effekt'!L639:L657 )</f>
        <v>0</v>
      </c>
      <c r="M173" s="142"/>
      <c r="N173" s="15"/>
      <c r="O173" s="15"/>
      <c r="P173" s="15"/>
      <c r="Q173" s="15"/>
      <c r="R173" s="15"/>
      <c r="S173" s="15"/>
      <c r="T173" s="15"/>
      <c r="U173" s="15"/>
      <c r="V173" s="15"/>
      <c r="W173" s="15"/>
    </row>
    <row r="174" spans="3:23" ht="15" customHeight="1">
      <c r="C174" s="355" t="s">
        <v>409</v>
      </c>
      <c r="D174" s="255"/>
      <c r="E174" s="27"/>
      <c r="F174" s="27"/>
      <c r="G174" s="27"/>
      <c r="H174" s="27"/>
      <c r="I174" s="27"/>
      <c r="J174" s="27"/>
      <c r="K174" s="32"/>
      <c r="L174" s="99">
        <f xml:space="preserve"> '3.3 Forbrugstariffer og effekt'!L767</f>
        <v>0</v>
      </c>
      <c r="M174" s="151"/>
      <c r="N174" s="27"/>
      <c r="O174" s="27"/>
      <c r="P174" s="27"/>
      <c r="Q174" s="27"/>
      <c r="R174" s="27"/>
      <c r="S174" s="27"/>
      <c r="T174" s="27"/>
      <c r="U174" s="27"/>
      <c r="V174" s="27"/>
      <c r="W174" s="27"/>
    </row>
    <row r="175" spans="3:23" ht="15" customHeight="1">
      <c r="C175" s="1"/>
      <c r="L175" s="85"/>
    </row>
    <row r="176" spans="3:23" ht="15" customHeight="1">
      <c r="C176" s="4" t="str">
        <f xml:space="preserve"> "Sektion: " &amp; '3.3 Forbrugstariffer og effekt'!B771</f>
        <v>Sektion: 4) Beregning af effektpriser</v>
      </c>
    </row>
    <row r="177" spans="2:23" ht="15" customHeight="1">
      <c r="C177" s="266" t="s">
        <v>421</v>
      </c>
      <c r="D177" s="254"/>
      <c r="E177" s="33"/>
      <c r="F177" s="33"/>
      <c r="G177" s="33"/>
      <c r="H177" s="33"/>
      <c r="I177" s="33"/>
      <c r="J177" s="33"/>
      <c r="K177" s="34"/>
      <c r="L177" s="90">
        <f xml:space="preserve"> '3.3 Forbrugstariffer og effekt'!L798</f>
        <v>0</v>
      </c>
      <c r="M177" s="139"/>
      <c r="N177" s="33"/>
      <c r="O177" s="33"/>
      <c r="P177" s="33"/>
      <c r="Q177" s="33"/>
      <c r="R177" s="33"/>
      <c r="S177" s="33"/>
      <c r="T177" s="33"/>
      <c r="U177" s="33"/>
      <c r="V177" s="33"/>
      <c r="W177" s="33"/>
    </row>
    <row r="178" spans="2:23" ht="15" customHeight="1">
      <c r="C178" s="1"/>
      <c r="L178" s="85"/>
    </row>
    <row r="179" spans="2:23" ht="15" customHeight="1">
      <c r="C179" s="4" t="str">
        <f xml:space="preserve"> "Sektion: " &amp; '3.3 Forbrugstariffer og effekt'!B846</f>
        <v>Sektion: 6) Byggeklodser</v>
      </c>
    </row>
    <row r="180" spans="2:23" ht="15" customHeight="1">
      <c r="C180" s="267" t="s">
        <v>485</v>
      </c>
      <c r="D180" s="254"/>
      <c r="E180" s="33"/>
      <c r="F180" s="33"/>
      <c r="G180" s="33"/>
      <c r="H180" s="33"/>
      <c r="I180" s="33"/>
      <c r="J180" s="33"/>
      <c r="K180" s="34"/>
      <c r="L180" s="90">
        <f xml:space="preserve"> SUM( '3.3 Forbrugstariffer og effekt'!L954:L971 )</f>
        <v>0</v>
      </c>
      <c r="M180" s="139"/>
      <c r="N180" s="33"/>
      <c r="O180" s="33"/>
      <c r="P180" s="33"/>
      <c r="Q180" s="33"/>
      <c r="R180" s="33"/>
      <c r="S180" s="33"/>
      <c r="T180" s="33"/>
      <c r="U180" s="33"/>
      <c r="V180" s="33"/>
      <c r="W180" s="33"/>
    </row>
    <row r="181" spans="2:23" ht="15" customHeight="1">
      <c r="C181" s="1"/>
      <c r="L181" s="85"/>
    </row>
    <row r="182" spans="2:23" ht="15" customHeight="1">
      <c r="C182" s="4" t="str">
        <f xml:space="preserve"> "Sektion: " &amp; '3.3 Forbrugstariffer og effekt'!B975</f>
        <v>Sektion: 7) Tariffer</v>
      </c>
    </row>
    <row r="183" spans="2:23" ht="15" customHeight="1">
      <c r="C183" s="266" t="s">
        <v>424</v>
      </c>
      <c r="D183" s="254"/>
      <c r="E183" s="33"/>
      <c r="F183" s="33"/>
      <c r="G183" s="33"/>
      <c r="H183" s="33"/>
      <c r="I183" s="33"/>
      <c r="J183" s="33"/>
      <c r="K183" s="34"/>
      <c r="L183" s="90">
        <f xml:space="preserve"> '3.3 Forbrugstariffer og effekt'!L984</f>
        <v>0</v>
      </c>
      <c r="M183" s="139"/>
      <c r="N183" s="33"/>
      <c r="O183" s="33"/>
      <c r="P183" s="33"/>
      <c r="Q183" s="33"/>
      <c r="R183" s="33"/>
      <c r="S183" s="33"/>
      <c r="T183" s="33"/>
      <c r="U183" s="33"/>
      <c r="V183" s="33"/>
      <c r="W183" s="33"/>
    </row>
    <row r="184" spans="2:23" ht="15" customHeight="1">
      <c r="C184" s="1"/>
      <c r="L184" s="85"/>
    </row>
    <row r="185" spans="2:23" ht="15" customHeight="1">
      <c r="C185" s="1"/>
      <c r="L185" s="85"/>
    </row>
    <row r="187" spans="2:23" s="475" customFormat="1" ht="15" customHeight="1">
      <c r="B187" s="479" t="str">
        <f ca="1" xml:space="preserve"> COUNTA(B$10:B165) &amp; ") Oversigt over arket: "  &amp; Modeloverblik!E92</f>
        <v>7) Oversigt over arket: 3.4 Tidsdifferentieret tarif</v>
      </c>
      <c r="C187" s="477"/>
      <c r="D187" s="478"/>
      <c r="K187" s="472"/>
    </row>
    <row r="189" spans="2:23" ht="15" customHeight="1">
      <c r="C189" s="4" t="str">
        <f xml:space="preserve"> "Sektion: " &amp; '3.4 Tidsdifferentieret tarif'!B255</f>
        <v>Sektion: 4) Tidsdifferentieret tarif - før skaleringsfaktorer</v>
      </c>
    </row>
    <row r="190" spans="2:23" ht="15" customHeight="1">
      <c r="C190" s="262" t="s">
        <v>410</v>
      </c>
      <c r="D190" s="17"/>
      <c r="E190" s="15"/>
      <c r="F190" s="15"/>
      <c r="G190" s="15"/>
      <c r="H190" s="15"/>
      <c r="I190" s="15"/>
      <c r="J190" s="15"/>
      <c r="K190" s="19"/>
      <c r="L190" s="123">
        <f xml:space="preserve"> SUM( '3.4 Tidsdifferentieret tarif'!L289:L292 )</f>
        <v>0</v>
      </c>
      <c r="M190" s="142"/>
      <c r="N190" s="15"/>
      <c r="O190" s="15"/>
      <c r="P190" s="15"/>
      <c r="Q190" s="15"/>
      <c r="R190" s="15"/>
      <c r="S190" s="15"/>
      <c r="T190" s="15"/>
      <c r="U190" s="15"/>
      <c r="V190" s="15"/>
      <c r="W190" s="15"/>
    </row>
    <row r="191" spans="2:23" ht="15" customHeight="1">
      <c r="C191" s="1" t="s">
        <v>411</v>
      </c>
      <c r="L191" s="85">
        <f xml:space="preserve"> '3.4 Tidsdifferentieret tarif'!L298</f>
        <v>0</v>
      </c>
    </row>
    <row r="192" spans="2:23" ht="15" customHeight="1">
      <c r="C192" s="27" t="s">
        <v>412</v>
      </c>
      <c r="D192" s="255"/>
      <c r="E192" s="27"/>
      <c r="F192" s="27"/>
      <c r="G192" s="27"/>
      <c r="H192" s="27"/>
      <c r="I192" s="27"/>
      <c r="J192" s="27"/>
      <c r="K192" s="32"/>
      <c r="L192" s="99">
        <f xml:space="preserve"> '3.4 Tidsdifferentieret tarif'!L304</f>
        <v>0</v>
      </c>
      <c r="M192" s="27"/>
      <c r="N192" s="27"/>
      <c r="O192" s="27"/>
      <c r="P192" s="27"/>
      <c r="Q192" s="27"/>
      <c r="R192" s="27"/>
      <c r="S192" s="27"/>
      <c r="T192" s="27"/>
      <c r="U192" s="27"/>
      <c r="V192" s="27"/>
      <c r="W192" s="27"/>
    </row>
    <row r="193" spans="1:23" ht="15" customHeight="1">
      <c r="C193" s="1"/>
      <c r="L193" s="85"/>
    </row>
    <row r="194" spans="1:23" ht="15" customHeight="1">
      <c r="C194" s="35" t="str">
        <f xml:space="preserve"> "Sektion: " &amp; '3.4 Tidsdifferentieret tarif'!B320</f>
        <v>Sektion: 5) Tidsdifferentieret tarif - tarifresidual og skalering af tariffer</v>
      </c>
      <c r="D194" s="255"/>
      <c r="E194" s="27"/>
      <c r="F194" s="27"/>
      <c r="G194" s="27"/>
      <c r="H194" s="27"/>
      <c r="I194" s="27"/>
      <c r="J194" s="27"/>
      <c r="K194" s="32"/>
      <c r="L194" s="27"/>
      <c r="M194" s="27"/>
      <c r="N194" s="27"/>
      <c r="O194" s="27"/>
      <c r="P194" s="27"/>
      <c r="Q194" s="27"/>
      <c r="R194" s="27"/>
      <c r="S194" s="27"/>
      <c r="T194" s="27"/>
      <c r="U194" s="27"/>
      <c r="V194" s="27"/>
      <c r="W194" s="27"/>
    </row>
    <row r="195" spans="1:23" ht="15" customHeight="1">
      <c r="C195" s="1" t="s">
        <v>422</v>
      </c>
      <c r="L195" s="85">
        <f xml:space="preserve"> '3.4 Tidsdifferentieret tarif'!L328</f>
        <v>0</v>
      </c>
    </row>
    <row r="196" spans="1:23" ht="15" customHeight="1">
      <c r="C196" s="27" t="s">
        <v>413</v>
      </c>
      <c r="D196" s="255"/>
      <c r="E196" s="27"/>
      <c r="F196" s="27"/>
      <c r="G196" s="27"/>
      <c r="H196" s="27"/>
      <c r="I196" s="27"/>
      <c r="J196" s="27"/>
      <c r="K196" s="32"/>
      <c r="L196" s="99">
        <f xml:space="preserve"> '3.4 Tidsdifferentieret tarif'!L361</f>
        <v>0</v>
      </c>
      <c r="M196" s="27"/>
      <c r="N196" s="27"/>
      <c r="O196" s="27"/>
      <c r="P196" s="27"/>
      <c r="Q196" s="27"/>
      <c r="R196" s="27"/>
      <c r="S196" s="27"/>
      <c r="T196" s="27"/>
      <c r="U196" s="27"/>
      <c r="V196" s="27"/>
      <c r="W196" s="27"/>
    </row>
    <row r="200" spans="1:23" s="475" customFormat="1" ht="15" customHeight="1">
      <c r="B200" s="479" t="str">
        <f ca="1" xml:space="preserve"> COUNTA(B$10:B187) &amp; ") Oversigt over arket: "  &amp; Modeloverblik!E93</f>
        <v>8) Oversigt over arket: 3.5 Indfødningstarif</v>
      </c>
      <c r="C200" s="477"/>
      <c r="D200" s="478"/>
      <c r="K200" s="472"/>
    </row>
    <row r="202" spans="1:23" ht="15" customHeight="1">
      <c r="C202" s="4" t="str">
        <f xml:space="preserve"> "Sektion: " &amp; '3.5 Indfødningstarif'!B12</f>
        <v>Sektion: 1) Fordelingsnøgler</v>
      </c>
    </row>
    <row r="203" spans="1:23" s="33" customFormat="1" ht="15" customHeight="1">
      <c r="A203" s="1"/>
      <c r="B203" s="1"/>
      <c r="C203" s="266" t="s">
        <v>392</v>
      </c>
      <c r="D203" s="254"/>
      <c r="K203" s="34"/>
      <c r="L203" s="90">
        <f xml:space="preserve"> SUM( '3.5 Indfødningstarif'!L49:L63 )</f>
        <v>0</v>
      </c>
      <c r="M203" s="139"/>
    </row>
    <row r="204" spans="1:23" ht="15" customHeight="1">
      <c r="C204" s="1"/>
      <c r="L204" s="85"/>
    </row>
    <row r="205" spans="1:23" ht="15" customHeight="1">
      <c r="C205" s="4" t="str">
        <f xml:space="preserve"> "Sektion: " &amp; '3.5 Indfødningstarif'!B67</f>
        <v>Sektion: 2) Fordeling af omkostninger</v>
      </c>
    </row>
    <row r="206" spans="1:23" s="15" customFormat="1" ht="15" customHeight="1">
      <c r="A206" s="1"/>
      <c r="B206" s="1"/>
      <c r="C206" s="262" t="s">
        <v>628</v>
      </c>
      <c r="D206" s="17"/>
      <c r="K206" s="19"/>
      <c r="L206" s="123">
        <f xml:space="preserve"> SUM( '3.5 Indfødningstarif'!L85 )</f>
        <v>0</v>
      </c>
      <c r="M206" s="142"/>
    </row>
    <row r="207" spans="1:23" ht="15" customHeight="1">
      <c r="C207" s="588" t="s">
        <v>629</v>
      </c>
      <c r="L207" s="88">
        <f xml:space="preserve"> SUM( '3.5 Indfødningstarif'!L123:L138 )</f>
        <v>0</v>
      </c>
      <c r="M207" s="119"/>
    </row>
    <row r="208" spans="1:23" s="27" customFormat="1" ht="15" customHeight="1">
      <c r="A208" s="1"/>
      <c r="B208" s="1"/>
      <c r="C208" s="27" t="s">
        <v>427</v>
      </c>
      <c r="D208" s="255"/>
      <c r="K208" s="32"/>
      <c r="L208" s="97">
        <f xml:space="preserve"> SUM( '3.5 Indfødningstarif'!L141:L156 )</f>
        <v>0</v>
      </c>
      <c r="M208" s="151"/>
    </row>
    <row r="209" spans="1:23" ht="15" customHeight="1">
      <c r="C209" s="1"/>
      <c r="L209" s="85"/>
    </row>
    <row r="210" spans="1:23" ht="15" customHeight="1">
      <c r="C210" s="4" t="str">
        <f xml:space="preserve"> "Sektion: " &amp; '3.5 Indfødningstarif'!B160</f>
        <v>Sektion: 3) Allokeringsmæssig differentiering</v>
      </c>
    </row>
    <row r="211" spans="1:23" ht="15" customHeight="1">
      <c r="C211" s="15" t="s">
        <v>405</v>
      </c>
      <c r="D211" s="17"/>
      <c r="E211" s="15"/>
      <c r="F211" s="15"/>
      <c r="G211" s="15"/>
      <c r="H211" s="15"/>
      <c r="I211" s="15"/>
      <c r="J211" s="15"/>
      <c r="K211" s="19"/>
      <c r="L211" s="123">
        <f xml:space="preserve"> SUM( '3.5 Indfødningstarif'!L214:L228 )</f>
        <v>0</v>
      </c>
      <c r="M211" s="15"/>
      <c r="N211" s="15"/>
      <c r="O211" s="15"/>
      <c r="P211" s="15"/>
      <c r="Q211" s="15"/>
      <c r="R211" s="15"/>
      <c r="S211" s="15"/>
      <c r="T211" s="15"/>
      <c r="U211" s="15"/>
      <c r="V211" s="15"/>
      <c r="W211" s="15"/>
    </row>
    <row r="212" spans="1:23" ht="15" customHeight="1">
      <c r="C212" s="1" t="s">
        <v>407</v>
      </c>
      <c r="L212" s="85">
        <f xml:space="preserve"> SUM( '3.5 Indfødningstarif'!L231:L246 )</f>
        <v>0</v>
      </c>
    </row>
    <row r="213" spans="1:23" ht="15" customHeight="1">
      <c r="C213" s="1" t="s">
        <v>630</v>
      </c>
      <c r="L213" s="85">
        <f xml:space="preserve"> SUM( '3.5 Indfødningstarif'!L249:L257 )</f>
        <v>0</v>
      </c>
    </row>
    <row r="214" spans="1:23" ht="15" customHeight="1">
      <c r="C214" s="27" t="s">
        <v>631</v>
      </c>
      <c r="D214" s="255"/>
      <c r="E214" s="27"/>
      <c r="F214" s="27"/>
      <c r="G214" s="27"/>
      <c r="H214" s="27"/>
      <c r="I214" s="27"/>
      <c r="J214" s="27"/>
      <c r="K214" s="32"/>
      <c r="L214" s="99">
        <f xml:space="preserve"> '3.5 Indfødningstarif'!L264</f>
        <v>0</v>
      </c>
      <c r="M214" s="27"/>
      <c r="N214" s="27"/>
      <c r="O214" s="27"/>
      <c r="P214" s="27"/>
      <c r="Q214" s="27"/>
      <c r="R214" s="27"/>
      <c r="S214" s="27"/>
      <c r="T214" s="27"/>
      <c r="U214" s="27"/>
      <c r="V214" s="27"/>
      <c r="W214" s="27"/>
    </row>
    <row r="215" spans="1:23" ht="15" customHeight="1">
      <c r="C215" s="1"/>
      <c r="L215" s="85"/>
    </row>
    <row r="216" spans="1:23" ht="15" customHeight="1">
      <c r="C216" s="4" t="str">
        <f xml:space="preserve"> "Sektion: " &amp; '3.5 Indfødningstarif'!B268</f>
        <v>Sektion: 4) Vandfald</v>
      </c>
    </row>
    <row r="217" spans="1:23" s="33" customFormat="1" ht="15" customHeight="1">
      <c r="A217" s="1"/>
      <c r="B217" s="1"/>
      <c r="C217" s="33" t="s">
        <v>634</v>
      </c>
      <c r="D217" s="254"/>
      <c r="K217" s="34"/>
      <c r="L217" s="90">
        <f xml:space="preserve"> '3.5 Indfødningstarif'!L658</f>
        <v>0</v>
      </c>
    </row>
    <row r="218" spans="1:23" ht="15" customHeight="1">
      <c r="C218" s="1"/>
      <c r="L218" s="85"/>
    </row>
    <row r="219" spans="1:23" ht="15" customHeight="1">
      <c r="C219" s="4" t="str">
        <f xml:space="preserve"> "Sektion: " &amp; '3.5 Indfødningstarif'!B683</f>
        <v>Sektion: 6) Byggeklodser</v>
      </c>
    </row>
    <row r="220" spans="1:23" s="33" customFormat="1" ht="15" customHeight="1">
      <c r="A220" s="1"/>
      <c r="B220" s="1"/>
      <c r="C220" s="267" t="s">
        <v>485</v>
      </c>
      <c r="D220" s="254"/>
      <c r="K220" s="34"/>
      <c r="L220" s="90">
        <f xml:space="preserve"> SUM( '3.5 Indfødningstarif'!L775:L789 )</f>
        <v>0</v>
      </c>
    </row>
    <row r="221" spans="1:23" ht="15" customHeight="1">
      <c r="C221" s="1"/>
      <c r="L221" s="85"/>
    </row>
    <row r="222" spans="1:23" ht="15" customHeight="1">
      <c r="C222" s="4" t="str">
        <f xml:space="preserve"> "Sektion: " &amp; '3.5 Indfødningstarif'!B793</f>
        <v>Sektion: 7) Indfødningstariffer</v>
      </c>
    </row>
    <row r="223" spans="1:23" s="33" customFormat="1" ht="15" customHeight="1">
      <c r="A223" s="1"/>
      <c r="B223" s="1"/>
      <c r="C223" s="266" t="s">
        <v>632</v>
      </c>
      <c r="D223" s="254"/>
      <c r="K223" s="34"/>
      <c r="L223" s="90">
        <f xml:space="preserve"> SUM( '3.5 Indfødningstarif'!L799 )</f>
        <v>0</v>
      </c>
    </row>
    <row r="224" spans="1:23" ht="15" customHeight="1">
      <c r="C224" s="589"/>
      <c r="L224" s="85"/>
    </row>
    <row r="225" spans="2:20" ht="15" customHeight="1">
      <c r="C225" s="589"/>
      <c r="L225" s="85"/>
    </row>
    <row r="226" spans="2:20" ht="15" customHeight="1">
      <c r="C226" s="1"/>
      <c r="L226" s="85"/>
    </row>
    <row r="227" spans="2:20" s="475" customFormat="1" ht="15" customHeight="1">
      <c r="B227" s="479" t="s">
        <v>104</v>
      </c>
      <c r="C227" s="477"/>
      <c r="D227" s="478"/>
      <c r="K227" s="472"/>
    </row>
    <row r="233" spans="2:20" ht="15" customHeight="1">
      <c r="T233" s="222"/>
    </row>
  </sheetData>
  <sheetProtection sheet="1" objects="1" scenarios="1"/>
  <conditionalFormatting sqref="J2:Q3 B2:E3">
    <cfRule type="expression" dxfId="248" priority="139">
      <formula>$I$4&lt;ErrorTolerance</formula>
    </cfRule>
  </conditionalFormatting>
  <conditionalFormatting sqref="B3">
    <cfRule type="expression" dxfId="247" priority="140">
      <formula>$I$5&gt;=ErrorTolerance</formula>
    </cfRule>
  </conditionalFormatting>
  <conditionalFormatting sqref="I7">
    <cfRule type="cellIs" dxfId="246" priority="134" operator="between">
      <formula>-ErrorTolerance</formula>
      <formula>ErrorTolerance</formula>
    </cfRule>
  </conditionalFormatting>
  <conditionalFormatting sqref="H2">
    <cfRule type="expression" dxfId="245" priority="131">
      <formula>Model.Navigation.View=No</formula>
    </cfRule>
  </conditionalFormatting>
  <conditionalFormatting sqref="H2">
    <cfRule type="expression" dxfId="244" priority="130">
      <formula>Model.Navigation.View=No</formula>
    </cfRule>
  </conditionalFormatting>
  <conditionalFormatting sqref="F2">
    <cfRule type="expression" dxfId="243" priority="129">
      <formula>Model.Navigation.View=No</formula>
    </cfRule>
  </conditionalFormatting>
  <conditionalFormatting sqref="F2">
    <cfRule type="expression" dxfId="242" priority="128">
      <formula>Model.Navigation.View=No</formula>
    </cfRule>
  </conditionalFormatting>
  <conditionalFormatting sqref="L23:L24 L92:L93 L204 L209 L226 L217">
    <cfRule type="cellIs" dxfId="241" priority="125" operator="greaterThan">
      <formula>0</formula>
    </cfRule>
  </conditionalFormatting>
  <conditionalFormatting sqref="I2">
    <cfRule type="expression" dxfId="240" priority="124">
      <formula>Model.Navigation.View=No</formula>
    </cfRule>
  </conditionalFormatting>
  <conditionalFormatting sqref="I2">
    <cfRule type="expression" dxfId="239" priority="123">
      <formula>Model.Navigation.View=No</formula>
    </cfRule>
  </conditionalFormatting>
  <conditionalFormatting sqref="L15:L20">
    <cfRule type="cellIs" dxfId="238" priority="122" operator="greaterThan">
      <formula>0</formula>
    </cfRule>
  </conditionalFormatting>
  <conditionalFormatting sqref="M31 M92:M93">
    <cfRule type="cellIs" dxfId="237" priority="120" operator="greaterThan">
      <formula>0</formula>
    </cfRule>
  </conditionalFormatting>
  <conditionalFormatting sqref="L31">
    <cfRule type="cellIs" dxfId="236" priority="119" operator="greaterThan">
      <formula>0</formula>
    </cfRule>
  </conditionalFormatting>
  <conditionalFormatting sqref="M34">
    <cfRule type="cellIs" dxfId="235" priority="118" operator="greaterThan">
      <formula>0</formula>
    </cfRule>
  </conditionalFormatting>
  <conditionalFormatting sqref="L34">
    <cfRule type="cellIs" dxfId="234" priority="117" operator="greaterThan">
      <formula>0</formula>
    </cfRule>
  </conditionalFormatting>
  <conditionalFormatting sqref="M37">
    <cfRule type="cellIs" dxfId="233" priority="116" operator="greaterThan">
      <formula>0</formula>
    </cfRule>
  </conditionalFormatting>
  <conditionalFormatting sqref="L37">
    <cfRule type="cellIs" dxfId="232" priority="115" operator="greaterThan">
      <formula>0</formula>
    </cfRule>
  </conditionalFormatting>
  <conditionalFormatting sqref="M40:M43">
    <cfRule type="cellIs" dxfId="231" priority="114" operator="greaterThan">
      <formula>0</formula>
    </cfRule>
  </conditionalFormatting>
  <conditionalFormatting sqref="L40:L43">
    <cfRule type="cellIs" dxfId="230" priority="113" operator="greaterThan">
      <formula>0</formula>
    </cfRule>
  </conditionalFormatting>
  <conditionalFormatting sqref="M46:M47">
    <cfRule type="cellIs" dxfId="229" priority="112" operator="greaterThan">
      <formula>0</formula>
    </cfRule>
  </conditionalFormatting>
  <conditionalFormatting sqref="L46:L47">
    <cfRule type="cellIs" dxfId="228" priority="111" operator="greaterThan">
      <formula>0</formula>
    </cfRule>
  </conditionalFormatting>
  <conditionalFormatting sqref="M53">
    <cfRule type="cellIs" dxfId="227" priority="110" operator="greaterThan">
      <formula>0</formula>
    </cfRule>
  </conditionalFormatting>
  <conditionalFormatting sqref="M56:M57">
    <cfRule type="cellIs" dxfId="226" priority="109" operator="greaterThan">
      <formula>0</formula>
    </cfRule>
  </conditionalFormatting>
  <conditionalFormatting sqref="L56:L57">
    <cfRule type="cellIs" dxfId="225" priority="108" operator="greaterThan">
      <formula>0</formula>
    </cfRule>
  </conditionalFormatting>
  <conditionalFormatting sqref="M64:M65">
    <cfRule type="cellIs" dxfId="224" priority="107" operator="greaterThan">
      <formula>0</formula>
    </cfRule>
  </conditionalFormatting>
  <conditionalFormatting sqref="L64:L65">
    <cfRule type="cellIs" dxfId="223" priority="106" operator="greaterThan">
      <formula>0</formula>
    </cfRule>
  </conditionalFormatting>
  <conditionalFormatting sqref="M72:M75">
    <cfRule type="cellIs" dxfId="222" priority="105" operator="greaterThan">
      <formula>0</formula>
    </cfRule>
  </conditionalFormatting>
  <conditionalFormatting sqref="L72:L75">
    <cfRule type="cellIs" dxfId="221" priority="104" operator="greaterThan">
      <formula>0</formula>
    </cfRule>
  </conditionalFormatting>
  <conditionalFormatting sqref="M78">
    <cfRule type="cellIs" dxfId="220" priority="103" operator="greaterThan">
      <formula>0</formula>
    </cfRule>
  </conditionalFormatting>
  <conditionalFormatting sqref="L78">
    <cfRule type="cellIs" dxfId="219" priority="102" operator="greaterThan">
      <formula>0</formula>
    </cfRule>
  </conditionalFormatting>
  <conditionalFormatting sqref="M89">
    <cfRule type="cellIs" dxfId="218" priority="93" operator="greaterThan">
      <formula>0</formula>
    </cfRule>
  </conditionalFormatting>
  <conditionalFormatting sqref="L89">
    <cfRule type="cellIs" dxfId="217" priority="92" operator="greaterThan">
      <formula>0</formula>
    </cfRule>
  </conditionalFormatting>
  <conditionalFormatting sqref="M99:M100">
    <cfRule type="cellIs" dxfId="216" priority="97" operator="greaterThan">
      <formula>0</formula>
    </cfRule>
  </conditionalFormatting>
  <conditionalFormatting sqref="L99:L100">
    <cfRule type="cellIs" dxfId="215" priority="96" operator="greaterThan">
      <formula>0</formula>
    </cfRule>
  </conditionalFormatting>
  <conditionalFormatting sqref="M84:M87">
    <cfRule type="cellIs" dxfId="214" priority="95" operator="greaterThan">
      <formula>0</formula>
    </cfRule>
  </conditionalFormatting>
  <conditionalFormatting sqref="L84:L87">
    <cfRule type="cellIs" dxfId="213" priority="94" operator="greaterThan">
      <formula>0</formula>
    </cfRule>
  </conditionalFormatting>
  <conditionalFormatting sqref="M103 M108:M109">
    <cfRule type="cellIs" dxfId="212" priority="91" operator="greaterThan">
      <formula>0</formula>
    </cfRule>
  </conditionalFormatting>
  <conditionalFormatting sqref="L108:L109">
    <cfRule type="cellIs" dxfId="211" priority="90" operator="greaterThan">
      <formula>0</formula>
    </cfRule>
  </conditionalFormatting>
  <conditionalFormatting sqref="M104:M105">
    <cfRule type="cellIs" dxfId="210" priority="89" operator="greaterThan">
      <formula>0</formula>
    </cfRule>
  </conditionalFormatting>
  <conditionalFormatting sqref="L104:L105">
    <cfRule type="cellIs" dxfId="209" priority="88" operator="greaterThan">
      <formula>0</formula>
    </cfRule>
  </conditionalFormatting>
  <conditionalFormatting sqref="L103">
    <cfRule type="cellIs" dxfId="208" priority="87" operator="greaterThan">
      <formula>0</formula>
    </cfRule>
  </conditionalFormatting>
  <conditionalFormatting sqref="M106:M107 L107">
    <cfRule type="cellIs" dxfId="207" priority="86" operator="greaterThan">
      <formula>0</formula>
    </cfRule>
  </conditionalFormatting>
  <conditionalFormatting sqref="L106">
    <cfRule type="cellIs" dxfId="206" priority="85" operator="greaterThan">
      <formula>0</formula>
    </cfRule>
  </conditionalFormatting>
  <conditionalFormatting sqref="M115:M116">
    <cfRule type="cellIs" dxfId="205" priority="84" operator="greaterThan">
      <formula>0</formula>
    </cfRule>
  </conditionalFormatting>
  <conditionalFormatting sqref="L115:L116">
    <cfRule type="cellIs" dxfId="204" priority="83" operator="greaterThan">
      <formula>0</formula>
    </cfRule>
  </conditionalFormatting>
  <conditionalFormatting sqref="L119:L121 L136 L125:L128">
    <cfRule type="cellIs" dxfId="203" priority="80" operator="greaterThan">
      <formula>0</formula>
    </cfRule>
  </conditionalFormatting>
  <conditionalFormatting sqref="M130:M131">
    <cfRule type="cellIs" dxfId="202" priority="79" operator="greaterThan">
      <formula>0</formula>
    </cfRule>
  </conditionalFormatting>
  <conditionalFormatting sqref="L130:L131">
    <cfRule type="cellIs" dxfId="201" priority="78" operator="greaterThan">
      <formula>0</formula>
    </cfRule>
  </conditionalFormatting>
  <conditionalFormatting sqref="L132:L135">
    <cfRule type="cellIs" dxfId="200" priority="77" operator="greaterThan">
      <formula>0</formula>
    </cfRule>
  </conditionalFormatting>
  <conditionalFormatting sqref="M136">
    <cfRule type="cellIs" dxfId="199" priority="76" operator="greaterThan">
      <formula>0</formula>
    </cfRule>
  </conditionalFormatting>
  <conditionalFormatting sqref="L140">
    <cfRule type="cellIs" dxfId="198" priority="72" operator="greaterThan">
      <formula>0</formula>
    </cfRule>
  </conditionalFormatting>
  <conditionalFormatting sqref="M139">
    <cfRule type="cellIs" dxfId="197" priority="75" operator="greaterThan">
      <formula>0</formula>
    </cfRule>
  </conditionalFormatting>
  <conditionalFormatting sqref="L139">
    <cfRule type="cellIs" dxfId="196" priority="73" operator="greaterThan">
      <formula>0</formula>
    </cfRule>
  </conditionalFormatting>
  <conditionalFormatting sqref="L144">
    <cfRule type="cellIs" dxfId="195" priority="69" operator="greaterThan">
      <formula>0</formula>
    </cfRule>
  </conditionalFormatting>
  <conditionalFormatting sqref="M143">
    <cfRule type="cellIs" dxfId="194" priority="71" operator="greaterThan">
      <formula>0</formula>
    </cfRule>
  </conditionalFormatting>
  <conditionalFormatting sqref="L143">
    <cfRule type="cellIs" dxfId="193" priority="70" operator="greaterThan">
      <formula>0</formula>
    </cfRule>
  </conditionalFormatting>
  <conditionalFormatting sqref="M151">
    <cfRule type="cellIs" dxfId="192" priority="68" operator="greaterThan">
      <formula>0</formula>
    </cfRule>
  </conditionalFormatting>
  <conditionalFormatting sqref="L151">
    <cfRule type="cellIs" dxfId="191" priority="67" operator="greaterThan">
      <formula>0</formula>
    </cfRule>
  </conditionalFormatting>
  <conditionalFormatting sqref="L154">
    <cfRule type="cellIs" dxfId="190" priority="65" operator="greaterThan">
      <formula>0</formula>
    </cfRule>
  </conditionalFormatting>
  <conditionalFormatting sqref="M154">
    <cfRule type="cellIs" dxfId="189" priority="66" operator="greaterThan">
      <formula>0</formula>
    </cfRule>
  </conditionalFormatting>
  <conditionalFormatting sqref="M161">
    <cfRule type="cellIs" dxfId="188" priority="64" operator="greaterThan">
      <formula>0</formula>
    </cfRule>
  </conditionalFormatting>
  <conditionalFormatting sqref="L161">
    <cfRule type="cellIs" dxfId="187" priority="63" operator="greaterThan">
      <formula>0</formula>
    </cfRule>
  </conditionalFormatting>
  <conditionalFormatting sqref="L162">
    <cfRule type="cellIs" dxfId="186" priority="62" operator="greaterThan">
      <formula>0</formula>
    </cfRule>
  </conditionalFormatting>
  <conditionalFormatting sqref="L163:L164">
    <cfRule type="cellIs" dxfId="185" priority="61" operator="greaterThan">
      <formula>0</formula>
    </cfRule>
  </conditionalFormatting>
  <conditionalFormatting sqref="L165:L166 L169:L171 L184:L185">
    <cfRule type="cellIs" dxfId="184" priority="60" operator="greaterThan">
      <formula>0</formula>
    </cfRule>
  </conditionalFormatting>
  <conditionalFormatting sqref="M168">
    <cfRule type="cellIs" dxfId="183" priority="59" operator="greaterThan">
      <formula>0</formula>
    </cfRule>
  </conditionalFormatting>
  <conditionalFormatting sqref="L168">
    <cfRule type="cellIs" dxfId="182" priority="58" operator="greaterThan">
      <formula>0</formula>
    </cfRule>
  </conditionalFormatting>
  <conditionalFormatting sqref="M174">
    <cfRule type="cellIs" dxfId="181" priority="56" operator="greaterThan">
      <formula>0</formula>
    </cfRule>
  </conditionalFormatting>
  <conditionalFormatting sqref="L174">
    <cfRule type="cellIs" dxfId="180" priority="55" operator="greaterThan">
      <formula>0</formula>
    </cfRule>
  </conditionalFormatting>
  <conditionalFormatting sqref="L175 L178 L181">
    <cfRule type="cellIs" dxfId="179" priority="54" operator="greaterThan">
      <formula>0</formula>
    </cfRule>
  </conditionalFormatting>
  <conditionalFormatting sqref="M177">
    <cfRule type="cellIs" dxfId="178" priority="53" operator="greaterThan">
      <formula>0</formula>
    </cfRule>
  </conditionalFormatting>
  <conditionalFormatting sqref="L177">
    <cfRule type="cellIs" dxfId="177" priority="52" operator="greaterThan">
      <formula>0</formula>
    </cfRule>
  </conditionalFormatting>
  <conditionalFormatting sqref="M183">
    <cfRule type="cellIs" dxfId="176" priority="51" operator="greaterThan">
      <formula>0</formula>
    </cfRule>
  </conditionalFormatting>
  <conditionalFormatting sqref="L183">
    <cfRule type="cellIs" dxfId="175" priority="50" operator="greaterThan">
      <formula>0</formula>
    </cfRule>
  </conditionalFormatting>
  <conditionalFormatting sqref="M190">
    <cfRule type="cellIs" dxfId="174" priority="49" operator="greaterThan">
      <formula>0</formula>
    </cfRule>
  </conditionalFormatting>
  <conditionalFormatting sqref="L190">
    <cfRule type="cellIs" dxfId="173" priority="48" operator="greaterThan">
      <formula>0</formula>
    </cfRule>
  </conditionalFormatting>
  <conditionalFormatting sqref="L191">
    <cfRule type="cellIs" dxfId="172" priority="47" operator="greaterThan">
      <formula>0</formula>
    </cfRule>
  </conditionalFormatting>
  <conditionalFormatting sqref="L192:L193">
    <cfRule type="cellIs" dxfId="171" priority="46" operator="greaterThan">
      <formula>0</formula>
    </cfRule>
  </conditionalFormatting>
  <conditionalFormatting sqref="L195">
    <cfRule type="cellIs" dxfId="170" priority="45" operator="greaterThan">
      <formula>0</formula>
    </cfRule>
  </conditionalFormatting>
  <conditionalFormatting sqref="L196">
    <cfRule type="cellIs" dxfId="169" priority="44" operator="greaterThan">
      <formula>0</formula>
    </cfRule>
  </conditionalFormatting>
  <conditionalFormatting sqref="L114">
    <cfRule type="cellIs" dxfId="168" priority="43" operator="greaterThan">
      <formula>0</formula>
    </cfRule>
  </conditionalFormatting>
  <conditionalFormatting sqref="M123:M124">
    <cfRule type="cellIs" dxfId="167" priority="42" operator="greaterThan">
      <formula>0</formula>
    </cfRule>
  </conditionalFormatting>
  <conditionalFormatting sqref="L123:L124">
    <cfRule type="cellIs" dxfId="166" priority="41" operator="greaterThan">
      <formula>0</formula>
    </cfRule>
  </conditionalFormatting>
  <conditionalFormatting sqref="M173">
    <cfRule type="cellIs" dxfId="165" priority="40" operator="greaterThan">
      <formula>0</formula>
    </cfRule>
  </conditionalFormatting>
  <conditionalFormatting sqref="L173">
    <cfRule type="cellIs" dxfId="164" priority="39" operator="greaterThan">
      <formula>0</formula>
    </cfRule>
  </conditionalFormatting>
  <conditionalFormatting sqref="M180">
    <cfRule type="cellIs" dxfId="163" priority="38" operator="greaterThan">
      <formula>0</formula>
    </cfRule>
  </conditionalFormatting>
  <conditionalFormatting sqref="L180">
    <cfRule type="cellIs" dxfId="162" priority="37" operator="greaterThan">
      <formula>0</formula>
    </cfRule>
  </conditionalFormatting>
  <conditionalFormatting sqref="G2">
    <cfRule type="expression" dxfId="161" priority="36">
      <formula>Model.Navigation.View=No</formula>
    </cfRule>
  </conditionalFormatting>
  <conditionalFormatting sqref="G2">
    <cfRule type="expression" dxfId="160" priority="35">
      <formula>Model.Navigation.View=No</formula>
    </cfRule>
  </conditionalFormatting>
  <conditionalFormatting sqref="I6">
    <cfRule type="cellIs" dxfId="159" priority="34" operator="between">
      <formula>-ErrorTolerance</formula>
      <formula>ErrorTolerance</formula>
    </cfRule>
  </conditionalFormatting>
  <conditionalFormatting sqref="M60:M61">
    <cfRule type="cellIs" dxfId="158" priority="33" operator="greaterThan">
      <formula>0</formula>
    </cfRule>
  </conditionalFormatting>
  <conditionalFormatting sqref="L60:L61">
    <cfRule type="cellIs" dxfId="157" priority="32" operator="greaterThan">
      <formula>0</formula>
    </cfRule>
  </conditionalFormatting>
  <conditionalFormatting sqref="M50">
    <cfRule type="cellIs" dxfId="156" priority="31" operator="greaterThan">
      <formula>0</formula>
    </cfRule>
  </conditionalFormatting>
  <conditionalFormatting sqref="L50">
    <cfRule type="cellIs" dxfId="155" priority="30" operator="greaterThan">
      <formula>0</formula>
    </cfRule>
  </conditionalFormatting>
  <conditionalFormatting sqref="M81">
    <cfRule type="cellIs" dxfId="154" priority="27" operator="greaterThan">
      <formula>0</formula>
    </cfRule>
  </conditionalFormatting>
  <conditionalFormatting sqref="L81">
    <cfRule type="cellIs" dxfId="153" priority="26" operator="greaterThan">
      <formula>0</formula>
    </cfRule>
  </conditionalFormatting>
  <conditionalFormatting sqref="L96">
    <cfRule type="cellIs" dxfId="152" priority="23" operator="greaterThan">
      <formula>0</formula>
    </cfRule>
  </conditionalFormatting>
  <conditionalFormatting sqref="M96">
    <cfRule type="cellIs" dxfId="151" priority="22" operator="greaterThan">
      <formula>0</formula>
    </cfRule>
  </conditionalFormatting>
  <conditionalFormatting sqref="M203">
    <cfRule type="cellIs" dxfId="150" priority="21" operator="greaterThan">
      <formula>0</formula>
    </cfRule>
  </conditionalFormatting>
  <conditionalFormatting sqref="L203">
    <cfRule type="cellIs" dxfId="149" priority="20" operator="greaterThan">
      <formula>0</formula>
    </cfRule>
  </conditionalFormatting>
  <conditionalFormatting sqref="M206:M208">
    <cfRule type="cellIs" dxfId="148" priority="15" operator="greaterThan">
      <formula>0</formula>
    </cfRule>
  </conditionalFormatting>
  <conditionalFormatting sqref="L206:L208">
    <cfRule type="cellIs" dxfId="147" priority="14" operator="greaterThan">
      <formula>0</formula>
    </cfRule>
  </conditionalFormatting>
  <conditionalFormatting sqref="L211">
    <cfRule type="cellIs" dxfId="146" priority="8" operator="greaterThan">
      <formula>0</formula>
    </cfRule>
  </conditionalFormatting>
  <conditionalFormatting sqref="L214:L215 L218 L221">
    <cfRule type="cellIs" dxfId="145" priority="6" operator="greaterThan">
      <formula>0</formula>
    </cfRule>
  </conditionalFormatting>
  <conditionalFormatting sqref="L212:L213">
    <cfRule type="cellIs" dxfId="144" priority="7" operator="greaterThan">
      <formula>0</formula>
    </cfRule>
  </conditionalFormatting>
  <conditionalFormatting sqref="L220">
    <cfRule type="cellIs" dxfId="143" priority="2" operator="greaterThan">
      <formula>0</formula>
    </cfRule>
  </conditionalFormatting>
  <conditionalFormatting sqref="L223:L225">
    <cfRule type="cellIs" dxfId="142" priority="1" operator="greaterThan">
      <formula>0</formula>
    </cfRule>
  </conditionalFormatting>
  <hyperlinks>
    <hyperlink ref="G2" location="'4.1 Fejl- og kontroloversigt'!B11" tooltip="Gå til toppen af arket" display="'4.1 Fejl- og kontroloversigt'!B11" xr:uid="{DB22A231-AA76-4477-A84C-BCE70B16D59A}"/>
    <hyperlink ref="H2" location="'2.3 Selskabsspecifikke input'!B2" tooltip="Gå til selskabsspecifikke input" display="'2.3 Selskabsspecifikke input'!B2" xr:uid="{FAF34B47-49AE-4FBC-9F55-3FC63DD2EC63}"/>
    <hyperlink ref="F2" location="Modeloverblik!B2" tooltip="Gå til modelbeskrivelse" display="Modeloverblik!B2" xr:uid="{475226B2-444A-42B6-8352-BA519D137724}"/>
    <hyperlink ref="I2" location="'4.1 Fejl- og kontroloversigt'!B2" tooltip="Gå til fejl- og kontrolchecks" display="'4.1 Fejl- og kontroloversigt'!B2" xr:uid="{1FBD0C87-4448-4CD8-9B86-F20C6586050C}"/>
  </hyperlinks>
  <pageMargins left="0.70866141732283472" right="0.70866141732283472" top="0.74803149606299213" bottom="0.74803149606299213" header="0.31496062992125984" footer="0.31496062992125984"/>
  <pageSetup paperSize="9" scale="56"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4E5E-3D01-4223-B560-C49231437C70}">
  <sheetPr>
    <tabColor rgb="FF222221"/>
  </sheetPr>
  <dimension ref="A1:O11"/>
  <sheetViews>
    <sheetView showGridLines="0" zoomScale="85" zoomScaleNormal="85" workbookViewId="0"/>
  </sheetViews>
  <sheetFormatPr defaultColWidth="0" defaultRowHeight="12" customHeight="1" zeroHeight="1"/>
  <cols>
    <col min="1" max="2" width="4.1640625" customWidth="1"/>
    <col min="3" max="13" width="9.1640625" customWidth="1"/>
    <col min="14" max="15" width="4.1640625" customWidth="1"/>
    <col min="16" max="16384" width="9.1640625" hidden="1"/>
  </cols>
  <sheetData>
    <row r="1" spans="2:14"/>
    <row r="2" spans="2:14">
      <c r="B2" s="55"/>
      <c r="C2" s="56"/>
      <c r="D2" s="56"/>
      <c r="E2" s="56"/>
      <c r="F2" s="56"/>
      <c r="G2" s="56"/>
      <c r="H2" s="56"/>
      <c r="I2" s="56"/>
      <c r="J2" s="56"/>
      <c r="K2" s="56"/>
      <c r="L2" s="56"/>
      <c r="M2" s="56"/>
      <c r="N2" s="57"/>
    </row>
    <row r="3" spans="2:14"/>
    <row r="4" spans="2:14"/>
    <row r="5" spans="2:14"/>
    <row r="6" spans="2:14" ht="35.25">
      <c r="C6" s="58" t="s">
        <v>520</v>
      </c>
    </row>
    <row r="7" spans="2:14"/>
    <row r="8" spans="2:14"/>
    <row r="9" spans="2:14"/>
    <row r="10" spans="2:14">
      <c r="B10" s="59"/>
      <c r="C10" s="60"/>
      <c r="D10" s="60"/>
      <c r="E10" s="60"/>
      <c r="F10" s="60"/>
      <c r="G10" s="60"/>
      <c r="H10" s="60"/>
      <c r="I10" s="60"/>
      <c r="J10" s="60"/>
      <c r="K10" s="60"/>
      <c r="L10" s="60"/>
      <c r="M10" s="60"/>
      <c r="N10" s="61"/>
    </row>
    <row r="11" spans="2:14"/>
  </sheetData>
  <sheetProtection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6AAF3-4250-4E00-A669-31061C625E42}">
  <sheetPr>
    <tabColor rgb="FF222221"/>
    <outlinePr summaryBelow="0"/>
    <pageSetUpPr fitToPage="1"/>
  </sheetPr>
  <dimension ref="A1:AR435"/>
  <sheetViews>
    <sheetView showGridLines="0" zoomScale="85" zoomScaleNormal="85" workbookViewId="0">
      <pane xSplit="14" ySplit="10" topLeftCell="O11" activePane="bottomRight" state="frozen"/>
      <selection pane="topRight" activeCell="Q1" sqref="Q1"/>
      <selection pane="bottomLeft" activeCell="A9" sqref="A9"/>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2" width="9.6640625" style="1" customWidth="1"/>
    <col min="13" max="13" width="10" style="1" bestFit="1" customWidth="1"/>
    <col min="14" max="14" width="17" style="1" customWidth="1"/>
    <col min="15" max="15" width="4.5" style="1" hidden="1" customWidth="1"/>
    <col min="16" max="17" width="4.83203125" style="1" hidden="1" customWidth="1"/>
    <col min="18" max="23" width="18.6640625" style="1" customWidth="1"/>
    <col min="24" max="24" width="6" style="1" customWidth="1"/>
    <col min="25" max="29" width="12.83203125" style="1" customWidth="1"/>
    <col min="30" max="30" width="5.6640625" style="1" customWidth="1"/>
    <col min="31" max="31" width="67.1640625" style="1" customWidth="1"/>
    <col min="32" max="44" width="16.6640625" style="1" customWidth="1"/>
    <col min="45" max="16384" width="16.6640625" style="1" hidden="1"/>
  </cols>
  <sheetData>
    <row r="1" spans="1:34" ht="4.9000000000000004" customHeight="1"/>
    <row r="2" spans="1:34" ht="19.899999999999999" customHeight="1">
      <c r="B2" s="6" t="str">
        <f ca="1" xml:space="preserve"> MID( CELL("filename", B2), FIND("]", CELL("filename",B2) ) + 1, Model.MaxChars)</f>
        <v>Hjælpeark, forbrugsnøgler</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1:34"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1:34" ht="15" customHeight="1">
      <c r="F4" s="74" t="s">
        <v>274</v>
      </c>
      <c r="G4" s="2"/>
      <c r="I4" s="25">
        <f xml:space="preserve"> SUM(L:L)</f>
        <v>0</v>
      </c>
    </row>
    <row r="5" spans="1:34" ht="15" customHeight="1">
      <c r="F5" s="74" t="s">
        <v>275</v>
      </c>
      <c r="G5" s="2"/>
      <c r="I5" s="84">
        <f xml:space="preserve"> SUM(M:M)</f>
        <v>0</v>
      </c>
      <c r="AH5"/>
    </row>
    <row r="6" spans="1:34" ht="15" customHeight="1">
      <c r="F6" s="74" t="s">
        <v>276</v>
      </c>
      <c r="G6" s="2"/>
      <c r="I6" s="25">
        <f xml:space="preserve"> SUM( L:L ) + SUM( '1.1 Provenu'!L:L ) + SUM( '1.2 Tarifoversigt'!L:L) + SUM( '1.3 Varslingsanalyse'!L:L) + SUM( '1.4 Hoveddata'!L:L) + SUM('2.1 Model setup'!L:L ) + SUM('2.2 Generelle input'!L:L ) + SUM( '2.3 Selskabsspecifikke input'!L:L) + SUM( '3.1 Opsplitning af forbrug'!L:L) + SUM( '3.2 Abonnement'!L:L) + SUM( '3.3 Forbrugstariffer og effekt'!L:L) + SUM( '3.4 Tidsdifferentieret tarif'!L:L) + SUM('3.5 Indfødningstarif'!L:L) + SUM( 'Hjælpeark, fall-back-metoden'!L:L )</f>
        <v>0</v>
      </c>
      <c r="AH6"/>
    </row>
    <row r="7" spans="1:34" ht="15" customHeight="1">
      <c r="F7" s="75" t="s">
        <v>236</v>
      </c>
      <c r="G7" s="26"/>
      <c r="H7" s="27"/>
      <c r="I7" s="329">
        <f xml:space="preserve"> '1.3 Varslingsanalyse'!I7</f>
        <v>0</v>
      </c>
      <c r="AH7"/>
    </row>
    <row r="8" spans="1:34" ht="15" customHeight="1">
      <c r="L8" s="484" t="str">
        <f xml:space="preserve"> Header.Labels</f>
        <v>Checks</v>
      </c>
      <c r="M8" s="484"/>
    </row>
    <row r="9" spans="1:34" ht="5.0999999999999996" customHeight="1">
      <c r="E9" s="14"/>
      <c r="F9" s="28"/>
      <c r="G9" s="28"/>
      <c r="H9" s="28"/>
      <c r="I9" s="28"/>
      <c r="J9" s="28"/>
      <c r="L9" s="485"/>
      <c r="M9" s="473"/>
      <c r="N9" s="28"/>
      <c r="O9" s="28"/>
      <c r="P9" s="28"/>
      <c r="Q9" s="28"/>
    </row>
    <row r="10" spans="1:34"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c r="AE10" s="475" t="s">
        <v>363</v>
      </c>
    </row>
    <row r="11" spans="1:34" s="15" customFormat="1" ht="15" customHeight="1">
      <c r="C11" s="16"/>
      <c r="D11" s="17"/>
      <c r="F11" s="1"/>
      <c r="K11" s="19"/>
    </row>
    <row r="12" spans="1:34" s="475" customFormat="1" ht="15" customHeight="1">
      <c r="B12" s="479" t="str">
        <f xml:space="preserve"> COUNTA(B$10:B11) &amp; ") Generelt"</f>
        <v>1) Generelt</v>
      </c>
      <c r="C12" s="477"/>
      <c r="D12" s="478"/>
      <c r="K12" s="472"/>
    </row>
    <row r="13" spans="1:34" customFormat="1" ht="15" customHeight="1">
      <c r="A13" s="1"/>
      <c r="B13" s="1"/>
      <c r="C13" s="2"/>
      <c r="D13" s="85"/>
      <c r="E13" s="1"/>
      <c r="F13" s="86"/>
      <c r="G13" s="86"/>
      <c r="H13" s="86"/>
      <c r="I13" s="86"/>
      <c r="J13" s="86"/>
      <c r="K13" s="87"/>
      <c r="L13" s="85"/>
      <c r="M13" s="85"/>
      <c r="N13" s="86"/>
      <c r="O13" s="86"/>
      <c r="P13" s="86"/>
      <c r="Q13" s="86"/>
      <c r="R13" s="1"/>
      <c r="S13" s="1"/>
      <c r="T13" s="1"/>
      <c r="U13" s="1"/>
      <c r="V13" s="1"/>
      <c r="W13" s="1"/>
      <c r="X13" s="1"/>
      <c r="Y13" s="1"/>
      <c r="Z13" s="1"/>
      <c r="AA13" s="1"/>
      <c r="AB13" s="1"/>
      <c r="AC13" s="1"/>
      <c r="AD13" s="1"/>
      <c r="AE13" s="1"/>
    </row>
    <row r="14" spans="1:34" customFormat="1" ht="15" customHeight="1">
      <c r="A14" s="1"/>
      <c r="B14" s="1"/>
      <c r="C14" s="2"/>
      <c r="D14" s="88" t="s">
        <v>508</v>
      </c>
      <c r="E14" s="1"/>
      <c r="F14" s="86"/>
      <c r="G14" s="86"/>
      <c r="H14" s="86"/>
      <c r="I14" s="86"/>
      <c r="J14" s="86"/>
      <c r="K14" s="87"/>
      <c r="L14" s="85"/>
      <c r="M14" s="85"/>
      <c r="N14" s="86"/>
      <c r="O14" s="86"/>
      <c r="P14" s="86"/>
      <c r="Q14" s="86"/>
      <c r="R14" s="1"/>
      <c r="S14" s="1"/>
      <c r="T14" s="1"/>
      <c r="U14" s="1"/>
      <c r="V14" s="1"/>
      <c r="W14" s="89" t="s">
        <v>16</v>
      </c>
      <c r="X14" s="89"/>
      <c r="Y14" s="89"/>
      <c r="Z14" s="89"/>
      <c r="AA14" s="89"/>
      <c r="AB14" s="89"/>
      <c r="AC14" s="89"/>
      <c r="AD14" s="89"/>
      <c r="AE14" s="260" t="s">
        <v>362</v>
      </c>
    </row>
    <row r="15" spans="1:34" customFormat="1" ht="15" customHeight="1">
      <c r="A15" s="1"/>
      <c r="B15" s="1"/>
      <c r="C15" s="2"/>
      <c r="D15" s="90" t="s">
        <v>517</v>
      </c>
      <c r="E15" s="33"/>
      <c r="F15" s="91"/>
      <c r="G15" s="91"/>
      <c r="H15" s="91"/>
      <c r="I15" s="91"/>
      <c r="J15" s="91"/>
      <c r="K15" s="92" t="str">
        <f xml:space="preserve"> Model.Units2</f>
        <v>kWh</v>
      </c>
      <c r="L15" s="90"/>
      <c r="M15" s="139"/>
      <c r="N15" s="91"/>
      <c r="O15" s="380"/>
      <c r="P15" s="380"/>
      <c r="Q15" s="380"/>
      <c r="R15" s="287"/>
      <c r="S15" s="287"/>
      <c r="T15" s="287"/>
      <c r="U15" s="287"/>
      <c r="V15" s="287"/>
      <c r="W15" s="186">
        <f xml:space="preserve"> SUM( R15:V15 )</f>
        <v>0</v>
      </c>
      <c r="X15" s="4"/>
      <c r="Y15" s="4"/>
      <c r="Z15" s="4"/>
      <c r="AA15" s="4"/>
      <c r="AB15" s="4"/>
      <c r="AC15" s="4"/>
      <c r="AD15" s="111"/>
      <c r="AE15" s="603"/>
    </row>
    <row r="16" spans="1:34" customFormat="1" ht="15" customHeight="1">
      <c r="A16" s="1"/>
      <c r="B16" s="1"/>
      <c r="C16" s="2"/>
      <c r="D16" s="85"/>
      <c r="E16" s="1"/>
      <c r="F16" s="86"/>
      <c r="G16" s="86"/>
      <c r="H16" s="86"/>
      <c r="I16" s="86"/>
      <c r="J16" s="86"/>
      <c r="K16" s="87"/>
      <c r="L16" s="85"/>
      <c r="M16" s="85"/>
      <c r="N16" s="86"/>
      <c r="O16" s="86"/>
      <c r="P16" s="86"/>
      <c r="Q16" s="86"/>
      <c r="R16" s="1"/>
      <c r="S16" s="1"/>
      <c r="T16" s="1"/>
      <c r="U16" s="1"/>
      <c r="V16" s="1"/>
      <c r="W16" s="1"/>
      <c r="X16" s="1"/>
      <c r="Y16" s="1"/>
      <c r="Z16" s="1"/>
      <c r="AA16" s="1"/>
      <c r="AB16" s="1"/>
      <c r="AC16" s="1"/>
      <c r="AD16" s="1"/>
      <c r="AE16" s="1"/>
    </row>
    <row r="17" spans="1:31" customFormat="1" ht="15" customHeight="1">
      <c r="A17" s="1"/>
      <c r="B17" s="1"/>
      <c r="C17" s="2"/>
      <c r="D17" s="85"/>
      <c r="E17" s="1"/>
      <c r="F17" s="86"/>
      <c r="G17" s="86"/>
      <c r="H17" s="86"/>
      <c r="I17" s="86"/>
      <c r="J17" s="86"/>
      <c r="K17" s="87"/>
      <c r="L17" s="85"/>
      <c r="M17" s="85"/>
      <c r="N17" s="86"/>
      <c r="O17" s="86"/>
      <c r="P17" s="86"/>
      <c r="Q17" s="86"/>
      <c r="R17" s="1"/>
      <c r="S17" s="1"/>
      <c r="T17" s="1"/>
      <c r="U17" s="1"/>
      <c r="V17" s="1"/>
      <c r="W17" s="1"/>
      <c r="X17" s="1"/>
      <c r="Y17" s="1"/>
      <c r="Z17" s="1"/>
      <c r="AA17" s="1"/>
      <c r="AB17" s="1"/>
      <c r="AC17" s="1"/>
      <c r="AD17" s="1"/>
      <c r="AE17" s="1"/>
    </row>
    <row r="18" spans="1:31" customFormat="1" ht="15" customHeight="1">
      <c r="A18" s="1"/>
      <c r="B18" s="1"/>
      <c r="C18" s="2"/>
      <c r="D18" s="85"/>
      <c r="E18" s="1"/>
      <c r="F18" s="86"/>
      <c r="G18" s="86"/>
      <c r="H18" s="86"/>
      <c r="I18" s="86"/>
      <c r="J18" s="86"/>
      <c r="K18" s="87"/>
      <c r="L18" s="85"/>
      <c r="M18" s="85"/>
      <c r="N18" s="86"/>
      <c r="O18" s="86"/>
      <c r="P18" s="86"/>
      <c r="Q18" s="86"/>
      <c r="R18" s="1"/>
      <c r="S18" s="1"/>
      <c r="T18" s="1"/>
      <c r="U18" s="1"/>
      <c r="V18" s="1"/>
      <c r="W18" s="1"/>
      <c r="X18" s="1"/>
      <c r="Y18" s="1"/>
      <c r="Z18" s="1"/>
      <c r="AA18" s="1"/>
      <c r="AB18" s="1"/>
      <c r="AC18" s="1"/>
      <c r="AD18" s="1"/>
      <c r="AE18" s="1"/>
    </row>
    <row r="19" spans="1:31" s="475" customFormat="1" ht="15" customHeight="1">
      <c r="B19" s="479" t="str">
        <f xml:space="preserve"> COUNTA(B$10:B18) &amp; ") Fordelt budgetteret leveret mængde"</f>
        <v>2) Fordelt budgetteret leveret mængde</v>
      </c>
      <c r="C19" s="477"/>
      <c r="D19" s="478"/>
      <c r="K19" s="472"/>
    </row>
    <row r="20" spans="1:31" customFormat="1" ht="15" customHeight="1">
      <c r="A20" s="1"/>
      <c r="B20" s="1"/>
      <c r="C20" s="2"/>
      <c r="D20" s="85"/>
      <c r="E20" s="1"/>
      <c r="F20" s="86"/>
      <c r="G20" s="86"/>
      <c r="H20" s="86"/>
      <c r="I20" s="86"/>
      <c r="J20" s="86"/>
      <c r="K20" s="87"/>
      <c r="L20" s="85"/>
      <c r="M20" s="85"/>
      <c r="N20" s="86"/>
      <c r="O20" s="86"/>
      <c r="P20" s="86"/>
      <c r="Q20" s="86"/>
      <c r="R20" s="1"/>
      <c r="S20" s="1"/>
      <c r="T20" s="1"/>
      <c r="U20" s="1"/>
      <c r="V20" s="1"/>
      <c r="W20" s="1"/>
      <c r="X20" s="1"/>
      <c r="Y20" s="1"/>
      <c r="Z20" s="1"/>
      <c r="AA20" s="1"/>
      <c r="AB20" s="1"/>
      <c r="AC20" s="1"/>
      <c r="AD20" s="1"/>
      <c r="AE20" s="1"/>
    </row>
    <row r="21" spans="1:31" customFormat="1" ht="15" customHeight="1">
      <c r="A21" s="1"/>
      <c r="B21" s="1"/>
      <c r="C21" s="2"/>
      <c r="D21" s="88" t="s">
        <v>186</v>
      </c>
      <c r="E21" s="1"/>
      <c r="F21" s="107"/>
      <c r="G21" s="107"/>
      <c r="H21" s="107"/>
      <c r="I21" s="107"/>
      <c r="J21" s="107"/>
      <c r="K21" s="87"/>
      <c r="L21" s="85"/>
      <c r="M21" s="85"/>
      <c r="N21" s="107"/>
      <c r="O21" s="107"/>
      <c r="P21" s="107"/>
      <c r="Q21" s="107"/>
      <c r="R21" s="1"/>
      <c r="S21" s="1"/>
      <c r="T21" s="1"/>
      <c r="U21" s="1"/>
      <c r="V21" s="1"/>
      <c r="W21" s="1"/>
      <c r="X21" s="1"/>
      <c r="Y21" s="1"/>
      <c r="Z21" s="1"/>
      <c r="AA21" s="1"/>
      <c r="AB21" s="1"/>
      <c r="AC21" s="1"/>
      <c r="AD21" s="1"/>
      <c r="AE21" s="1"/>
    </row>
    <row r="22" spans="1:31" customFormat="1" ht="15" customHeight="1">
      <c r="A22" s="1"/>
      <c r="B22" s="1"/>
      <c r="C22" s="2"/>
      <c r="D22" s="122" t="s">
        <v>152</v>
      </c>
      <c r="E22" s="15"/>
      <c r="F22" s="116"/>
      <c r="G22" s="116"/>
      <c r="H22" s="116"/>
      <c r="I22" s="116"/>
      <c r="J22" s="116"/>
      <c r="K22" s="117" t="str">
        <f t="shared" ref="K22:K46" si="0" xml:space="preserve"> Model.Units2</f>
        <v>kWh</v>
      </c>
      <c r="L22" s="123"/>
      <c r="M22" s="142"/>
      <c r="N22" s="116"/>
      <c r="O22" s="369"/>
      <c r="P22" s="369"/>
      <c r="Q22" s="369"/>
      <c r="R22" s="123">
        <f t="shared" ref="R22:V31" si="1" xml:space="preserve"> R$15 * R277</f>
        <v>0</v>
      </c>
      <c r="S22" s="123">
        <f t="shared" si="1"/>
        <v>0</v>
      </c>
      <c r="T22" s="123">
        <f t="shared" si="1"/>
        <v>0</v>
      </c>
      <c r="U22" s="123">
        <f t="shared" si="1"/>
        <v>0</v>
      </c>
      <c r="V22" s="123">
        <f t="shared" si="1"/>
        <v>0</v>
      </c>
      <c r="W22" s="15"/>
      <c r="X22" s="1"/>
      <c r="Y22" s="1"/>
      <c r="Z22" s="1"/>
      <c r="AA22" s="1"/>
      <c r="AB22" s="1"/>
      <c r="AC22" s="1"/>
      <c r="AD22" s="1"/>
      <c r="AE22" s="1"/>
    </row>
    <row r="23" spans="1:31" customFormat="1" ht="15" customHeight="1">
      <c r="A23" s="1"/>
      <c r="B23" s="1"/>
      <c r="C23" s="2"/>
      <c r="D23" s="124" t="s">
        <v>153</v>
      </c>
      <c r="E23" s="1"/>
      <c r="F23" s="107"/>
      <c r="G23" s="107"/>
      <c r="H23" s="107"/>
      <c r="I23" s="107"/>
      <c r="J23" s="107"/>
      <c r="K23" s="87" t="str">
        <f t="shared" si="0"/>
        <v>kWh</v>
      </c>
      <c r="L23" s="85"/>
      <c r="M23" s="119"/>
      <c r="N23" s="107"/>
      <c r="O23" s="370"/>
      <c r="P23" s="370"/>
      <c r="Q23" s="370"/>
      <c r="R23" s="85">
        <f t="shared" si="1"/>
        <v>0</v>
      </c>
      <c r="S23" s="85">
        <f t="shared" si="1"/>
        <v>0</v>
      </c>
      <c r="T23" s="85">
        <f t="shared" si="1"/>
        <v>0</v>
      </c>
      <c r="U23" s="85">
        <f t="shared" si="1"/>
        <v>0</v>
      </c>
      <c r="V23" s="85">
        <f t="shared" si="1"/>
        <v>0</v>
      </c>
      <c r="W23" s="1"/>
      <c r="X23" s="1"/>
      <c r="Y23" s="1"/>
      <c r="Z23" s="1"/>
      <c r="AA23" s="1"/>
      <c r="AB23" s="1"/>
      <c r="AC23" s="1"/>
      <c r="AD23" s="1"/>
      <c r="AE23" s="1"/>
    </row>
    <row r="24" spans="1:31" customFormat="1" ht="15" customHeight="1">
      <c r="A24" s="1"/>
      <c r="B24" s="1"/>
      <c r="C24" s="2"/>
      <c r="D24" s="124" t="s">
        <v>154</v>
      </c>
      <c r="E24" s="1"/>
      <c r="F24" s="107"/>
      <c r="G24" s="107"/>
      <c r="H24" s="107"/>
      <c r="I24" s="107"/>
      <c r="J24" s="107"/>
      <c r="K24" s="87" t="str">
        <f t="shared" si="0"/>
        <v>kWh</v>
      </c>
      <c r="L24" s="85"/>
      <c r="M24" s="119"/>
      <c r="N24" s="107"/>
      <c r="O24" s="370"/>
      <c r="P24" s="370"/>
      <c r="Q24" s="370"/>
      <c r="R24" s="85">
        <f t="shared" si="1"/>
        <v>0</v>
      </c>
      <c r="S24" s="85">
        <f t="shared" si="1"/>
        <v>0</v>
      </c>
      <c r="T24" s="85">
        <f t="shared" si="1"/>
        <v>0</v>
      </c>
      <c r="U24" s="85">
        <f t="shared" si="1"/>
        <v>0</v>
      </c>
      <c r="V24" s="85">
        <f t="shared" si="1"/>
        <v>0</v>
      </c>
      <c r="W24" s="1"/>
      <c r="X24" s="1"/>
      <c r="Y24" s="1"/>
      <c r="Z24" s="1"/>
      <c r="AA24" s="1"/>
      <c r="AB24" s="1"/>
      <c r="AC24" s="1"/>
      <c r="AD24" s="1"/>
      <c r="AE24" s="1"/>
    </row>
    <row r="25" spans="1:31" customFormat="1" ht="15" customHeight="1">
      <c r="A25" s="1"/>
      <c r="B25" s="1"/>
      <c r="C25" s="2"/>
      <c r="D25" s="124" t="s">
        <v>155</v>
      </c>
      <c r="E25" s="1"/>
      <c r="F25" s="107"/>
      <c r="G25" s="107"/>
      <c r="H25" s="107"/>
      <c r="I25" s="107"/>
      <c r="J25" s="107"/>
      <c r="K25" s="87" t="str">
        <f t="shared" si="0"/>
        <v>kWh</v>
      </c>
      <c r="L25" s="85"/>
      <c r="M25" s="119"/>
      <c r="N25" s="107"/>
      <c r="O25" s="370"/>
      <c r="P25" s="370"/>
      <c r="Q25" s="370"/>
      <c r="R25" s="85">
        <f t="shared" si="1"/>
        <v>0</v>
      </c>
      <c r="S25" s="85">
        <f t="shared" si="1"/>
        <v>0</v>
      </c>
      <c r="T25" s="85">
        <f t="shared" si="1"/>
        <v>0</v>
      </c>
      <c r="U25" s="85">
        <f t="shared" si="1"/>
        <v>0</v>
      </c>
      <c r="V25" s="85">
        <f t="shared" si="1"/>
        <v>0</v>
      </c>
      <c r="W25" s="1"/>
      <c r="X25" s="1"/>
      <c r="Y25" s="1"/>
      <c r="Z25" s="1"/>
      <c r="AA25" s="1"/>
      <c r="AB25" s="1"/>
      <c r="AC25" s="1"/>
      <c r="AD25" s="1"/>
      <c r="AE25" s="1"/>
    </row>
    <row r="26" spans="1:31" customFormat="1" ht="15" customHeight="1">
      <c r="A26" s="1"/>
      <c r="B26" s="1"/>
      <c r="C26" s="2"/>
      <c r="D26" s="124" t="s">
        <v>156</v>
      </c>
      <c r="E26" s="1"/>
      <c r="F26" s="107"/>
      <c r="G26" s="107"/>
      <c r="H26" s="107"/>
      <c r="I26" s="107"/>
      <c r="J26" s="107"/>
      <c r="K26" s="87" t="str">
        <f t="shared" si="0"/>
        <v>kWh</v>
      </c>
      <c r="L26" s="85"/>
      <c r="M26" s="119"/>
      <c r="N26" s="107"/>
      <c r="O26" s="370"/>
      <c r="P26" s="370"/>
      <c r="Q26" s="370"/>
      <c r="R26" s="85">
        <f t="shared" si="1"/>
        <v>0</v>
      </c>
      <c r="S26" s="85">
        <f t="shared" si="1"/>
        <v>0</v>
      </c>
      <c r="T26" s="85">
        <f t="shared" si="1"/>
        <v>0</v>
      </c>
      <c r="U26" s="85">
        <f t="shared" si="1"/>
        <v>0</v>
      </c>
      <c r="V26" s="85">
        <f t="shared" si="1"/>
        <v>0</v>
      </c>
      <c r="W26" s="1"/>
      <c r="X26" s="1"/>
      <c r="Y26" s="1"/>
      <c r="Z26" s="1"/>
      <c r="AA26" s="1"/>
      <c r="AB26" s="1"/>
      <c r="AC26" s="1"/>
      <c r="AD26" s="1"/>
      <c r="AE26" s="1"/>
    </row>
    <row r="27" spans="1:31" customFormat="1" ht="15" customHeight="1">
      <c r="A27" s="1"/>
      <c r="B27" s="1"/>
      <c r="C27" s="2"/>
      <c r="D27" s="124" t="s">
        <v>157</v>
      </c>
      <c r="E27" s="1"/>
      <c r="F27" s="107"/>
      <c r="G27" s="107"/>
      <c r="H27" s="107"/>
      <c r="I27" s="107"/>
      <c r="J27" s="107"/>
      <c r="K27" s="87" t="str">
        <f t="shared" si="0"/>
        <v>kWh</v>
      </c>
      <c r="L27" s="85"/>
      <c r="M27" s="119"/>
      <c r="N27" s="107"/>
      <c r="O27" s="370"/>
      <c r="P27" s="370"/>
      <c r="Q27" s="370"/>
      <c r="R27" s="85">
        <f t="shared" si="1"/>
        <v>0</v>
      </c>
      <c r="S27" s="85">
        <f t="shared" si="1"/>
        <v>0</v>
      </c>
      <c r="T27" s="85">
        <f t="shared" si="1"/>
        <v>0</v>
      </c>
      <c r="U27" s="85">
        <f t="shared" si="1"/>
        <v>0</v>
      </c>
      <c r="V27" s="85">
        <f t="shared" si="1"/>
        <v>0</v>
      </c>
      <c r="W27" s="1"/>
      <c r="X27" s="1"/>
      <c r="Y27" s="1"/>
      <c r="Z27" s="1"/>
      <c r="AA27" s="1"/>
      <c r="AB27" s="1"/>
      <c r="AC27" s="1"/>
      <c r="AD27" s="1"/>
      <c r="AE27" s="1"/>
    </row>
    <row r="28" spans="1:31" customFormat="1" ht="15" customHeight="1">
      <c r="A28" s="1"/>
      <c r="B28" s="1"/>
      <c r="C28" s="2"/>
      <c r="D28" s="124" t="s">
        <v>158</v>
      </c>
      <c r="E28" s="1"/>
      <c r="F28" s="107"/>
      <c r="G28" s="107"/>
      <c r="H28" s="107"/>
      <c r="I28" s="107"/>
      <c r="J28" s="107"/>
      <c r="K28" s="87" t="str">
        <f t="shared" si="0"/>
        <v>kWh</v>
      </c>
      <c r="L28" s="85"/>
      <c r="M28" s="119"/>
      <c r="N28" s="107"/>
      <c r="O28" s="370"/>
      <c r="P28" s="370"/>
      <c r="Q28" s="370"/>
      <c r="R28" s="85">
        <f t="shared" si="1"/>
        <v>0</v>
      </c>
      <c r="S28" s="85">
        <f t="shared" si="1"/>
        <v>0</v>
      </c>
      <c r="T28" s="85">
        <f t="shared" si="1"/>
        <v>0</v>
      </c>
      <c r="U28" s="85">
        <f t="shared" si="1"/>
        <v>0</v>
      </c>
      <c r="V28" s="85">
        <f t="shared" si="1"/>
        <v>0</v>
      </c>
      <c r="W28" s="1"/>
      <c r="X28" s="1"/>
      <c r="Y28" s="1"/>
      <c r="Z28" s="1"/>
      <c r="AA28" s="1"/>
      <c r="AB28" s="1"/>
      <c r="AC28" s="1"/>
      <c r="AD28" s="1"/>
      <c r="AE28" s="1"/>
    </row>
    <row r="29" spans="1:31" customFormat="1" ht="15" customHeight="1">
      <c r="A29" s="1"/>
      <c r="B29" s="1"/>
      <c r="C29" s="2"/>
      <c r="D29" s="124" t="s">
        <v>159</v>
      </c>
      <c r="E29" s="1"/>
      <c r="F29" s="107"/>
      <c r="G29" s="107"/>
      <c r="H29" s="107"/>
      <c r="I29" s="107"/>
      <c r="J29" s="107"/>
      <c r="K29" s="87" t="str">
        <f t="shared" si="0"/>
        <v>kWh</v>
      </c>
      <c r="L29" s="85"/>
      <c r="M29" s="119"/>
      <c r="N29" s="107"/>
      <c r="O29" s="370"/>
      <c r="P29" s="370"/>
      <c r="Q29" s="370"/>
      <c r="R29" s="85">
        <f t="shared" si="1"/>
        <v>0</v>
      </c>
      <c r="S29" s="85">
        <f t="shared" si="1"/>
        <v>0</v>
      </c>
      <c r="T29" s="85">
        <f t="shared" si="1"/>
        <v>0</v>
      </c>
      <c r="U29" s="85">
        <f t="shared" si="1"/>
        <v>0</v>
      </c>
      <c r="V29" s="85">
        <f t="shared" si="1"/>
        <v>0</v>
      </c>
      <c r="W29" s="1"/>
      <c r="X29" s="1"/>
      <c r="Y29" s="1"/>
      <c r="Z29" s="1"/>
      <c r="AA29" s="1"/>
      <c r="AB29" s="1"/>
      <c r="AC29" s="1"/>
      <c r="AD29" s="1"/>
      <c r="AE29" s="1"/>
    </row>
    <row r="30" spans="1:31" customFormat="1" ht="15" customHeight="1">
      <c r="A30" s="1"/>
      <c r="B30" s="1"/>
      <c r="C30" s="2"/>
      <c r="D30" s="124" t="s">
        <v>160</v>
      </c>
      <c r="E30" s="1"/>
      <c r="F30" s="107"/>
      <c r="G30" s="107"/>
      <c r="H30" s="107"/>
      <c r="I30" s="107"/>
      <c r="J30" s="107"/>
      <c r="K30" s="87" t="str">
        <f t="shared" si="0"/>
        <v>kWh</v>
      </c>
      <c r="L30" s="85"/>
      <c r="M30" s="119"/>
      <c r="N30" s="107"/>
      <c r="O30" s="370"/>
      <c r="P30" s="370"/>
      <c r="Q30" s="370"/>
      <c r="R30" s="85">
        <f t="shared" si="1"/>
        <v>0</v>
      </c>
      <c r="S30" s="85">
        <f t="shared" si="1"/>
        <v>0</v>
      </c>
      <c r="T30" s="85">
        <f t="shared" si="1"/>
        <v>0</v>
      </c>
      <c r="U30" s="85">
        <f t="shared" si="1"/>
        <v>0</v>
      </c>
      <c r="V30" s="85">
        <f t="shared" si="1"/>
        <v>0</v>
      </c>
      <c r="W30" s="1"/>
      <c r="X30" s="1"/>
      <c r="Y30" s="1"/>
      <c r="Z30" s="1"/>
      <c r="AA30" s="1"/>
      <c r="AB30" s="1"/>
      <c r="AC30" s="1"/>
      <c r="AD30" s="1"/>
      <c r="AE30" s="1"/>
    </row>
    <row r="31" spans="1:31" customFormat="1" ht="15" customHeight="1">
      <c r="A31" s="1"/>
      <c r="B31" s="1"/>
      <c r="C31" s="2"/>
      <c r="D31" s="124" t="s">
        <v>161</v>
      </c>
      <c r="E31" s="1"/>
      <c r="F31" s="107"/>
      <c r="G31" s="107"/>
      <c r="H31" s="107"/>
      <c r="I31" s="107"/>
      <c r="J31" s="107"/>
      <c r="K31" s="87" t="str">
        <f t="shared" si="0"/>
        <v>kWh</v>
      </c>
      <c r="L31" s="85"/>
      <c r="M31" s="119"/>
      <c r="N31" s="107"/>
      <c r="O31" s="370"/>
      <c r="P31" s="370"/>
      <c r="Q31" s="370"/>
      <c r="R31" s="85">
        <f t="shared" si="1"/>
        <v>0</v>
      </c>
      <c r="S31" s="85">
        <f t="shared" si="1"/>
        <v>0</v>
      </c>
      <c r="T31" s="85">
        <f t="shared" si="1"/>
        <v>0</v>
      </c>
      <c r="U31" s="85">
        <f t="shared" si="1"/>
        <v>0</v>
      </c>
      <c r="V31" s="85">
        <f t="shared" si="1"/>
        <v>0</v>
      </c>
      <c r="W31" s="1"/>
      <c r="X31" s="1"/>
      <c r="Y31" s="1"/>
      <c r="Z31" s="1"/>
      <c r="AA31" s="1"/>
      <c r="AB31" s="1"/>
      <c r="AC31" s="1"/>
      <c r="AD31" s="1"/>
      <c r="AE31" s="1"/>
    </row>
    <row r="32" spans="1:31" customFormat="1" ht="15" customHeight="1">
      <c r="A32" s="1"/>
      <c r="B32" s="1"/>
      <c r="C32" s="2"/>
      <c r="D32" s="124" t="s">
        <v>162</v>
      </c>
      <c r="E32" s="1"/>
      <c r="F32" s="107"/>
      <c r="G32" s="107"/>
      <c r="H32" s="107"/>
      <c r="I32" s="107"/>
      <c r="J32" s="107"/>
      <c r="K32" s="87" t="str">
        <f t="shared" si="0"/>
        <v>kWh</v>
      </c>
      <c r="L32" s="85"/>
      <c r="M32" s="119"/>
      <c r="N32" s="107"/>
      <c r="O32" s="370"/>
      <c r="P32" s="370"/>
      <c r="Q32" s="370"/>
      <c r="R32" s="85">
        <f t="shared" ref="R32:V41" si="2" xml:space="preserve"> R$15 * R287</f>
        <v>0</v>
      </c>
      <c r="S32" s="85">
        <f t="shared" si="2"/>
        <v>0</v>
      </c>
      <c r="T32" s="85">
        <f t="shared" si="2"/>
        <v>0</v>
      </c>
      <c r="U32" s="85">
        <f t="shared" si="2"/>
        <v>0</v>
      </c>
      <c r="V32" s="85">
        <f t="shared" si="2"/>
        <v>0</v>
      </c>
      <c r="W32" s="1"/>
      <c r="X32" s="1"/>
      <c r="Y32" s="1"/>
      <c r="Z32" s="1"/>
      <c r="AA32" s="1"/>
      <c r="AB32" s="1"/>
      <c r="AC32" s="1"/>
      <c r="AD32" s="1"/>
      <c r="AE32" s="1"/>
    </row>
    <row r="33" spans="1:31" customFormat="1" ht="15" customHeight="1">
      <c r="A33" s="1"/>
      <c r="B33" s="1"/>
      <c r="C33" s="2"/>
      <c r="D33" s="124" t="s">
        <v>163</v>
      </c>
      <c r="E33" s="1"/>
      <c r="F33" s="107"/>
      <c r="G33" s="107"/>
      <c r="H33" s="107"/>
      <c r="I33" s="107"/>
      <c r="J33" s="107"/>
      <c r="K33" s="87" t="str">
        <f t="shared" si="0"/>
        <v>kWh</v>
      </c>
      <c r="L33" s="85"/>
      <c r="M33" s="119"/>
      <c r="N33" s="107"/>
      <c r="O33" s="370"/>
      <c r="P33" s="370"/>
      <c r="Q33" s="370"/>
      <c r="R33" s="85">
        <f t="shared" si="2"/>
        <v>0</v>
      </c>
      <c r="S33" s="85">
        <f t="shared" si="2"/>
        <v>0</v>
      </c>
      <c r="T33" s="85">
        <f t="shared" si="2"/>
        <v>0</v>
      </c>
      <c r="U33" s="85">
        <f t="shared" si="2"/>
        <v>0</v>
      </c>
      <c r="V33" s="85">
        <f t="shared" si="2"/>
        <v>0</v>
      </c>
      <c r="W33" s="1"/>
      <c r="X33" s="1"/>
      <c r="Y33" s="1"/>
      <c r="Z33" s="1"/>
      <c r="AA33" s="1"/>
      <c r="AB33" s="1"/>
      <c r="AC33" s="1"/>
      <c r="AD33" s="1"/>
      <c r="AE33" s="1"/>
    </row>
    <row r="34" spans="1:31" customFormat="1" ht="15" customHeight="1">
      <c r="A34" s="1"/>
      <c r="B34" s="1"/>
      <c r="C34" s="2"/>
      <c r="D34" s="124" t="s">
        <v>164</v>
      </c>
      <c r="E34" s="1"/>
      <c r="F34" s="107"/>
      <c r="G34" s="107"/>
      <c r="H34" s="107"/>
      <c r="I34" s="107"/>
      <c r="J34" s="107"/>
      <c r="K34" s="87" t="str">
        <f t="shared" si="0"/>
        <v>kWh</v>
      </c>
      <c r="L34" s="85"/>
      <c r="M34" s="119"/>
      <c r="N34" s="107"/>
      <c r="O34" s="370"/>
      <c r="P34" s="370"/>
      <c r="Q34" s="370"/>
      <c r="R34" s="85">
        <f t="shared" si="2"/>
        <v>0</v>
      </c>
      <c r="S34" s="85">
        <f t="shared" si="2"/>
        <v>0</v>
      </c>
      <c r="T34" s="85">
        <f t="shared" si="2"/>
        <v>0</v>
      </c>
      <c r="U34" s="85">
        <f t="shared" si="2"/>
        <v>0</v>
      </c>
      <c r="V34" s="85">
        <f t="shared" si="2"/>
        <v>0</v>
      </c>
      <c r="W34" s="1"/>
      <c r="X34" s="1"/>
      <c r="Y34" s="1"/>
      <c r="Z34" s="1"/>
      <c r="AA34" s="1"/>
      <c r="AB34" s="1"/>
      <c r="AC34" s="1"/>
      <c r="AD34" s="1"/>
      <c r="AE34" s="1"/>
    </row>
    <row r="35" spans="1:31" customFormat="1" ht="15" customHeight="1">
      <c r="A35" s="1"/>
      <c r="B35" s="1"/>
      <c r="C35" s="2"/>
      <c r="D35" s="124" t="s">
        <v>165</v>
      </c>
      <c r="E35" s="1"/>
      <c r="F35" s="107"/>
      <c r="G35" s="107"/>
      <c r="H35" s="107"/>
      <c r="I35" s="107"/>
      <c r="J35" s="107"/>
      <c r="K35" s="87" t="str">
        <f t="shared" si="0"/>
        <v>kWh</v>
      </c>
      <c r="L35" s="85"/>
      <c r="M35" s="119"/>
      <c r="N35" s="107"/>
      <c r="O35" s="370"/>
      <c r="P35" s="370"/>
      <c r="Q35" s="370"/>
      <c r="R35" s="85">
        <f t="shared" si="2"/>
        <v>0</v>
      </c>
      <c r="S35" s="85">
        <f t="shared" si="2"/>
        <v>0</v>
      </c>
      <c r="T35" s="85">
        <f t="shared" si="2"/>
        <v>0</v>
      </c>
      <c r="U35" s="85">
        <f t="shared" si="2"/>
        <v>0</v>
      </c>
      <c r="V35" s="85">
        <f t="shared" si="2"/>
        <v>0</v>
      </c>
      <c r="W35" s="1"/>
      <c r="X35" s="1"/>
      <c r="Y35" s="1"/>
      <c r="Z35" s="1"/>
      <c r="AA35" s="1"/>
      <c r="AB35" s="1"/>
      <c r="AC35" s="1"/>
      <c r="AD35" s="1"/>
      <c r="AE35" s="1"/>
    </row>
    <row r="36" spans="1:31" customFormat="1" ht="15" customHeight="1">
      <c r="A36" s="1"/>
      <c r="B36" s="1"/>
      <c r="C36" s="2"/>
      <c r="D36" s="124" t="s">
        <v>166</v>
      </c>
      <c r="E36" s="1"/>
      <c r="F36" s="107"/>
      <c r="G36" s="107"/>
      <c r="H36" s="107"/>
      <c r="I36" s="107"/>
      <c r="J36" s="107"/>
      <c r="K36" s="87" t="str">
        <f t="shared" si="0"/>
        <v>kWh</v>
      </c>
      <c r="L36" s="85"/>
      <c r="M36" s="119"/>
      <c r="N36" s="107"/>
      <c r="O36" s="370"/>
      <c r="P36" s="370"/>
      <c r="Q36" s="370"/>
      <c r="R36" s="85">
        <f t="shared" si="2"/>
        <v>0</v>
      </c>
      <c r="S36" s="85">
        <f t="shared" si="2"/>
        <v>0</v>
      </c>
      <c r="T36" s="85">
        <f t="shared" si="2"/>
        <v>0</v>
      </c>
      <c r="U36" s="85">
        <f t="shared" si="2"/>
        <v>0</v>
      </c>
      <c r="V36" s="85">
        <f t="shared" si="2"/>
        <v>0</v>
      </c>
      <c r="W36" s="1"/>
      <c r="X36" s="1"/>
      <c r="Y36" s="1"/>
      <c r="Z36" s="1"/>
      <c r="AA36" s="1"/>
      <c r="AB36" s="1"/>
      <c r="AC36" s="1"/>
      <c r="AD36" s="1"/>
      <c r="AE36" s="1"/>
    </row>
    <row r="37" spans="1:31" customFormat="1" ht="15" customHeight="1">
      <c r="A37" s="1"/>
      <c r="B37" s="1"/>
      <c r="C37" s="2"/>
      <c r="D37" s="124" t="s">
        <v>167</v>
      </c>
      <c r="E37" s="1"/>
      <c r="F37" s="107"/>
      <c r="G37" s="107"/>
      <c r="H37" s="107"/>
      <c r="I37" s="107"/>
      <c r="J37" s="107"/>
      <c r="K37" s="87" t="str">
        <f t="shared" si="0"/>
        <v>kWh</v>
      </c>
      <c r="L37" s="85"/>
      <c r="M37" s="119"/>
      <c r="N37" s="107"/>
      <c r="O37" s="370"/>
      <c r="P37" s="370"/>
      <c r="Q37" s="370"/>
      <c r="R37" s="85">
        <f t="shared" si="2"/>
        <v>0</v>
      </c>
      <c r="S37" s="85">
        <f t="shared" si="2"/>
        <v>0</v>
      </c>
      <c r="T37" s="85">
        <f t="shared" si="2"/>
        <v>0</v>
      </c>
      <c r="U37" s="85">
        <f t="shared" si="2"/>
        <v>0</v>
      </c>
      <c r="V37" s="85">
        <f t="shared" si="2"/>
        <v>0</v>
      </c>
      <c r="W37" s="1"/>
      <c r="X37" s="1"/>
      <c r="Y37" s="1"/>
      <c r="Z37" s="1"/>
      <c r="AA37" s="1"/>
      <c r="AB37" s="1"/>
      <c r="AC37" s="1"/>
      <c r="AD37" s="1"/>
      <c r="AE37" s="1"/>
    </row>
    <row r="38" spans="1:31" customFormat="1" ht="15" customHeight="1">
      <c r="A38" s="1"/>
      <c r="B38" s="1"/>
      <c r="C38" s="2"/>
      <c r="D38" s="124" t="s">
        <v>168</v>
      </c>
      <c r="E38" s="1"/>
      <c r="F38" s="107"/>
      <c r="G38" s="107"/>
      <c r="H38" s="107"/>
      <c r="I38" s="107"/>
      <c r="J38" s="107"/>
      <c r="K38" s="87" t="str">
        <f t="shared" si="0"/>
        <v>kWh</v>
      </c>
      <c r="L38" s="85"/>
      <c r="M38" s="119"/>
      <c r="N38" s="107"/>
      <c r="O38" s="370"/>
      <c r="P38" s="370"/>
      <c r="Q38" s="370"/>
      <c r="R38" s="85">
        <f t="shared" si="2"/>
        <v>0</v>
      </c>
      <c r="S38" s="85">
        <f t="shared" si="2"/>
        <v>0</v>
      </c>
      <c r="T38" s="85">
        <f t="shared" si="2"/>
        <v>0</v>
      </c>
      <c r="U38" s="85">
        <f t="shared" si="2"/>
        <v>0</v>
      </c>
      <c r="V38" s="85">
        <f t="shared" si="2"/>
        <v>0</v>
      </c>
      <c r="W38" s="1"/>
      <c r="X38" s="1"/>
      <c r="Y38" s="1"/>
      <c r="Z38" s="1"/>
      <c r="AA38" s="1"/>
      <c r="AB38" s="1"/>
      <c r="AC38" s="1"/>
      <c r="AD38" s="1"/>
      <c r="AE38" s="1"/>
    </row>
    <row r="39" spans="1:31" customFormat="1" ht="15" customHeight="1">
      <c r="A39" s="1"/>
      <c r="B39" s="1"/>
      <c r="C39" s="2"/>
      <c r="D39" s="124" t="s">
        <v>169</v>
      </c>
      <c r="E39" s="1"/>
      <c r="F39" s="107"/>
      <c r="G39" s="107"/>
      <c r="H39" s="107"/>
      <c r="I39" s="107"/>
      <c r="J39" s="107"/>
      <c r="K39" s="87" t="str">
        <f t="shared" si="0"/>
        <v>kWh</v>
      </c>
      <c r="L39" s="85"/>
      <c r="M39" s="119"/>
      <c r="N39" s="107"/>
      <c r="O39" s="370"/>
      <c r="P39" s="370"/>
      <c r="Q39" s="370"/>
      <c r="R39" s="85">
        <f t="shared" si="2"/>
        <v>0</v>
      </c>
      <c r="S39" s="85">
        <f t="shared" si="2"/>
        <v>0</v>
      </c>
      <c r="T39" s="85">
        <f t="shared" si="2"/>
        <v>0</v>
      </c>
      <c r="U39" s="85">
        <f t="shared" si="2"/>
        <v>0</v>
      </c>
      <c r="V39" s="85">
        <f t="shared" si="2"/>
        <v>0</v>
      </c>
      <c r="W39" s="1"/>
      <c r="X39" s="1"/>
      <c r="Y39" s="1"/>
      <c r="Z39" s="1"/>
      <c r="AA39" s="1"/>
      <c r="AB39" s="1"/>
      <c r="AC39" s="1"/>
      <c r="AD39" s="1"/>
      <c r="AE39" s="1"/>
    </row>
    <row r="40" spans="1:31" customFormat="1" ht="15" customHeight="1">
      <c r="A40" s="1"/>
      <c r="B40" s="1"/>
      <c r="C40" s="2"/>
      <c r="D40" s="124" t="s">
        <v>170</v>
      </c>
      <c r="E40" s="1"/>
      <c r="F40" s="107"/>
      <c r="G40" s="107"/>
      <c r="H40" s="107"/>
      <c r="I40" s="107"/>
      <c r="J40" s="107"/>
      <c r="K40" s="87" t="str">
        <f t="shared" si="0"/>
        <v>kWh</v>
      </c>
      <c r="L40" s="85"/>
      <c r="M40" s="119"/>
      <c r="N40" s="107"/>
      <c r="O40" s="370"/>
      <c r="P40" s="370"/>
      <c r="Q40" s="370"/>
      <c r="R40" s="85">
        <f t="shared" si="2"/>
        <v>0</v>
      </c>
      <c r="S40" s="85">
        <f t="shared" si="2"/>
        <v>0</v>
      </c>
      <c r="T40" s="85">
        <f t="shared" si="2"/>
        <v>0</v>
      </c>
      <c r="U40" s="85">
        <f t="shared" si="2"/>
        <v>0</v>
      </c>
      <c r="V40" s="85">
        <f t="shared" si="2"/>
        <v>0</v>
      </c>
      <c r="W40" s="1"/>
      <c r="X40" s="1"/>
      <c r="Y40" s="1"/>
      <c r="Z40" s="1"/>
      <c r="AA40" s="1"/>
      <c r="AB40" s="1"/>
      <c r="AC40" s="1"/>
      <c r="AD40" s="1"/>
      <c r="AE40" s="1"/>
    </row>
    <row r="41" spans="1:31" customFormat="1" ht="15" customHeight="1">
      <c r="A41" s="1"/>
      <c r="B41" s="1"/>
      <c r="C41" s="2"/>
      <c r="D41" s="124" t="s">
        <v>171</v>
      </c>
      <c r="E41" s="1"/>
      <c r="F41" s="107"/>
      <c r="G41" s="107"/>
      <c r="H41" s="107"/>
      <c r="I41" s="107"/>
      <c r="J41" s="107"/>
      <c r="K41" s="87" t="str">
        <f t="shared" si="0"/>
        <v>kWh</v>
      </c>
      <c r="L41" s="85"/>
      <c r="M41" s="119"/>
      <c r="N41" s="107"/>
      <c r="O41" s="370"/>
      <c r="P41" s="370"/>
      <c r="Q41" s="370"/>
      <c r="R41" s="85">
        <f t="shared" si="2"/>
        <v>0</v>
      </c>
      <c r="S41" s="85">
        <f t="shared" si="2"/>
        <v>0</v>
      </c>
      <c r="T41" s="85">
        <f t="shared" si="2"/>
        <v>0</v>
      </c>
      <c r="U41" s="85">
        <f t="shared" si="2"/>
        <v>0</v>
      </c>
      <c r="V41" s="85">
        <f t="shared" si="2"/>
        <v>0</v>
      </c>
      <c r="W41" s="1"/>
      <c r="X41" s="1"/>
      <c r="Y41" s="1"/>
      <c r="Z41" s="1"/>
      <c r="AA41" s="1"/>
      <c r="AB41" s="1"/>
      <c r="AC41" s="1"/>
      <c r="AD41" s="1"/>
      <c r="AE41" s="1"/>
    </row>
    <row r="42" spans="1:31" customFormat="1" ht="15" customHeight="1">
      <c r="A42" s="1"/>
      <c r="B42" s="1"/>
      <c r="C42" s="2"/>
      <c r="D42" s="124" t="s">
        <v>172</v>
      </c>
      <c r="E42" s="1"/>
      <c r="F42" s="107"/>
      <c r="G42" s="107"/>
      <c r="H42" s="107"/>
      <c r="I42" s="107"/>
      <c r="J42" s="107"/>
      <c r="K42" s="87" t="str">
        <f t="shared" si="0"/>
        <v>kWh</v>
      </c>
      <c r="L42" s="85"/>
      <c r="M42" s="119"/>
      <c r="N42" s="107"/>
      <c r="O42" s="370"/>
      <c r="P42" s="370"/>
      <c r="Q42" s="370"/>
      <c r="R42" s="85">
        <f t="shared" ref="R42:V45" si="3" xml:space="preserve"> R$15 * R297</f>
        <v>0</v>
      </c>
      <c r="S42" s="85">
        <f t="shared" si="3"/>
        <v>0</v>
      </c>
      <c r="T42" s="85">
        <f t="shared" si="3"/>
        <v>0</v>
      </c>
      <c r="U42" s="85">
        <f t="shared" si="3"/>
        <v>0</v>
      </c>
      <c r="V42" s="85">
        <f t="shared" si="3"/>
        <v>0</v>
      </c>
      <c r="W42" s="1"/>
      <c r="X42" s="1"/>
      <c r="Y42" s="1"/>
      <c r="Z42" s="1"/>
      <c r="AA42" s="1"/>
      <c r="AB42" s="1"/>
      <c r="AC42" s="1"/>
      <c r="AD42" s="1"/>
      <c r="AE42" s="1"/>
    </row>
    <row r="43" spans="1:31" customFormat="1" ht="15" customHeight="1">
      <c r="A43" s="1"/>
      <c r="B43" s="1"/>
      <c r="C43" s="2"/>
      <c r="D43" s="124" t="s">
        <v>173</v>
      </c>
      <c r="E43" s="1"/>
      <c r="F43" s="107"/>
      <c r="G43" s="107"/>
      <c r="H43" s="107"/>
      <c r="I43" s="107"/>
      <c r="J43" s="107"/>
      <c r="K43" s="87" t="str">
        <f t="shared" si="0"/>
        <v>kWh</v>
      </c>
      <c r="L43" s="85"/>
      <c r="M43" s="119"/>
      <c r="N43" s="107"/>
      <c r="O43" s="370"/>
      <c r="P43" s="370"/>
      <c r="Q43" s="370"/>
      <c r="R43" s="85">
        <f t="shared" si="3"/>
        <v>0</v>
      </c>
      <c r="S43" s="85">
        <f t="shared" si="3"/>
        <v>0</v>
      </c>
      <c r="T43" s="85">
        <f t="shared" si="3"/>
        <v>0</v>
      </c>
      <c r="U43" s="85">
        <f t="shared" si="3"/>
        <v>0</v>
      </c>
      <c r="V43" s="85">
        <f t="shared" si="3"/>
        <v>0</v>
      </c>
      <c r="W43" s="1"/>
      <c r="X43" s="1"/>
      <c r="Y43" s="1"/>
      <c r="Z43" s="1"/>
      <c r="AA43" s="1"/>
      <c r="AB43" s="1"/>
      <c r="AC43" s="1"/>
      <c r="AD43" s="1"/>
      <c r="AE43" s="1"/>
    </row>
    <row r="44" spans="1:31" customFormat="1" ht="15" customHeight="1">
      <c r="A44" s="1"/>
      <c r="B44" s="1"/>
      <c r="C44" s="2"/>
      <c r="D44" s="124" t="s">
        <v>174</v>
      </c>
      <c r="E44" s="1"/>
      <c r="F44" s="107"/>
      <c r="G44" s="107"/>
      <c r="H44" s="107"/>
      <c r="I44" s="107"/>
      <c r="J44" s="107"/>
      <c r="K44" s="87" t="str">
        <f t="shared" si="0"/>
        <v>kWh</v>
      </c>
      <c r="L44" s="85"/>
      <c r="M44" s="119"/>
      <c r="N44" s="107"/>
      <c r="O44" s="370"/>
      <c r="P44" s="370"/>
      <c r="Q44" s="370"/>
      <c r="R44" s="85">
        <f t="shared" si="3"/>
        <v>0</v>
      </c>
      <c r="S44" s="85">
        <f t="shared" si="3"/>
        <v>0</v>
      </c>
      <c r="T44" s="85">
        <f t="shared" si="3"/>
        <v>0</v>
      </c>
      <c r="U44" s="85">
        <f t="shared" si="3"/>
        <v>0</v>
      </c>
      <c r="V44" s="85">
        <f t="shared" si="3"/>
        <v>0</v>
      </c>
      <c r="W44" s="1"/>
      <c r="X44" s="1"/>
      <c r="Y44" s="1"/>
      <c r="Z44" s="1"/>
      <c r="AA44" s="1"/>
      <c r="AB44" s="1"/>
      <c r="AC44" s="1"/>
      <c r="AD44" s="1"/>
      <c r="AE44" s="1"/>
    </row>
    <row r="45" spans="1:31" customFormat="1" ht="15" customHeight="1">
      <c r="A45" s="1"/>
      <c r="B45" s="1"/>
      <c r="C45" s="2"/>
      <c r="D45" s="125" t="s">
        <v>175</v>
      </c>
      <c r="E45" s="27"/>
      <c r="F45" s="115"/>
      <c r="G45" s="115"/>
      <c r="H45" s="115"/>
      <c r="I45" s="115"/>
      <c r="J45" s="115"/>
      <c r="K45" s="98" t="str">
        <f t="shared" si="0"/>
        <v>kWh</v>
      </c>
      <c r="L45" s="99"/>
      <c r="M45" s="151"/>
      <c r="N45" s="115"/>
      <c r="O45" s="368"/>
      <c r="P45" s="368"/>
      <c r="Q45" s="368"/>
      <c r="R45" s="99">
        <f t="shared" si="3"/>
        <v>0</v>
      </c>
      <c r="S45" s="99">
        <f t="shared" si="3"/>
        <v>0</v>
      </c>
      <c r="T45" s="99">
        <f t="shared" si="3"/>
        <v>0</v>
      </c>
      <c r="U45" s="99">
        <f t="shared" si="3"/>
        <v>0</v>
      </c>
      <c r="V45" s="99">
        <f t="shared" si="3"/>
        <v>0</v>
      </c>
      <c r="W45" s="27"/>
      <c r="X45" s="1"/>
      <c r="Y45" s="1"/>
      <c r="Z45" s="1"/>
      <c r="AA45" s="1"/>
      <c r="AB45" s="1"/>
      <c r="AC45" s="1"/>
      <c r="AD45" s="1"/>
      <c r="AE45" s="1"/>
    </row>
    <row r="46" spans="1:31" customFormat="1" ht="15" customHeight="1">
      <c r="A46" s="1"/>
      <c r="B46" s="1"/>
      <c r="C46" s="2"/>
      <c r="D46" s="105" t="s">
        <v>16</v>
      </c>
      <c r="E46" s="186"/>
      <c r="F46" s="120"/>
      <c r="G46" s="120"/>
      <c r="H46" s="120"/>
      <c r="I46" s="120"/>
      <c r="J46" s="120"/>
      <c r="K46" s="106" t="str">
        <f t="shared" si="0"/>
        <v>kWh</v>
      </c>
      <c r="L46" s="105"/>
      <c r="M46" s="105"/>
      <c r="N46" s="120"/>
      <c r="O46" s="371"/>
      <c r="P46" s="371"/>
      <c r="Q46" s="371"/>
      <c r="R46" s="35">
        <f xml:space="preserve"> SUM( R22:R45 )</f>
        <v>0</v>
      </c>
      <c r="S46" s="35">
        <f xml:space="preserve"> SUM( S22:S45 )</f>
        <v>0</v>
      </c>
      <c r="T46" s="35">
        <f xml:space="preserve"> SUM( T22:T45 )</f>
        <v>0</v>
      </c>
      <c r="U46" s="35">
        <f xml:space="preserve"> SUM( U22:U45 )</f>
        <v>0</v>
      </c>
      <c r="V46" s="35">
        <f xml:space="preserve"> SUM( V22:V45 )</f>
        <v>0</v>
      </c>
      <c r="W46" s="33"/>
      <c r="X46" s="1"/>
      <c r="Y46" s="1"/>
      <c r="Z46" s="1"/>
      <c r="AA46" s="1"/>
      <c r="AB46" s="1"/>
      <c r="AC46" s="1"/>
      <c r="AD46" s="1"/>
      <c r="AE46" s="1"/>
    </row>
    <row r="47" spans="1:31" customFormat="1" ht="15" customHeight="1">
      <c r="A47" s="1"/>
      <c r="B47" s="1"/>
      <c r="C47" s="2"/>
      <c r="D47" s="85"/>
      <c r="E47" s="1"/>
      <c r="F47" s="86"/>
      <c r="G47" s="86"/>
      <c r="H47" s="86"/>
      <c r="I47" s="86"/>
      <c r="J47" s="86"/>
      <c r="K47" s="87"/>
      <c r="L47" s="85"/>
      <c r="M47" s="85"/>
      <c r="N47" s="86"/>
      <c r="O47" s="86"/>
      <c r="P47" s="86"/>
      <c r="Q47" s="86"/>
      <c r="R47" s="1"/>
      <c r="S47" s="1"/>
      <c r="T47" s="1"/>
      <c r="U47" s="1"/>
      <c r="V47" s="1"/>
      <c r="W47" s="1"/>
      <c r="X47" s="1"/>
      <c r="Y47" s="1"/>
      <c r="Z47" s="1"/>
      <c r="AA47" s="1"/>
      <c r="AB47" s="1"/>
      <c r="AC47" s="1"/>
      <c r="AD47" s="1"/>
      <c r="AE47" s="1"/>
    </row>
    <row r="48" spans="1:31" customFormat="1" ht="15" customHeight="1">
      <c r="A48" s="1"/>
      <c r="B48" s="1"/>
      <c r="C48" s="2"/>
      <c r="D48" s="88" t="s">
        <v>187</v>
      </c>
      <c r="E48" s="1"/>
      <c r="F48" s="107"/>
      <c r="G48" s="107"/>
      <c r="H48" s="107"/>
      <c r="I48" s="107"/>
      <c r="J48" s="107"/>
      <c r="K48" s="87"/>
      <c r="L48" s="85"/>
      <c r="M48" s="85"/>
      <c r="N48" s="107"/>
      <c r="O48" s="107"/>
      <c r="P48" s="107"/>
      <c r="Q48" s="107"/>
      <c r="R48" s="1"/>
      <c r="S48" s="1"/>
      <c r="T48" s="1"/>
      <c r="U48" s="1"/>
      <c r="V48" s="1"/>
      <c r="W48" s="1"/>
      <c r="X48" s="1"/>
      <c r="Y48" s="1"/>
      <c r="Z48" s="1"/>
      <c r="AA48" s="1"/>
      <c r="AB48" s="1"/>
      <c r="AC48" s="1"/>
      <c r="AD48" s="1"/>
      <c r="AE48" s="1"/>
    </row>
    <row r="49" spans="1:31" customFormat="1" ht="15" customHeight="1">
      <c r="A49" s="1"/>
      <c r="B49" s="1"/>
      <c r="C49" s="2"/>
      <c r="D49" s="122" t="s">
        <v>152</v>
      </c>
      <c r="E49" s="15"/>
      <c r="F49" s="116"/>
      <c r="G49" s="116"/>
      <c r="H49" s="116"/>
      <c r="I49" s="116"/>
      <c r="J49" s="116"/>
      <c r="K49" s="117" t="str">
        <f t="shared" ref="K49:K73" si="4" xml:space="preserve"> Model.Units2</f>
        <v>kWh</v>
      </c>
      <c r="L49" s="123"/>
      <c r="M49" s="142"/>
      <c r="N49" s="116"/>
      <c r="O49" s="369"/>
      <c r="P49" s="369"/>
      <c r="Q49" s="369"/>
      <c r="R49" s="123">
        <f t="shared" ref="R49:V58" si="5" xml:space="preserve"> R$15 * R305</f>
        <v>0</v>
      </c>
      <c r="S49" s="123">
        <f t="shared" si="5"/>
        <v>0</v>
      </c>
      <c r="T49" s="123">
        <f t="shared" si="5"/>
        <v>0</v>
      </c>
      <c r="U49" s="123">
        <f t="shared" si="5"/>
        <v>0</v>
      </c>
      <c r="V49" s="123">
        <f t="shared" si="5"/>
        <v>0</v>
      </c>
      <c r="W49" s="15"/>
      <c r="X49" s="1"/>
      <c r="Y49" s="1"/>
      <c r="Z49" s="1"/>
      <c r="AA49" s="1"/>
      <c r="AB49" s="1"/>
      <c r="AC49" s="1"/>
      <c r="AD49" s="1"/>
      <c r="AE49" s="1"/>
    </row>
    <row r="50" spans="1:31" customFormat="1" ht="15" customHeight="1">
      <c r="A50" s="1"/>
      <c r="B50" s="1"/>
      <c r="C50" s="2"/>
      <c r="D50" s="124" t="s">
        <v>153</v>
      </c>
      <c r="E50" s="1"/>
      <c r="F50" s="107"/>
      <c r="G50" s="107"/>
      <c r="H50" s="107"/>
      <c r="I50" s="107"/>
      <c r="J50" s="107"/>
      <c r="K50" s="87" t="str">
        <f t="shared" si="4"/>
        <v>kWh</v>
      </c>
      <c r="L50" s="85"/>
      <c r="M50" s="119"/>
      <c r="N50" s="107"/>
      <c r="O50" s="370"/>
      <c r="P50" s="370"/>
      <c r="Q50" s="370"/>
      <c r="R50" s="85">
        <f t="shared" si="5"/>
        <v>0</v>
      </c>
      <c r="S50" s="85">
        <f t="shared" si="5"/>
        <v>0</v>
      </c>
      <c r="T50" s="85">
        <f t="shared" si="5"/>
        <v>0</v>
      </c>
      <c r="U50" s="85">
        <f t="shared" si="5"/>
        <v>0</v>
      </c>
      <c r="V50" s="85">
        <f t="shared" si="5"/>
        <v>0</v>
      </c>
      <c r="W50" s="1"/>
      <c r="X50" s="1"/>
      <c r="Y50" s="1"/>
      <c r="Z50" s="1"/>
      <c r="AA50" s="1"/>
      <c r="AB50" s="1"/>
      <c r="AC50" s="1"/>
      <c r="AD50" s="1"/>
      <c r="AE50" s="1"/>
    </row>
    <row r="51" spans="1:31" customFormat="1" ht="15" customHeight="1">
      <c r="A51" s="1"/>
      <c r="B51" s="1"/>
      <c r="C51" s="2"/>
      <c r="D51" s="124" t="s">
        <v>154</v>
      </c>
      <c r="E51" s="1"/>
      <c r="F51" s="107"/>
      <c r="G51" s="107"/>
      <c r="H51" s="107"/>
      <c r="I51" s="107"/>
      <c r="J51" s="107"/>
      <c r="K51" s="87" t="str">
        <f t="shared" si="4"/>
        <v>kWh</v>
      </c>
      <c r="L51" s="85"/>
      <c r="M51" s="119"/>
      <c r="N51" s="107"/>
      <c r="O51" s="370"/>
      <c r="P51" s="370"/>
      <c r="Q51" s="370"/>
      <c r="R51" s="85">
        <f t="shared" si="5"/>
        <v>0</v>
      </c>
      <c r="S51" s="85">
        <f t="shared" si="5"/>
        <v>0</v>
      </c>
      <c r="T51" s="85">
        <f t="shared" si="5"/>
        <v>0</v>
      </c>
      <c r="U51" s="85">
        <f t="shared" si="5"/>
        <v>0</v>
      </c>
      <c r="V51" s="85">
        <f t="shared" si="5"/>
        <v>0</v>
      </c>
      <c r="W51" s="1"/>
      <c r="X51" s="1"/>
      <c r="Y51" s="1"/>
      <c r="Z51" s="1"/>
      <c r="AA51" s="1"/>
      <c r="AB51" s="1"/>
      <c r="AC51" s="1"/>
      <c r="AD51" s="1"/>
      <c r="AE51" s="1"/>
    </row>
    <row r="52" spans="1:31" customFormat="1" ht="15" customHeight="1">
      <c r="A52" s="1"/>
      <c r="B52" s="1"/>
      <c r="C52" s="2"/>
      <c r="D52" s="124" t="s">
        <v>155</v>
      </c>
      <c r="E52" s="1"/>
      <c r="F52" s="107"/>
      <c r="G52" s="107"/>
      <c r="H52" s="107"/>
      <c r="I52" s="107"/>
      <c r="J52" s="107"/>
      <c r="K52" s="87" t="str">
        <f t="shared" si="4"/>
        <v>kWh</v>
      </c>
      <c r="L52" s="85"/>
      <c r="M52" s="119"/>
      <c r="N52" s="107"/>
      <c r="O52" s="370"/>
      <c r="P52" s="370"/>
      <c r="Q52" s="370"/>
      <c r="R52" s="85">
        <f t="shared" si="5"/>
        <v>0</v>
      </c>
      <c r="S52" s="85">
        <f t="shared" si="5"/>
        <v>0</v>
      </c>
      <c r="T52" s="85">
        <f t="shared" si="5"/>
        <v>0</v>
      </c>
      <c r="U52" s="85">
        <f t="shared" si="5"/>
        <v>0</v>
      </c>
      <c r="V52" s="85">
        <f t="shared" si="5"/>
        <v>0</v>
      </c>
      <c r="W52" s="1"/>
      <c r="X52" s="1"/>
      <c r="Y52" s="1"/>
      <c r="Z52" s="1"/>
      <c r="AA52" s="1"/>
      <c r="AB52" s="1"/>
      <c r="AC52" s="1"/>
      <c r="AD52" s="1"/>
      <c r="AE52" s="1"/>
    </row>
    <row r="53" spans="1:31" customFormat="1" ht="15" customHeight="1">
      <c r="A53" s="1"/>
      <c r="B53" s="1"/>
      <c r="C53" s="2"/>
      <c r="D53" s="124" t="s">
        <v>156</v>
      </c>
      <c r="E53" s="1"/>
      <c r="F53" s="107"/>
      <c r="G53" s="107"/>
      <c r="H53" s="107"/>
      <c r="I53" s="107"/>
      <c r="J53" s="107"/>
      <c r="K53" s="87" t="str">
        <f t="shared" si="4"/>
        <v>kWh</v>
      </c>
      <c r="L53" s="85"/>
      <c r="M53" s="119"/>
      <c r="N53" s="107"/>
      <c r="O53" s="370"/>
      <c r="P53" s="370"/>
      <c r="Q53" s="370"/>
      <c r="R53" s="85">
        <f t="shared" si="5"/>
        <v>0</v>
      </c>
      <c r="S53" s="85">
        <f t="shared" si="5"/>
        <v>0</v>
      </c>
      <c r="T53" s="85">
        <f t="shared" si="5"/>
        <v>0</v>
      </c>
      <c r="U53" s="85">
        <f t="shared" si="5"/>
        <v>0</v>
      </c>
      <c r="V53" s="85">
        <f t="shared" si="5"/>
        <v>0</v>
      </c>
      <c r="W53" s="1"/>
      <c r="X53" s="1"/>
      <c r="Y53" s="1"/>
      <c r="Z53" s="1"/>
      <c r="AA53" s="1"/>
      <c r="AB53" s="1"/>
      <c r="AC53" s="1"/>
      <c r="AD53" s="1"/>
      <c r="AE53" s="1"/>
    </row>
    <row r="54" spans="1:31" customFormat="1" ht="15" customHeight="1">
      <c r="A54" s="1"/>
      <c r="B54" s="1"/>
      <c r="C54" s="2"/>
      <c r="D54" s="124" t="s">
        <v>157</v>
      </c>
      <c r="E54" s="1"/>
      <c r="F54" s="107"/>
      <c r="G54" s="107"/>
      <c r="H54" s="107"/>
      <c r="I54" s="107"/>
      <c r="J54" s="107"/>
      <c r="K54" s="87" t="str">
        <f t="shared" si="4"/>
        <v>kWh</v>
      </c>
      <c r="L54" s="85"/>
      <c r="M54" s="119"/>
      <c r="N54" s="107"/>
      <c r="O54" s="370"/>
      <c r="P54" s="370"/>
      <c r="Q54" s="370"/>
      <c r="R54" s="85">
        <f t="shared" si="5"/>
        <v>0</v>
      </c>
      <c r="S54" s="85">
        <f t="shared" si="5"/>
        <v>0</v>
      </c>
      <c r="T54" s="85">
        <f t="shared" si="5"/>
        <v>0</v>
      </c>
      <c r="U54" s="85">
        <f t="shared" si="5"/>
        <v>0</v>
      </c>
      <c r="V54" s="85">
        <f t="shared" si="5"/>
        <v>0</v>
      </c>
      <c r="W54" s="1"/>
      <c r="X54" s="1"/>
      <c r="Y54" s="1"/>
      <c r="Z54" s="1"/>
      <c r="AA54" s="1"/>
      <c r="AB54" s="1"/>
      <c r="AC54" s="1"/>
      <c r="AD54" s="1"/>
      <c r="AE54" s="1"/>
    </row>
    <row r="55" spans="1:31" customFormat="1" ht="15" customHeight="1">
      <c r="A55" s="1"/>
      <c r="B55" s="1"/>
      <c r="C55" s="2"/>
      <c r="D55" s="124" t="s">
        <v>158</v>
      </c>
      <c r="E55" s="1"/>
      <c r="F55" s="107"/>
      <c r="G55" s="107"/>
      <c r="H55" s="107"/>
      <c r="I55" s="107"/>
      <c r="J55" s="107"/>
      <c r="K55" s="87" t="str">
        <f t="shared" si="4"/>
        <v>kWh</v>
      </c>
      <c r="L55" s="85"/>
      <c r="M55" s="119"/>
      <c r="N55" s="107"/>
      <c r="O55" s="370"/>
      <c r="P55" s="370"/>
      <c r="Q55" s="370"/>
      <c r="R55" s="85">
        <f t="shared" si="5"/>
        <v>0</v>
      </c>
      <c r="S55" s="85">
        <f t="shared" si="5"/>
        <v>0</v>
      </c>
      <c r="T55" s="85">
        <f t="shared" si="5"/>
        <v>0</v>
      </c>
      <c r="U55" s="85">
        <f t="shared" si="5"/>
        <v>0</v>
      </c>
      <c r="V55" s="85">
        <f t="shared" si="5"/>
        <v>0</v>
      </c>
      <c r="W55" s="1"/>
      <c r="X55" s="1"/>
      <c r="Y55" s="1"/>
      <c r="Z55" s="1"/>
      <c r="AA55" s="1"/>
      <c r="AB55" s="1"/>
      <c r="AC55" s="1"/>
      <c r="AD55" s="1"/>
      <c r="AE55" s="1"/>
    </row>
    <row r="56" spans="1:31" customFormat="1" ht="15" customHeight="1">
      <c r="A56" s="1"/>
      <c r="B56" s="1"/>
      <c r="C56" s="2"/>
      <c r="D56" s="124" t="s">
        <v>159</v>
      </c>
      <c r="E56" s="1"/>
      <c r="F56" s="107"/>
      <c r="G56" s="107"/>
      <c r="H56" s="107"/>
      <c r="I56" s="107"/>
      <c r="J56" s="107"/>
      <c r="K56" s="87" t="str">
        <f t="shared" si="4"/>
        <v>kWh</v>
      </c>
      <c r="L56" s="85"/>
      <c r="M56" s="119"/>
      <c r="N56" s="107"/>
      <c r="O56" s="370"/>
      <c r="P56" s="370"/>
      <c r="Q56" s="370"/>
      <c r="R56" s="85">
        <f t="shared" si="5"/>
        <v>0</v>
      </c>
      <c r="S56" s="85">
        <f t="shared" si="5"/>
        <v>0</v>
      </c>
      <c r="T56" s="85">
        <f t="shared" si="5"/>
        <v>0</v>
      </c>
      <c r="U56" s="85">
        <f t="shared" si="5"/>
        <v>0</v>
      </c>
      <c r="V56" s="85">
        <f t="shared" si="5"/>
        <v>0</v>
      </c>
      <c r="W56" s="1"/>
      <c r="X56" s="1"/>
      <c r="Y56" s="1"/>
      <c r="Z56" s="1"/>
      <c r="AA56" s="1"/>
      <c r="AB56" s="1"/>
      <c r="AC56" s="1"/>
      <c r="AD56" s="1"/>
      <c r="AE56" s="1"/>
    </row>
    <row r="57" spans="1:31" customFormat="1" ht="15" customHeight="1">
      <c r="A57" s="1"/>
      <c r="B57" s="1"/>
      <c r="C57" s="2"/>
      <c r="D57" s="124" t="s">
        <v>160</v>
      </c>
      <c r="E57" s="1"/>
      <c r="F57" s="107"/>
      <c r="G57" s="107"/>
      <c r="H57" s="107"/>
      <c r="I57" s="107"/>
      <c r="J57" s="107"/>
      <c r="K57" s="87" t="str">
        <f t="shared" si="4"/>
        <v>kWh</v>
      </c>
      <c r="L57" s="85"/>
      <c r="M57" s="119"/>
      <c r="N57" s="107"/>
      <c r="O57" s="370"/>
      <c r="P57" s="370"/>
      <c r="Q57" s="370"/>
      <c r="R57" s="85">
        <f t="shared" si="5"/>
        <v>0</v>
      </c>
      <c r="S57" s="85">
        <f t="shared" si="5"/>
        <v>0</v>
      </c>
      <c r="T57" s="85">
        <f t="shared" si="5"/>
        <v>0</v>
      </c>
      <c r="U57" s="85">
        <f t="shared" si="5"/>
        <v>0</v>
      </c>
      <c r="V57" s="85">
        <f t="shared" si="5"/>
        <v>0</v>
      </c>
      <c r="W57" s="1"/>
      <c r="X57" s="1"/>
      <c r="Y57" s="1"/>
      <c r="Z57" s="1"/>
      <c r="AA57" s="1"/>
      <c r="AB57" s="1"/>
      <c r="AC57" s="1"/>
      <c r="AD57" s="1"/>
      <c r="AE57" s="1"/>
    </row>
    <row r="58" spans="1:31" customFormat="1" ht="15" customHeight="1">
      <c r="A58" s="1"/>
      <c r="B58" s="1"/>
      <c r="C58" s="2"/>
      <c r="D58" s="124" t="s">
        <v>161</v>
      </c>
      <c r="E58" s="1"/>
      <c r="F58" s="107"/>
      <c r="G58" s="107"/>
      <c r="H58" s="107"/>
      <c r="I58" s="107"/>
      <c r="J58" s="107"/>
      <c r="K58" s="87" t="str">
        <f t="shared" si="4"/>
        <v>kWh</v>
      </c>
      <c r="L58" s="85"/>
      <c r="M58" s="119"/>
      <c r="N58" s="107"/>
      <c r="O58" s="370"/>
      <c r="P58" s="370"/>
      <c r="Q58" s="370"/>
      <c r="R58" s="85">
        <f t="shared" si="5"/>
        <v>0</v>
      </c>
      <c r="S58" s="85">
        <f t="shared" si="5"/>
        <v>0</v>
      </c>
      <c r="T58" s="85">
        <f t="shared" si="5"/>
        <v>0</v>
      </c>
      <c r="U58" s="85">
        <f t="shared" si="5"/>
        <v>0</v>
      </c>
      <c r="V58" s="85">
        <f t="shared" si="5"/>
        <v>0</v>
      </c>
      <c r="W58" s="1"/>
      <c r="X58" s="1"/>
      <c r="Y58" s="1"/>
      <c r="Z58" s="1"/>
      <c r="AA58" s="1"/>
      <c r="AB58" s="1"/>
      <c r="AC58" s="1"/>
      <c r="AD58" s="1"/>
      <c r="AE58" s="1"/>
    </row>
    <row r="59" spans="1:31" customFormat="1" ht="15" customHeight="1">
      <c r="A59" s="1"/>
      <c r="B59" s="1"/>
      <c r="C59" s="2"/>
      <c r="D59" s="124" t="s">
        <v>162</v>
      </c>
      <c r="E59" s="1"/>
      <c r="F59" s="107"/>
      <c r="G59" s="107"/>
      <c r="H59" s="107"/>
      <c r="I59" s="107"/>
      <c r="J59" s="107"/>
      <c r="K59" s="87" t="str">
        <f t="shared" si="4"/>
        <v>kWh</v>
      </c>
      <c r="L59" s="85"/>
      <c r="M59" s="119"/>
      <c r="N59" s="107"/>
      <c r="O59" s="370"/>
      <c r="P59" s="370"/>
      <c r="Q59" s="370"/>
      <c r="R59" s="85">
        <f t="shared" ref="R59:V68" si="6" xml:space="preserve"> R$15 * R315</f>
        <v>0</v>
      </c>
      <c r="S59" s="85">
        <f t="shared" si="6"/>
        <v>0</v>
      </c>
      <c r="T59" s="85">
        <f t="shared" si="6"/>
        <v>0</v>
      </c>
      <c r="U59" s="85">
        <f t="shared" si="6"/>
        <v>0</v>
      </c>
      <c r="V59" s="85">
        <f t="shared" si="6"/>
        <v>0</v>
      </c>
      <c r="W59" s="1"/>
      <c r="X59" s="1"/>
      <c r="Y59" s="1"/>
      <c r="Z59" s="1"/>
      <c r="AA59" s="1"/>
      <c r="AB59" s="1"/>
      <c r="AC59" s="1"/>
      <c r="AD59" s="1"/>
      <c r="AE59" s="1"/>
    </row>
    <row r="60" spans="1:31" customFormat="1" ht="15" customHeight="1">
      <c r="A60" s="1"/>
      <c r="B60" s="1"/>
      <c r="C60" s="2"/>
      <c r="D60" s="124" t="s">
        <v>163</v>
      </c>
      <c r="E60" s="1"/>
      <c r="F60" s="107"/>
      <c r="G60" s="107"/>
      <c r="H60" s="107"/>
      <c r="I60" s="107"/>
      <c r="J60" s="107"/>
      <c r="K60" s="87" t="str">
        <f t="shared" si="4"/>
        <v>kWh</v>
      </c>
      <c r="L60" s="85"/>
      <c r="M60" s="119"/>
      <c r="N60" s="107"/>
      <c r="O60" s="370"/>
      <c r="P60" s="370"/>
      <c r="Q60" s="370"/>
      <c r="R60" s="85">
        <f t="shared" si="6"/>
        <v>0</v>
      </c>
      <c r="S60" s="85">
        <f t="shared" si="6"/>
        <v>0</v>
      </c>
      <c r="T60" s="85">
        <f t="shared" si="6"/>
        <v>0</v>
      </c>
      <c r="U60" s="85">
        <f t="shared" si="6"/>
        <v>0</v>
      </c>
      <c r="V60" s="85">
        <f t="shared" si="6"/>
        <v>0</v>
      </c>
      <c r="W60" s="1"/>
      <c r="X60" s="1"/>
      <c r="Y60" s="1"/>
      <c r="Z60" s="1"/>
      <c r="AA60" s="1"/>
      <c r="AB60" s="1"/>
      <c r="AC60" s="1"/>
      <c r="AD60" s="1"/>
      <c r="AE60" s="1"/>
    </row>
    <row r="61" spans="1:31" customFormat="1" ht="15" customHeight="1">
      <c r="A61" s="1"/>
      <c r="B61" s="1"/>
      <c r="C61" s="2"/>
      <c r="D61" s="124" t="s">
        <v>164</v>
      </c>
      <c r="E61" s="1"/>
      <c r="F61" s="107"/>
      <c r="G61" s="107"/>
      <c r="H61" s="107"/>
      <c r="I61" s="107"/>
      <c r="J61" s="107"/>
      <c r="K61" s="87" t="str">
        <f t="shared" si="4"/>
        <v>kWh</v>
      </c>
      <c r="L61" s="85"/>
      <c r="M61" s="119"/>
      <c r="N61" s="107"/>
      <c r="O61" s="370"/>
      <c r="P61" s="370"/>
      <c r="Q61" s="370"/>
      <c r="R61" s="85">
        <f t="shared" si="6"/>
        <v>0</v>
      </c>
      <c r="S61" s="85">
        <f t="shared" si="6"/>
        <v>0</v>
      </c>
      <c r="T61" s="85">
        <f t="shared" si="6"/>
        <v>0</v>
      </c>
      <c r="U61" s="85">
        <f t="shared" si="6"/>
        <v>0</v>
      </c>
      <c r="V61" s="85">
        <f t="shared" si="6"/>
        <v>0</v>
      </c>
      <c r="W61" s="1"/>
      <c r="X61" s="1"/>
      <c r="Y61" s="1"/>
      <c r="Z61" s="1"/>
      <c r="AA61" s="1"/>
      <c r="AB61" s="1"/>
      <c r="AC61" s="1"/>
      <c r="AD61" s="1"/>
      <c r="AE61" s="1"/>
    </row>
    <row r="62" spans="1:31" customFormat="1" ht="15" customHeight="1">
      <c r="A62" s="1"/>
      <c r="B62" s="1"/>
      <c r="C62" s="2"/>
      <c r="D62" s="124" t="s">
        <v>165</v>
      </c>
      <c r="E62" s="1"/>
      <c r="F62" s="107"/>
      <c r="G62" s="107"/>
      <c r="H62" s="107"/>
      <c r="I62" s="107"/>
      <c r="J62" s="107"/>
      <c r="K62" s="87" t="str">
        <f t="shared" si="4"/>
        <v>kWh</v>
      </c>
      <c r="L62" s="85"/>
      <c r="M62" s="119"/>
      <c r="N62" s="107"/>
      <c r="O62" s="370"/>
      <c r="P62" s="370"/>
      <c r="Q62" s="370"/>
      <c r="R62" s="85">
        <f t="shared" si="6"/>
        <v>0</v>
      </c>
      <c r="S62" s="85">
        <f t="shared" si="6"/>
        <v>0</v>
      </c>
      <c r="T62" s="85">
        <f t="shared" si="6"/>
        <v>0</v>
      </c>
      <c r="U62" s="85">
        <f t="shared" si="6"/>
        <v>0</v>
      </c>
      <c r="V62" s="85">
        <f t="shared" si="6"/>
        <v>0</v>
      </c>
      <c r="W62" s="1"/>
      <c r="X62" s="1"/>
      <c r="Y62" s="1"/>
      <c r="Z62" s="1"/>
      <c r="AA62" s="1"/>
      <c r="AB62" s="1"/>
      <c r="AC62" s="1"/>
      <c r="AD62" s="1"/>
      <c r="AE62" s="1"/>
    </row>
    <row r="63" spans="1:31" customFormat="1" ht="15" customHeight="1">
      <c r="A63" s="1"/>
      <c r="B63" s="1"/>
      <c r="C63" s="2"/>
      <c r="D63" s="124" t="s">
        <v>166</v>
      </c>
      <c r="E63" s="1"/>
      <c r="F63" s="107"/>
      <c r="G63" s="107"/>
      <c r="H63" s="107"/>
      <c r="I63" s="107"/>
      <c r="J63" s="107"/>
      <c r="K63" s="87" t="str">
        <f t="shared" si="4"/>
        <v>kWh</v>
      </c>
      <c r="L63" s="85"/>
      <c r="M63" s="119"/>
      <c r="N63" s="107"/>
      <c r="O63" s="370"/>
      <c r="P63" s="370"/>
      <c r="Q63" s="370"/>
      <c r="R63" s="85">
        <f t="shared" si="6"/>
        <v>0</v>
      </c>
      <c r="S63" s="85">
        <f t="shared" si="6"/>
        <v>0</v>
      </c>
      <c r="T63" s="85">
        <f t="shared" si="6"/>
        <v>0</v>
      </c>
      <c r="U63" s="85">
        <f t="shared" si="6"/>
        <v>0</v>
      </c>
      <c r="V63" s="85">
        <f t="shared" si="6"/>
        <v>0</v>
      </c>
      <c r="W63" s="1"/>
      <c r="X63" s="1"/>
      <c r="Y63" s="1"/>
      <c r="Z63" s="1"/>
      <c r="AA63" s="1"/>
      <c r="AB63" s="1"/>
      <c r="AC63" s="1"/>
      <c r="AD63" s="1"/>
      <c r="AE63" s="1"/>
    </row>
    <row r="64" spans="1:31" customFormat="1" ht="15" customHeight="1">
      <c r="A64" s="1"/>
      <c r="B64" s="1"/>
      <c r="C64" s="2"/>
      <c r="D64" s="124" t="s">
        <v>167</v>
      </c>
      <c r="E64" s="1"/>
      <c r="F64" s="107"/>
      <c r="G64" s="107"/>
      <c r="H64" s="107"/>
      <c r="I64" s="107"/>
      <c r="J64" s="107"/>
      <c r="K64" s="87" t="str">
        <f t="shared" si="4"/>
        <v>kWh</v>
      </c>
      <c r="L64" s="85"/>
      <c r="M64" s="119"/>
      <c r="N64" s="107"/>
      <c r="O64" s="370"/>
      <c r="P64" s="370"/>
      <c r="Q64" s="370"/>
      <c r="R64" s="85">
        <f t="shared" si="6"/>
        <v>0</v>
      </c>
      <c r="S64" s="85">
        <f t="shared" si="6"/>
        <v>0</v>
      </c>
      <c r="T64" s="85">
        <f t="shared" si="6"/>
        <v>0</v>
      </c>
      <c r="U64" s="85">
        <f t="shared" si="6"/>
        <v>0</v>
      </c>
      <c r="V64" s="85">
        <f t="shared" si="6"/>
        <v>0</v>
      </c>
      <c r="W64" s="1"/>
      <c r="X64" s="1"/>
      <c r="Y64" s="1"/>
      <c r="Z64" s="1"/>
      <c r="AA64" s="1"/>
      <c r="AB64" s="1"/>
      <c r="AC64" s="1"/>
      <c r="AD64" s="1"/>
      <c r="AE64" s="1"/>
    </row>
    <row r="65" spans="1:31" customFormat="1" ht="15" customHeight="1">
      <c r="A65" s="1"/>
      <c r="B65" s="1"/>
      <c r="C65" s="2"/>
      <c r="D65" s="124" t="s">
        <v>168</v>
      </c>
      <c r="E65" s="1"/>
      <c r="F65" s="107"/>
      <c r="G65" s="107"/>
      <c r="H65" s="107"/>
      <c r="I65" s="107"/>
      <c r="J65" s="107"/>
      <c r="K65" s="87" t="str">
        <f t="shared" si="4"/>
        <v>kWh</v>
      </c>
      <c r="L65" s="85"/>
      <c r="M65" s="119"/>
      <c r="N65" s="107"/>
      <c r="O65" s="370"/>
      <c r="P65" s="370"/>
      <c r="Q65" s="370"/>
      <c r="R65" s="85">
        <f t="shared" si="6"/>
        <v>0</v>
      </c>
      <c r="S65" s="85">
        <f t="shared" si="6"/>
        <v>0</v>
      </c>
      <c r="T65" s="85">
        <f t="shared" si="6"/>
        <v>0</v>
      </c>
      <c r="U65" s="85">
        <f t="shared" si="6"/>
        <v>0</v>
      </c>
      <c r="V65" s="85">
        <f t="shared" si="6"/>
        <v>0</v>
      </c>
      <c r="W65" s="1"/>
      <c r="X65" s="1"/>
      <c r="Y65" s="1"/>
      <c r="Z65" s="1"/>
      <c r="AA65" s="1"/>
      <c r="AB65" s="1"/>
      <c r="AC65" s="1"/>
      <c r="AD65" s="1"/>
      <c r="AE65" s="1"/>
    </row>
    <row r="66" spans="1:31" customFormat="1" ht="15" customHeight="1">
      <c r="A66" s="1"/>
      <c r="B66" s="1"/>
      <c r="C66" s="2"/>
      <c r="D66" s="124" t="s">
        <v>169</v>
      </c>
      <c r="E66" s="1"/>
      <c r="F66" s="107"/>
      <c r="G66" s="107"/>
      <c r="H66" s="107"/>
      <c r="I66" s="107"/>
      <c r="J66" s="107"/>
      <c r="K66" s="87" t="str">
        <f t="shared" si="4"/>
        <v>kWh</v>
      </c>
      <c r="L66" s="85"/>
      <c r="M66" s="119"/>
      <c r="N66" s="107"/>
      <c r="O66" s="370"/>
      <c r="P66" s="370"/>
      <c r="Q66" s="370"/>
      <c r="R66" s="85">
        <f t="shared" si="6"/>
        <v>0</v>
      </c>
      <c r="S66" s="85">
        <f t="shared" si="6"/>
        <v>0</v>
      </c>
      <c r="T66" s="85">
        <f t="shared" si="6"/>
        <v>0</v>
      </c>
      <c r="U66" s="85">
        <f t="shared" si="6"/>
        <v>0</v>
      </c>
      <c r="V66" s="85">
        <f t="shared" si="6"/>
        <v>0</v>
      </c>
      <c r="W66" s="1"/>
      <c r="X66" s="1"/>
      <c r="Y66" s="1"/>
      <c r="Z66" s="1"/>
      <c r="AA66" s="1"/>
      <c r="AB66" s="1"/>
      <c r="AC66" s="1"/>
      <c r="AD66" s="1"/>
      <c r="AE66" s="1"/>
    </row>
    <row r="67" spans="1:31" customFormat="1" ht="15" customHeight="1">
      <c r="A67" s="1"/>
      <c r="B67" s="1"/>
      <c r="C67" s="2"/>
      <c r="D67" s="124" t="s">
        <v>170</v>
      </c>
      <c r="E67" s="1"/>
      <c r="F67" s="107"/>
      <c r="G67" s="107"/>
      <c r="H67" s="107"/>
      <c r="I67" s="107"/>
      <c r="J67" s="107"/>
      <c r="K67" s="87" t="str">
        <f t="shared" si="4"/>
        <v>kWh</v>
      </c>
      <c r="L67" s="85"/>
      <c r="M67" s="119"/>
      <c r="N67" s="107"/>
      <c r="O67" s="370"/>
      <c r="P67" s="370"/>
      <c r="Q67" s="370"/>
      <c r="R67" s="85">
        <f t="shared" si="6"/>
        <v>0</v>
      </c>
      <c r="S67" s="85">
        <f t="shared" si="6"/>
        <v>0</v>
      </c>
      <c r="T67" s="85">
        <f t="shared" si="6"/>
        <v>0</v>
      </c>
      <c r="U67" s="85">
        <f t="shared" si="6"/>
        <v>0</v>
      </c>
      <c r="V67" s="85">
        <f t="shared" si="6"/>
        <v>0</v>
      </c>
      <c r="W67" s="1"/>
      <c r="X67" s="1"/>
      <c r="Y67" s="1"/>
      <c r="Z67" s="1"/>
      <c r="AA67" s="1"/>
      <c r="AB67" s="1"/>
      <c r="AC67" s="1"/>
      <c r="AD67" s="1"/>
      <c r="AE67" s="1"/>
    </row>
    <row r="68" spans="1:31" customFormat="1" ht="15" customHeight="1">
      <c r="A68" s="1"/>
      <c r="B68" s="1"/>
      <c r="C68" s="2"/>
      <c r="D68" s="124" t="s">
        <v>171</v>
      </c>
      <c r="E68" s="1"/>
      <c r="F68" s="107"/>
      <c r="G68" s="107"/>
      <c r="H68" s="107"/>
      <c r="I68" s="107"/>
      <c r="J68" s="107"/>
      <c r="K68" s="87" t="str">
        <f t="shared" si="4"/>
        <v>kWh</v>
      </c>
      <c r="L68" s="85"/>
      <c r="M68" s="119"/>
      <c r="N68" s="107"/>
      <c r="O68" s="370"/>
      <c r="P68" s="370"/>
      <c r="Q68" s="370"/>
      <c r="R68" s="85">
        <f t="shared" si="6"/>
        <v>0</v>
      </c>
      <c r="S68" s="85">
        <f t="shared" si="6"/>
        <v>0</v>
      </c>
      <c r="T68" s="85">
        <f t="shared" si="6"/>
        <v>0</v>
      </c>
      <c r="U68" s="85">
        <f t="shared" si="6"/>
        <v>0</v>
      </c>
      <c r="V68" s="85">
        <f t="shared" si="6"/>
        <v>0</v>
      </c>
      <c r="W68" s="1"/>
      <c r="X68" s="1"/>
      <c r="Y68" s="1"/>
      <c r="Z68" s="1"/>
      <c r="AA68" s="1"/>
      <c r="AB68" s="1"/>
      <c r="AC68" s="1"/>
      <c r="AD68" s="1"/>
      <c r="AE68" s="1"/>
    </row>
    <row r="69" spans="1:31" customFormat="1" ht="15" customHeight="1">
      <c r="A69" s="1"/>
      <c r="B69" s="1"/>
      <c r="C69" s="2"/>
      <c r="D69" s="124" t="s">
        <v>172</v>
      </c>
      <c r="E69" s="1"/>
      <c r="F69" s="107"/>
      <c r="G69" s="107"/>
      <c r="H69" s="107"/>
      <c r="I69" s="107"/>
      <c r="J69" s="107"/>
      <c r="K69" s="87" t="str">
        <f t="shared" si="4"/>
        <v>kWh</v>
      </c>
      <c r="L69" s="85"/>
      <c r="M69" s="119"/>
      <c r="N69" s="107"/>
      <c r="O69" s="370"/>
      <c r="P69" s="370"/>
      <c r="Q69" s="370"/>
      <c r="R69" s="85">
        <f t="shared" ref="R69:V72" si="7" xml:space="preserve"> R$15 * R325</f>
        <v>0</v>
      </c>
      <c r="S69" s="85">
        <f t="shared" si="7"/>
        <v>0</v>
      </c>
      <c r="T69" s="85">
        <f t="shared" si="7"/>
        <v>0</v>
      </c>
      <c r="U69" s="85">
        <f t="shared" si="7"/>
        <v>0</v>
      </c>
      <c r="V69" s="85">
        <f t="shared" si="7"/>
        <v>0</v>
      </c>
      <c r="W69" s="1"/>
      <c r="X69" s="1"/>
      <c r="Y69" s="1"/>
      <c r="Z69" s="1"/>
      <c r="AA69" s="1"/>
      <c r="AB69" s="1"/>
      <c r="AC69" s="1"/>
      <c r="AD69" s="1"/>
      <c r="AE69" s="1"/>
    </row>
    <row r="70" spans="1:31" customFormat="1" ht="15" customHeight="1">
      <c r="A70" s="1"/>
      <c r="B70" s="1"/>
      <c r="C70" s="2"/>
      <c r="D70" s="124" t="s">
        <v>173</v>
      </c>
      <c r="E70" s="1"/>
      <c r="F70" s="107"/>
      <c r="G70" s="107"/>
      <c r="H70" s="107"/>
      <c r="I70" s="107"/>
      <c r="J70" s="107"/>
      <c r="K70" s="87" t="str">
        <f t="shared" si="4"/>
        <v>kWh</v>
      </c>
      <c r="L70" s="85"/>
      <c r="M70" s="119"/>
      <c r="N70" s="107"/>
      <c r="O70" s="370"/>
      <c r="P70" s="370"/>
      <c r="Q70" s="370"/>
      <c r="R70" s="85">
        <f t="shared" si="7"/>
        <v>0</v>
      </c>
      <c r="S70" s="85">
        <f t="shared" si="7"/>
        <v>0</v>
      </c>
      <c r="T70" s="85">
        <f t="shared" si="7"/>
        <v>0</v>
      </c>
      <c r="U70" s="85">
        <f t="shared" si="7"/>
        <v>0</v>
      </c>
      <c r="V70" s="85">
        <f t="shared" si="7"/>
        <v>0</v>
      </c>
      <c r="W70" s="1"/>
      <c r="X70" s="1"/>
      <c r="Y70" s="1"/>
      <c r="Z70" s="1"/>
      <c r="AA70" s="1"/>
      <c r="AB70" s="1"/>
      <c r="AC70" s="1"/>
      <c r="AD70" s="1"/>
      <c r="AE70" s="1"/>
    </row>
    <row r="71" spans="1:31" customFormat="1" ht="15" customHeight="1">
      <c r="A71" s="1"/>
      <c r="B71" s="1"/>
      <c r="C71" s="2"/>
      <c r="D71" s="124" t="s">
        <v>174</v>
      </c>
      <c r="E71" s="1"/>
      <c r="F71" s="107"/>
      <c r="G71" s="107"/>
      <c r="H71" s="107"/>
      <c r="I71" s="107"/>
      <c r="J71" s="107"/>
      <c r="K71" s="87" t="str">
        <f t="shared" si="4"/>
        <v>kWh</v>
      </c>
      <c r="L71" s="85"/>
      <c r="M71" s="119"/>
      <c r="N71" s="107"/>
      <c r="O71" s="370"/>
      <c r="P71" s="370"/>
      <c r="Q71" s="370"/>
      <c r="R71" s="85">
        <f t="shared" si="7"/>
        <v>0</v>
      </c>
      <c r="S71" s="85">
        <f t="shared" si="7"/>
        <v>0</v>
      </c>
      <c r="T71" s="85">
        <f t="shared" si="7"/>
        <v>0</v>
      </c>
      <c r="U71" s="85">
        <f t="shared" si="7"/>
        <v>0</v>
      </c>
      <c r="V71" s="85">
        <f t="shared" si="7"/>
        <v>0</v>
      </c>
      <c r="W71" s="1"/>
      <c r="X71" s="1"/>
      <c r="Y71" s="1"/>
      <c r="Z71" s="1"/>
      <c r="AA71" s="1"/>
      <c r="AB71" s="1"/>
      <c r="AC71" s="1"/>
      <c r="AD71" s="1"/>
      <c r="AE71" s="1"/>
    </row>
    <row r="72" spans="1:31" customFormat="1" ht="15" customHeight="1">
      <c r="A72" s="1"/>
      <c r="B72" s="1"/>
      <c r="C72" s="2"/>
      <c r="D72" s="125" t="s">
        <v>175</v>
      </c>
      <c r="E72" s="27"/>
      <c r="F72" s="115"/>
      <c r="G72" s="115"/>
      <c r="H72" s="115"/>
      <c r="I72" s="115"/>
      <c r="J72" s="115"/>
      <c r="K72" s="98" t="str">
        <f t="shared" si="4"/>
        <v>kWh</v>
      </c>
      <c r="L72" s="99"/>
      <c r="M72" s="151"/>
      <c r="N72" s="115"/>
      <c r="O72" s="368"/>
      <c r="P72" s="368"/>
      <c r="Q72" s="368"/>
      <c r="R72" s="99">
        <f t="shared" si="7"/>
        <v>0</v>
      </c>
      <c r="S72" s="99">
        <f t="shared" si="7"/>
        <v>0</v>
      </c>
      <c r="T72" s="99">
        <f t="shared" si="7"/>
        <v>0</v>
      </c>
      <c r="U72" s="99">
        <f t="shared" si="7"/>
        <v>0</v>
      </c>
      <c r="V72" s="99">
        <f t="shared" si="7"/>
        <v>0</v>
      </c>
      <c r="W72" s="27"/>
      <c r="X72" s="1"/>
      <c r="Y72" s="1"/>
      <c r="Z72" s="1"/>
      <c r="AA72" s="1"/>
      <c r="AB72" s="1"/>
      <c r="AC72" s="1"/>
      <c r="AD72" s="1"/>
      <c r="AE72" s="1"/>
    </row>
    <row r="73" spans="1:31" customFormat="1" ht="15" customHeight="1">
      <c r="A73" s="1"/>
      <c r="B73" s="1"/>
      <c r="C73" s="2"/>
      <c r="D73" s="105" t="s">
        <v>16</v>
      </c>
      <c r="E73" s="186"/>
      <c r="F73" s="120"/>
      <c r="G73" s="120"/>
      <c r="H73" s="120"/>
      <c r="I73" s="120"/>
      <c r="J73" s="120"/>
      <c r="K73" s="106" t="str">
        <f t="shared" si="4"/>
        <v>kWh</v>
      </c>
      <c r="L73" s="105"/>
      <c r="M73" s="105"/>
      <c r="N73" s="120"/>
      <c r="O73" s="371"/>
      <c r="P73" s="371"/>
      <c r="Q73" s="371"/>
      <c r="R73" s="35">
        <f xml:space="preserve"> SUM( R49:R72 )</f>
        <v>0</v>
      </c>
      <c r="S73" s="35">
        <f xml:space="preserve"> SUM( S49:S72 )</f>
        <v>0</v>
      </c>
      <c r="T73" s="35">
        <f xml:space="preserve"> SUM( T49:T72 )</f>
        <v>0</v>
      </c>
      <c r="U73" s="35">
        <f xml:space="preserve"> SUM( U49:U72 )</f>
        <v>0</v>
      </c>
      <c r="V73" s="35">
        <f xml:space="preserve"> SUM( V49:V72 )</f>
        <v>0</v>
      </c>
      <c r="W73" s="33"/>
      <c r="X73" s="1"/>
      <c r="Y73" s="1"/>
      <c r="Z73" s="1"/>
      <c r="AA73" s="1"/>
      <c r="AB73" s="1"/>
      <c r="AC73" s="1"/>
      <c r="AD73" s="1"/>
      <c r="AE73" s="1"/>
    </row>
    <row r="74" spans="1:31" customFormat="1" ht="15" customHeight="1">
      <c r="A74" s="1"/>
      <c r="B74" s="1"/>
      <c r="C74" s="2"/>
      <c r="D74" s="85"/>
      <c r="E74" s="1"/>
      <c r="F74" s="86"/>
      <c r="G74" s="86"/>
      <c r="H74" s="86"/>
      <c r="I74" s="86"/>
      <c r="J74" s="86"/>
      <c r="K74" s="87"/>
      <c r="L74" s="85"/>
      <c r="M74" s="85"/>
      <c r="N74" s="86"/>
      <c r="O74" s="86"/>
      <c r="P74" s="86"/>
      <c r="Q74" s="86"/>
      <c r="R74" s="1"/>
      <c r="S74" s="1"/>
      <c r="T74" s="1"/>
      <c r="U74" s="1"/>
      <c r="V74" s="1"/>
      <c r="W74" s="1"/>
      <c r="X74" s="1"/>
      <c r="Y74" s="1"/>
      <c r="Z74" s="1"/>
      <c r="AA74" s="1"/>
      <c r="AB74" s="1"/>
      <c r="AC74" s="1"/>
      <c r="AD74" s="1"/>
      <c r="AE74" s="1"/>
    </row>
    <row r="75" spans="1:31" customFormat="1" ht="15" customHeight="1">
      <c r="A75" s="1"/>
      <c r="B75" s="1"/>
      <c r="C75" s="2"/>
      <c r="D75" s="88" t="s">
        <v>188</v>
      </c>
      <c r="E75" s="1"/>
      <c r="F75" s="107"/>
      <c r="G75" s="107"/>
      <c r="H75" s="107"/>
      <c r="I75" s="107"/>
      <c r="J75" s="107"/>
      <c r="K75" s="87"/>
      <c r="L75" s="85"/>
      <c r="M75" s="85"/>
      <c r="N75" s="107"/>
      <c r="O75" s="107"/>
      <c r="P75" s="107"/>
      <c r="Q75" s="107"/>
      <c r="R75" s="1"/>
      <c r="S75" s="1"/>
      <c r="T75" s="1"/>
      <c r="U75" s="1"/>
      <c r="V75" s="1"/>
      <c r="W75" s="1"/>
      <c r="X75" s="1"/>
      <c r="Y75" s="1"/>
      <c r="Z75" s="1"/>
      <c r="AA75" s="1"/>
      <c r="AB75" s="1"/>
      <c r="AC75" s="1"/>
      <c r="AD75" s="1"/>
      <c r="AE75" s="1"/>
    </row>
    <row r="76" spans="1:31" customFormat="1" ht="15" customHeight="1">
      <c r="A76" s="1"/>
      <c r="B76" s="1"/>
      <c r="C76" s="2"/>
      <c r="D76" s="122" t="s">
        <v>152</v>
      </c>
      <c r="E76" s="15"/>
      <c r="F76" s="116"/>
      <c r="G76" s="116"/>
      <c r="H76" s="116"/>
      <c r="I76" s="116"/>
      <c r="J76" s="116"/>
      <c r="K76" s="117" t="str">
        <f t="shared" ref="K76:K100" si="8" xml:space="preserve"> Model.Units2</f>
        <v>kWh</v>
      </c>
      <c r="L76" s="123"/>
      <c r="M76" s="142"/>
      <c r="N76" s="116"/>
      <c r="O76" s="369"/>
      <c r="P76" s="369"/>
      <c r="Q76" s="369"/>
      <c r="R76" s="123">
        <f t="shared" ref="R76:V85" si="9" xml:space="preserve"> R$15 * R333</f>
        <v>0</v>
      </c>
      <c r="S76" s="123">
        <f t="shared" si="9"/>
        <v>0</v>
      </c>
      <c r="T76" s="123">
        <f t="shared" si="9"/>
        <v>0</v>
      </c>
      <c r="U76" s="123">
        <f t="shared" si="9"/>
        <v>0</v>
      </c>
      <c r="V76" s="123">
        <f t="shared" si="9"/>
        <v>0</v>
      </c>
      <c r="W76" s="15"/>
      <c r="X76" s="1"/>
      <c r="Y76" s="1"/>
      <c r="Z76" s="1"/>
      <c r="AA76" s="1"/>
      <c r="AB76" s="1"/>
      <c r="AC76" s="1"/>
      <c r="AD76" s="1"/>
      <c r="AE76" s="1"/>
    </row>
    <row r="77" spans="1:31" customFormat="1" ht="15" customHeight="1">
      <c r="A77" s="1"/>
      <c r="B77" s="1"/>
      <c r="C77" s="2"/>
      <c r="D77" s="124" t="s">
        <v>153</v>
      </c>
      <c r="E77" s="1"/>
      <c r="F77" s="107"/>
      <c r="G77" s="107"/>
      <c r="H77" s="107"/>
      <c r="I77" s="107"/>
      <c r="J77" s="107"/>
      <c r="K77" s="87" t="str">
        <f t="shared" si="8"/>
        <v>kWh</v>
      </c>
      <c r="L77" s="85"/>
      <c r="M77" s="119"/>
      <c r="N77" s="107"/>
      <c r="O77" s="370"/>
      <c r="P77" s="370"/>
      <c r="Q77" s="370"/>
      <c r="R77" s="85">
        <f t="shared" si="9"/>
        <v>0</v>
      </c>
      <c r="S77" s="85">
        <f t="shared" si="9"/>
        <v>0</v>
      </c>
      <c r="T77" s="85">
        <f t="shared" si="9"/>
        <v>0</v>
      </c>
      <c r="U77" s="85">
        <f t="shared" si="9"/>
        <v>0</v>
      </c>
      <c r="V77" s="85">
        <f t="shared" si="9"/>
        <v>0</v>
      </c>
      <c r="W77" s="1"/>
      <c r="X77" s="1"/>
      <c r="Y77" s="1"/>
      <c r="Z77" s="1"/>
      <c r="AA77" s="1"/>
      <c r="AB77" s="1"/>
      <c r="AC77" s="1"/>
      <c r="AD77" s="1"/>
      <c r="AE77" s="1"/>
    </row>
    <row r="78" spans="1:31" customFormat="1" ht="15" customHeight="1">
      <c r="A78" s="1"/>
      <c r="B78" s="1"/>
      <c r="C78" s="2"/>
      <c r="D78" s="124" t="s">
        <v>154</v>
      </c>
      <c r="E78" s="1"/>
      <c r="F78" s="107"/>
      <c r="G78" s="107"/>
      <c r="H78" s="107"/>
      <c r="I78" s="107"/>
      <c r="J78" s="107"/>
      <c r="K78" s="87" t="str">
        <f t="shared" si="8"/>
        <v>kWh</v>
      </c>
      <c r="L78" s="85"/>
      <c r="M78" s="119"/>
      <c r="N78" s="107"/>
      <c r="O78" s="370"/>
      <c r="P78" s="370"/>
      <c r="Q78" s="370"/>
      <c r="R78" s="85">
        <f t="shared" si="9"/>
        <v>0</v>
      </c>
      <c r="S78" s="85">
        <f t="shared" si="9"/>
        <v>0</v>
      </c>
      <c r="T78" s="85">
        <f t="shared" si="9"/>
        <v>0</v>
      </c>
      <c r="U78" s="85">
        <f t="shared" si="9"/>
        <v>0</v>
      </c>
      <c r="V78" s="85">
        <f t="shared" si="9"/>
        <v>0</v>
      </c>
      <c r="W78" s="1"/>
      <c r="X78" s="1"/>
      <c r="Y78" s="1"/>
      <c r="Z78" s="1"/>
      <c r="AA78" s="1"/>
      <c r="AB78" s="1"/>
      <c r="AC78" s="1"/>
      <c r="AD78" s="1"/>
      <c r="AE78" s="1"/>
    </row>
    <row r="79" spans="1:31" customFormat="1" ht="15" customHeight="1">
      <c r="A79" s="1"/>
      <c r="B79" s="1"/>
      <c r="C79" s="2"/>
      <c r="D79" s="124" t="s">
        <v>155</v>
      </c>
      <c r="E79" s="1"/>
      <c r="F79" s="107"/>
      <c r="G79" s="107"/>
      <c r="H79" s="107"/>
      <c r="I79" s="107"/>
      <c r="J79" s="107"/>
      <c r="K79" s="87" t="str">
        <f t="shared" si="8"/>
        <v>kWh</v>
      </c>
      <c r="L79" s="85"/>
      <c r="M79" s="119"/>
      <c r="N79" s="107"/>
      <c r="O79" s="370"/>
      <c r="P79" s="370"/>
      <c r="Q79" s="370"/>
      <c r="R79" s="85">
        <f t="shared" si="9"/>
        <v>0</v>
      </c>
      <c r="S79" s="85">
        <f t="shared" si="9"/>
        <v>0</v>
      </c>
      <c r="T79" s="85">
        <f t="shared" si="9"/>
        <v>0</v>
      </c>
      <c r="U79" s="85">
        <f t="shared" si="9"/>
        <v>0</v>
      </c>
      <c r="V79" s="85">
        <f t="shared" si="9"/>
        <v>0</v>
      </c>
      <c r="W79" s="1"/>
      <c r="X79" s="1"/>
      <c r="Y79" s="1"/>
      <c r="Z79" s="1"/>
      <c r="AA79" s="1"/>
      <c r="AB79" s="1"/>
      <c r="AC79" s="1"/>
      <c r="AD79" s="1"/>
      <c r="AE79" s="1"/>
    </row>
    <row r="80" spans="1:31" customFormat="1" ht="15" customHeight="1">
      <c r="A80" s="1"/>
      <c r="B80" s="1"/>
      <c r="C80" s="2"/>
      <c r="D80" s="124" t="s">
        <v>156</v>
      </c>
      <c r="E80" s="1"/>
      <c r="F80" s="107"/>
      <c r="G80" s="107"/>
      <c r="H80" s="107"/>
      <c r="I80" s="107"/>
      <c r="J80" s="107"/>
      <c r="K80" s="87" t="str">
        <f t="shared" si="8"/>
        <v>kWh</v>
      </c>
      <c r="L80" s="85"/>
      <c r="M80" s="119"/>
      <c r="N80" s="107"/>
      <c r="O80" s="370"/>
      <c r="P80" s="370"/>
      <c r="Q80" s="370"/>
      <c r="R80" s="85">
        <f t="shared" si="9"/>
        <v>0</v>
      </c>
      <c r="S80" s="85">
        <f t="shared" si="9"/>
        <v>0</v>
      </c>
      <c r="T80" s="85">
        <f t="shared" si="9"/>
        <v>0</v>
      </c>
      <c r="U80" s="85">
        <f t="shared" si="9"/>
        <v>0</v>
      </c>
      <c r="V80" s="85">
        <f t="shared" si="9"/>
        <v>0</v>
      </c>
      <c r="W80" s="1"/>
      <c r="X80" s="1"/>
      <c r="Y80" s="1"/>
      <c r="Z80" s="1"/>
      <c r="AA80" s="1"/>
      <c r="AB80" s="1"/>
      <c r="AC80" s="1"/>
      <c r="AD80" s="1"/>
      <c r="AE80" s="1"/>
    </row>
    <row r="81" spans="1:31" customFormat="1" ht="15" customHeight="1">
      <c r="A81" s="1"/>
      <c r="B81" s="1"/>
      <c r="C81" s="2"/>
      <c r="D81" s="124" t="s">
        <v>157</v>
      </c>
      <c r="E81" s="1"/>
      <c r="F81" s="107"/>
      <c r="G81" s="107"/>
      <c r="H81" s="107"/>
      <c r="I81" s="107"/>
      <c r="J81" s="107"/>
      <c r="K81" s="87" t="str">
        <f t="shared" si="8"/>
        <v>kWh</v>
      </c>
      <c r="L81" s="85"/>
      <c r="M81" s="119"/>
      <c r="N81" s="107"/>
      <c r="O81" s="370"/>
      <c r="P81" s="370"/>
      <c r="Q81" s="370"/>
      <c r="R81" s="85">
        <f t="shared" si="9"/>
        <v>0</v>
      </c>
      <c r="S81" s="85">
        <f t="shared" si="9"/>
        <v>0</v>
      </c>
      <c r="T81" s="85">
        <f t="shared" si="9"/>
        <v>0</v>
      </c>
      <c r="U81" s="85">
        <f t="shared" si="9"/>
        <v>0</v>
      </c>
      <c r="V81" s="85">
        <f t="shared" si="9"/>
        <v>0</v>
      </c>
      <c r="W81" s="1"/>
      <c r="X81" s="1"/>
      <c r="Y81" s="1"/>
      <c r="Z81" s="1"/>
      <c r="AA81" s="1"/>
      <c r="AB81" s="1"/>
      <c r="AC81" s="1"/>
      <c r="AD81" s="1"/>
      <c r="AE81" s="1"/>
    </row>
    <row r="82" spans="1:31" customFormat="1" ht="15" customHeight="1">
      <c r="A82" s="1"/>
      <c r="B82" s="1"/>
      <c r="C82" s="2"/>
      <c r="D82" s="124" t="s">
        <v>158</v>
      </c>
      <c r="E82" s="1"/>
      <c r="F82" s="107"/>
      <c r="G82" s="107"/>
      <c r="H82" s="107"/>
      <c r="I82" s="107"/>
      <c r="J82" s="107"/>
      <c r="K82" s="87" t="str">
        <f t="shared" si="8"/>
        <v>kWh</v>
      </c>
      <c r="L82" s="85"/>
      <c r="M82" s="119"/>
      <c r="N82" s="107"/>
      <c r="O82" s="370"/>
      <c r="P82" s="370"/>
      <c r="Q82" s="370"/>
      <c r="R82" s="85">
        <f t="shared" si="9"/>
        <v>0</v>
      </c>
      <c r="S82" s="85">
        <f t="shared" si="9"/>
        <v>0</v>
      </c>
      <c r="T82" s="85">
        <f t="shared" si="9"/>
        <v>0</v>
      </c>
      <c r="U82" s="85">
        <f t="shared" si="9"/>
        <v>0</v>
      </c>
      <c r="V82" s="85">
        <f t="shared" si="9"/>
        <v>0</v>
      </c>
      <c r="W82" s="1"/>
      <c r="X82" s="1"/>
      <c r="Y82" s="1"/>
      <c r="Z82" s="1"/>
      <c r="AA82" s="1"/>
      <c r="AB82" s="1"/>
      <c r="AC82" s="1"/>
      <c r="AD82" s="1"/>
      <c r="AE82" s="1"/>
    </row>
    <row r="83" spans="1:31" customFormat="1" ht="15" customHeight="1">
      <c r="A83" s="1"/>
      <c r="B83" s="1"/>
      <c r="C83" s="2"/>
      <c r="D83" s="124" t="s">
        <v>159</v>
      </c>
      <c r="E83" s="1"/>
      <c r="F83" s="107"/>
      <c r="G83" s="107"/>
      <c r="H83" s="107"/>
      <c r="I83" s="107"/>
      <c r="J83" s="107"/>
      <c r="K83" s="87" t="str">
        <f t="shared" si="8"/>
        <v>kWh</v>
      </c>
      <c r="L83" s="85"/>
      <c r="M83" s="119"/>
      <c r="N83" s="107"/>
      <c r="O83" s="370"/>
      <c r="P83" s="370"/>
      <c r="Q83" s="370"/>
      <c r="R83" s="85">
        <f t="shared" si="9"/>
        <v>0</v>
      </c>
      <c r="S83" s="85">
        <f t="shared" si="9"/>
        <v>0</v>
      </c>
      <c r="T83" s="85">
        <f t="shared" si="9"/>
        <v>0</v>
      </c>
      <c r="U83" s="85">
        <f t="shared" si="9"/>
        <v>0</v>
      </c>
      <c r="V83" s="85">
        <f t="shared" si="9"/>
        <v>0</v>
      </c>
      <c r="W83" s="1"/>
      <c r="X83" s="1"/>
      <c r="Y83" s="1"/>
      <c r="Z83" s="1"/>
      <c r="AA83" s="1"/>
      <c r="AB83" s="1"/>
      <c r="AC83" s="1"/>
      <c r="AD83" s="1"/>
      <c r="AE83" s="1"/>
    </row>
    <row r="84" spans="1:31" customFormat="1" ht="15" customHeight="1">
      <c r="A84" s="1"/>
      <c r="B84" s="1"/>
      <c r="C84" s="2"/>
      <c r="D84" s="124" t="s">
        <v>160</v>
      </c>
      <c r="E84" s="1"/>
      <c r="F84" s="107"/>
      <c r="G84" s="107"/>
      <c r="H84" s="107"/>
      <c r="I84" s="107"/>
      <c r="J84" s="107"/>
      <c r="K84" s="87" t="str">
        <f t="shared" si="8"/>
        <v>kWh</v>
      </c>
      <c r="L84" s="85"/>
      <c r="M84" s="119"/>
      <c r="N84" s="107"/>
      <c r="O84" s="370"/>
      <c r="P84" s="370"/>
      <c r="Q84" s="370"/>
      <c r="R84" s="85">
        <f t="shared" si="9"/>
        <v>0</v>
      </c>
      <c r="S84" s="85">
        <f t="shared" si="9"/>
        <v>0</v>
      </c>
      <c r="T84" s="85">
        <f t="shared" si="9"/>
        <v>0</v>
      </c>
      <c r="U84" s="85">
        <f t="shared" si="9"/>
        <v>0</v>
      </c>
      <c r="V84" s="85">
        <f t="shared" si="9"/>
        <v>0</v>
      </c>
      <c r="W84" s="1"/>
      <c r="X84" s="1"/>
      <c r="Y84" s="1"/>
      <c r="Z84" s="1"/>
      <c r="AA84" s="1"/>
      <c r="AB84" s="1"/>
      <c r="AC84" s="1"/>
      <c r="AD84" s="1"/>
      <c r="AE84" s="1"/>
    </row>
    <row r="85" spans="1:31" customFormat="1" ht="15" customHeight="1">
      <c r="A85" s="1"/>
      <c r="B85" s="1"/>
      <c r="C85" s="2"/>
      <c r="D85" s="124" t="s">
        <v>161</v>
      </c>
      <c r="E85" s="1"/>
      <c r="F85" s="107"/>
      <c r="G85" s="107"/>
      <c r="H85" s="107"/>
      <c r="I85" s="107"/>
      <c r="J85" s="107"/>
      <c r="K85" s="87" t="str">
        <f t="shared" si="8"/>
        <v>kWh</v>
      </c>
      <c r="L85" s="85"/>
      <c r="M85" s="119"/>
      <c r="N85" s="107"/>
      <c r="O85" s="370"/>
      <c r="P85" s="370"/>
      <c r="Q85" s="370"/>
      <c r="R85" s="85">
        <f t="shared" si="9"/>
        <v>0</v>
      </c>
      <c r="S85" s="85">
        <f t="shared" si="9"/>
        <v>0</v>
      </c>
      <c r="T85" s="85">
        <f t="shared" si="9"/>
        <v>0</v>
      </c>
      <c r="U85" s="85">
        <f t="shared" si="9"/>
        <v>0</v>
      </c>
      <c r="V85" s="85">
        <f t="shared" si="9"/>
        <v>0</v>
      </c>
      <c r="W85" s="1"/>
      <c r="X85" s="1"/>
      <c r="Y85" s="1"/>
      <c r="Z85" s="1"/>
      <c r="AA85" s="1"/>
      <c r="AB85" s="1"/>
      <c r="AC85" s="1"/>
      <c r="AD85" s="1"/>
      <c r="AE85" s="1"/>
    </row>
    <row r="86" spans="1:31" customFormat="1" ht="15" customHeight="1">
      <c r="A86" s="1"/>
      <c r="B86" s="1"/>
      <c r="C86" s="2"/>
      <c r="D86" s="124" t="s">
        <v>162</v>
      </c>
      <c r="E86" s="1"/>
      <c r="F86" s="107"/>
      <c r="G86" s="107"/>
      <c r="H86" s="107"/>
      <c r="I86" s="107"/>
      <c r="J86" s="107"/>
      <c r="K86" s="87" t="str">
        <f t="shared" si="8"/>
        <v>kWh</v>
      </c>
      <c r="L86" s="85"/>
      <c r="M86" s="119"/>
      <c r="N86" s="107"/>
      <c r="O86" s="370"/>
      <c r="P86" s="370"/>
      <c r="Q86" s="370"/>
      <c r="R86" s="85">
        <f t="shared" ref="R86:V95" si="10" xml:space="preserve"> R$15 * R343</f>
        <v>0</v>
      </c>
      <c r="S86" s="85">
        <f t="shared" si="10"/>
        <v>0</v>
      </c>
      <c r="T86" s="85">
        <f t="shared" si="10"/>
        <v>0</v>
      </c>
      <c r="U86" s="85">
        <f t="shared" si="10"/>
        <v>0</v>
      </c>
      <c r="V86" s="85">
        <f t="shared" si="10"/>
        <v>0</v>
      </c>
      <c r="W86" s="1"/>
      <c r="X86" s="1"/>
      <c r="Y86" s="1"/>
      <c r="Z86" s="1"/>
      <c r="AA86" s="1"/>
      <c r="AB86" s="1"/>
      <c r="AC86" s="1"/>
      <c r="AD86" s="1"/>
      <c r="AE86" s="1"/>
    </row>
    <row r="87" spans="1:31" customFormat="1" ht="15" customHeight="1">
      <c r="A87" s="1"/>
      <c r="B87" s="1"/>
      <c r="C87" s="2"/>
      <c r="D87" s="124" t="s">
        <v>163</v>
      </c>
      <c r="E87" s="1"/>
      <c r="F87" s="107"/>
      <c r="G87" s="107"/>
      <c r="H87" s="107"/>
      <c r="I87" s="107"/>
      <c r="J87" s="107"/>
      <c r="K87" s="87" t="str">
        <f t="shared" si="8"/>
        <v>kWh</v>
      </c>
      <c r="L87" s="85"/>
      <c r="M87" s="119"/>
      <c r="N87" s="107"/>
      <c r="O87" s="370"/>
      <c r="P87" s="370"/>
      <c r="Q87" s="370"/>
      <c r="R87" s="85">
        <f t="shared" si="10"/>
        <v>0</v>
      </c>
      <c r="S87" s="85">
        <f t="shared" si="10"/>
        <v>0</v>
      </c>
      <c r="T87" s="85">
        <f t="shared" si="10"/>
        <v>0</v>
      </c>
      <c r="U87" s="85">
        <f t="shared" si="10"/>
        <v>0</v>
      </c>
      <c r="V87" s="85">
        <f t="shared" si="10"/>
        <v>0</v>
      </c>
      <c r="W87" s="1"/>
      <c r="X87" s="1"/>
      <c r="Y87" s="1"/>
      <c r="Z87" s="1"/>
      <c r="AA87" s="1"/>
      <c r="AB87" s="1"/>
      <c r="AC87" s="1"/>
      <c r="AD87" s="1"/>
      <c r="AE87" s="1"/>
    </row>
    <row r="88" spans="1:31" customFormat="1" ht="15" customHeight="1">
      <c r="A88" s="1"/>
      <c r="B88" s="1"/>
      <c r="C88" s="2"/>
      <c r="D88" s="124" t="s">
        <v>164</v>
      </c>
      <c r="E88" s="1"/>
      <c r="F88" s="107"/>
      <c r="G88" s="107"/>
      <c r="H88" s="107"/>
      <c r="I88" s="107"/>
      <c r="J88" s="107"/>
      <c r="K88" s="87" t="str">
        <f t="shared" si="8"/>
        <v>kWh</v>
      </c>
      <c r="L88" s="85"/>
      <c r="M88" s="119"/>
      <c r="N88" s="107"/>
      <c r="O88" s="370"/>
      <c r="P88" s="370"/>
      <c r="Q88" s="370"/>
      <c r="R88" s="85">
        <f t="shared" si="10"/>
        <v>0</v>
      </c>
      <c r="S88" s="85">
        <f t="shared" si="10"/>
        <v>0</v>
      </c>
      <c r="T88" s="85">
        <f t="shared" si="10"/>
        <v>0</v>
      </c>
      <c r="U88" s="85">
        <f t="shared" si="10"/>
        <v>0</v>
      </c>
      <c r="V88" s="85">
        <f t="shared" si="10"/>
        <v>0</v>
      </c>
      <c r="W88" s="1"/>
      <c r="X88" s="1"/>
      <c r="Y88" s="1"/>
      <c r="Z88" s="1"/>
      <c r="AA88" s="1"/>
      <c r="AB88" s="1"/>
      <c r="AC88" s="1"/>
      <c r="AD88" s="1"/>
      <c r="AE88" s="1"/>
    </row>
    <row r="89" spans="1:31" customFormat="1" ht="15" customHeight="1">
      <c r="A89" s="1"/>
      <c r="B89" s="1"/>
      <c r="C89" s="2"/>
      <c r="D89" s="124" t="s">
        <v>165</v>
      </c>
      <c r="E89" s="1"/>
      <c r="F89" s="107"/>
      <c r="G89" s="107"/>
      <c r="H89" s="107"/>
      <c r="I89" s="107"/>
      <c r="J89" s="107"/>
      <c r="K89" s="87" t="str">
        <f t="shared" si="8"/>
        <v>kWh</v>
      </c>
      <c r="L89" s="85"/>
      <c r="M89" s="119"/>
      <c r="N89" s="107"/>
      <c r="O89" s="370"/>
      <c r="P89" s="370"/>
      <c r="Q89" s="370"/>
      <c r="R89" s="85">
        <f t="shared" si="10"/>
        <v>0</v>
      </c>
      <c r="S89" s="85">
        <f t="shared" si="10"/>
        <v>0</v>
      </c>
      <c r="T89" s="85">
        <f t="shared" si="10"/>
        <v>0</v>
      </c>
      <c r="U89" s="85">
        <f t="shared" si="10"/>
        <v>0</v>
      </c>
      <c r="V89" s="85">
        <f t="shared" si="10"/>
        <v>0</v>
      </c>
      <c r="W89" s="1"/>
      <c r="X89" s="1"/>
      <c r="Y89" s="1"/>
      <c r="Z89" s="1"/>
      <c r="AA89" s="1"/>
      <c r="AB89" s="1"/>
      <c r="AC89" s="1"/>
      <c r="AD89" s="1"/>
      <c r="AE89" s="1"/>
    </row>
    <row r="90" spans="1:31" customFormat="1" ht="15" customHeight="1">
      <c r="A90" s="1"/>
      <c r="B90" s="1"/>
      <c r="C90" s="2"/>
      <c r="D90" s="124" t="s">
        <v>166</v>
      </c>
      <c r="E90" s="1"/>
      <c r="F90" s="107"/>
      <c r="G90" s="107"/>
      <c r="H90" s="107"/>
      <c r="I90" s="107"/>
      <c r="J90" s="107"/>
      <c r="K90" s="87" t="str">
        <f t="shared" si="8"/>
        <v>kWh</v>
      </c>
      <c r="L90" s="85"/>
      <c r="M90" s="119"/>
      <c r="N90" s="107"/>
      <c r="O90" s="370"/>
      <c r="P90" s="370"/>
      <c r="Q90" s="370"/>
      <c r="R90" s="85">
        <f t="shared" si="10"/>
        <v>0</v>
      </c>
      <c r="S90" s="85">
        <f t="shared" si="10"/>
        <v>0</v>
      </c>
      <c r="T90" s="85">
        <f t="shared" si="10"/>
        <v>0</v>
      </c>
      <c r="U90" s="85">
        <f t="shared" si="10"/>
        <v>0</v>
      </c>
      <c r="V90" s="85">
        <f t="shared" si="10"/>
        <v>0</v>
      </c>
      <c r="W90" s="1"/>
      <c r="X90" s="1"/>
      <c r="Y90" s="1"/>
      <c r="Z90" s="1"/>
      <c r="AA90" s="1"/>
      <c r="AB90" s="1"/>
      <c r="AC90" s="1"/>
      <c r="AD90" s="1"/>
      <c r="AE90" s="1"/>
    </row>
    <row r="91" spans="1:31" customFormat="1" ht="15" customHeight="1">
      <c r="A91" s="1"/>
      <c r="B91" s="1"/>
      <c r="C91" s="2"/>
      <c r="D91" s="124" t="s">
        <v>167</v>
      </c>
      <c r="E91" s="1"/>
      <c r="F91" s="107"/>
      <c r="G91" s="107"/>
      <c r="H91" s="107"/>
      <c r="I91" s="107"/>
      <c r="J91" s="107"/>
      <c r="K91" s="87" t="str">
        <f t="shared" si="8"/>
        <v>kWh</v>
      </c>
      <c r="L91" s="85"/>
      <c r="M91" s="119"/>
      <c r="N91" s="107"/>
      <c r="O91" s="370"/>
      <c r="P91" s="370"/>
      <c r="Q91" s="370"/>
      <c r="R91" s="85">
        <f t="shared" si="10"/>
        <v>0</v>
      </c>
      <c r="S91" s="85">
        <f t="shared" si="10"/>
        <v>0</v>
      </c>
      <c r="T91" s="85">
        <f t="shared" si="10"/>
        <v>0</v>
      </c>
      <c r="U91" s="85">
        <f t="shared" si="10"/>
        <v>0</v>
      </c>
      <c r="V91" s="85">
        <f t="shared" si="10"/>
        <v>0</v>
      </c>
      <c r="W91" s="1"/>
      <c r="X91" s="1"/>
      <c r="Y91" s="1"/>
      <c r="Z91" s="1"/>
      <c r="AA91" s="1"/>
      <c r="AB91" s="1"/>
      <c r="AC91" s="1"/>
      <c r="AD91" s="1"/>
      <c r="AE91" s="1"/>
    </row>
    <row r="92" spans="1:31" customFormat="1" ht="15" customHeight="1">
      <c r="A92" s="1"/>
      <c r="B92" s="1"/>
      <c r="C92" s="2"/>
      <c r="D92" s="124" t="s">
        <v>168</v>
      </c>
      <c r="E92" s="1"/>
      <c r="F92" s="107"/>
      <c r="G92" s="107"/>
      <c r="H92" s="107"/>
      <c r="I92" s="107"/>
      <c r="J92" s="107"/>
      <c r="K92" s="87" t="str">
        <f t="shared" si="8"/>
        <v>kWh</v>
      </c>
      <c r="L92" s="85"/>
      <c r="M92" s="119"/>
      <c r="N92" s="107"/>
      <c r="O92" s="370"/>
      <c r="P92" s="370"/>
      <c r="Q92" s="370"/>
      <c r="R92" s="85">
        <f t="shared" si="10"/>
        <v>0</v>
      </c>
      <c r="S92" s="85">
        <f t="shared" si="10"/>
        <v>0</v>
      </c>
      <c r="T92" s="85">
        <f t="shared" si="10"/>
        <v>0</v>
      </c>
      <c r="U92" s="85">
        <f t="shared" si="10"/>
        <v>0</v>
      </c>
      <c r="V92" s="85">
        <f t="shared" si="10"/>
        <v>0</v>
      </c>
      <c r="W92" s="1"/>
      <c r="X92" s="1"/>
      <c r="Y92" s="1"/>
      <c r="Z92" s="1"/>
      <c r="AA92" s="1"/>
      <c r="AB92" s="1"/>
      <c r="AC92" s="1"/>
      <c r="AD92" s="1"/>
      <c r="AE92" s="1"/>
    </row>
    <row r="93" spans="1:31" customFormat="1" ht="15" customHeight="1">
      <c r="A93" s="1"/>
      <c r="B93" s="1"/>
      <c r="C93" s="2"/>
      <c r="D93" s="124" t="s">
        <v>169</v>
      </c>
      <c r="E93" s="1"/>
      <c r="F93" s="107"/>
      <c r="G93" s="107"/>
      <c r="H93" s="107"/>
      <c r="I93" s="107"/>
      <c r="J93" s="107"/>
      <c r="K93" s="87" t="str">
        <f t="shared" si="8"/>
        <v>kWh</v>
      </c>
      <c r="L93" s="85"/>
      <c r="M93" s="119"/>
      <c r="N93" s="107"/>
      <c r="O93" s="370"/>
      <c r="P93" s="370"/>
      <c r="Q93" s="370"/>
      <c r="R93" s="85">
        <f t="shared" si="10"/>
        <v>0</v>
      </c>
      <c r="S93" s="85">
        <f t="shared" si="10"/>
        <v>0</v>
      </c>
      <c r="T93" s="85">
        <f t="shared" si="10"/>
        <v>0</v>
      </c>
      <c r="U93" s="85">
        <f t="shared" si="10"/>
        <v>0</v>
      </c>
      <c r="V93" s="85">
        <f t="shared" si="10"/>
        <v>0</v>
      </c>
      <c r="W93" s="1"/>
      <c r="X93" s="1"/>
      <c r="Y93" s="1"/>
      <c r="Z93" s="1"/>
      <c r="AA93" s="1"/>
      <c r="AB93" s="1"/>
      <c r="AC93" s="1"/>
      <c r="AD93" s="1"/>
      <c r="AE93" s="1"/>
    </row>
    <row r="94" spans="1:31" customFormat="1" ht="15" customHeight="1">
      <c r="A94" s="1"/>
      <c r="B94" s="1"/>
      <c r="C94" s="2"/>
      <c r="D94" s="124" t="s">
        <v>170</v>
      </c>
      <c r="E94" s="1"/>
      <c r="F94" s="107"/>
      <c r="G94" s="107"/>
      <c r="H94" s="107"/>
      <c r="I94" s="107"/>
      <c r="J94" s="107"/>
      <c r="K94" s="87" t="str">
        <f t="shared" si="8"/>
        <v>kWh</v>
      </c>
      <c r="L94" s="85"/>
      <c r="M94" s="119"/>
      <c r="N94" s="107"/>
      <c r="O94" s="370"/>
      <c r="P94" s="370"/>
      <c r="Q94" s="370"/>
      <c r="R94" s="85">
        <f t="shared" si="10"/>
        <v>0</v>
      </c>
      <c r="S94" s="85">
        <f t="shared" si="10"/>
        <v>0</v>
      </c>
      <c r="T94" s="85">
        <f t="shared" si="10"/>
        <v>0</v>
      </c>
      <c r="U94" s="85">
        <f t="shared" si="10"/>
        <v>0</v>
      </c>
      <c r="V94" s="85">
        <f t="shared" si="10"/>
        <v>0</v>
      </c>
      <c r="W94" s="1"/>
      <c r="X94" s="1"/>
      <c r="Y94" s="1"/>
      <c r="Z94" s="1"/>
      <c r="AA94" s="1"/>
      <c r="AB94" s="1"/>
      <c r="AC94" s="1"/>
      <c r="AD94" s="1"/>
      <c r="AE94" s="1"/>
    </row>
    <row r="95" spans="1:31" customFormat="1" ht="15" customHeight="1">
      <c r="A95" s="1"/>
      <c r="B95" s="1"/>
      <c r="C95" s="2"/>
      <c r="D95" s="124" t="s">
        <v>171</v>
      </c>
      <c r="E95" s="1"/>
      <c r="F95" s="107"/>
      <c r="G95" s="107"/>
      <c r="H95" s="107"/>
      <c r="I95" s="107"/>
      <c r="J95" s="107"/>
      <c r="K95" s="87" t="str">
        <f t="shared" si="8"/>
        <v>kWh</v>
      </c>
      <c r="L95" s="85"/>
      <c r="M95" s="119"/>
      <c r="N95" s="107"/>
      <c r="O95" s="370"/>
      <c r="P95" s="370"/>
      <c r="Q95" s="370"/>
      <c r="R95" s="85">
        <f t="shared" si="10"/>
        <v>0</v>
      </c>
      <c r="S95" s="85">
        <f t="shared" si="10"/>
        <v>0</v>
      </c>
      <c r="T95" s="85">
        <f t="shared" si="10"/>
        <v>0</v>
      </c>
      <c r="U95" s="85">
        <f t="shared" si="10"/>
        <v>0</v>
      </c>
      <c r="V95" s="85">
        <f t="shared" si="10"/>
        <v>0</v>
      </c>
      <c r="W95" s="1"/>
      <c r="X95" s="1"/>
      <c r="Y95" s="1"/>
      <c r="Z95" s="1"/>
      <c r="AA95" s="1"/>
      <c r="AB95" s="1"/>
      <c r="AC95" s="1"/>
      <c r="AD95" s="1"/>
      <c r="AE95" s="1"/>
    </row>
    <row r="96" spans="1:31" customFormat="1" ht="15" customHeight="1">
      <c r="A96" s="1"/>
      <c r="B96" s="1"/>
      <c r="C96" s="2"/>
      <c r="D96" s="124" t="s">
        <v>172</v>
      </c>
      <c r="E96" s="1"/>
      <c r="F96" s="107"/>
      <c r="G96" s="107"/>
      <c r="H96" s="107"/>
      <c r="I96" s="107"/>
      <c r="J96" s="107"/>
      <c r="K96" s="87" t="str">
        <f t="shared" si="8"/>
        <v>kWh</v>
      </c>
      <c r="L96" s="85"/>
      <c r="M96" s="119"/>
      <c r="N96" s="107"/>
      <c r="O96" s="370"/>
      <c r="P96" s="370"/>
      <c r="Q96" s="370"/>
      <c r="R96" s="85">
        <f t="shared" ref="R96:V99" si="11" xml:space="preserve"> R$15 * R353</f>
        <v>0</v>
      </c>
      <c r="S96" s="85">
        <f t="shared" si="11"/>
        <v>0</v>
      </c>
      <c r="T96" s="85">
        <f t="shared" si="11"/>
        <v>0</v>
      </c>
      <c r="U96" s="85">
        <f t="shared" si="11"/>
        <v>0</v>
      </c>
      <c r="V96" s="85">
        <f t="shared" si="11"/>
        <v>0</v>
      </c>
      <c r="W96" s="1"/>
      <c r="X96" s="1"/>
      <c r="Y96" s="1"/>
      <c r="Z96" s="1"/>
      <c r="AA96" s="1"/>
      <c r="AB96" s="1"/>
      <c r="AC96" s="1"/>
      <c r="AD96" s="1"/>
      <c r="AE96" s="1"/>
    </row>
    <row r="97" spans="1:31" customFormat="1" ht="15" customHeight="1">
      <c r="A97" s="1"/>
      <c r="B97" s="1"/>
      <c r="C97" s="2"/>
      <c r="D97" s="124" t="s">
        <v>173</v>
      </c>
      <c r="E97" s="1"/>
      <c r="F97" s="107"/>
      <c r="G97" s="107"/>
      <c r="H97" s="107"/>
      <c r="I97" s="107"/>
      <c r="J97" s="107"/>
      <c r="K97" s="87" t="str">
        <f t="shared" si="8"/>
        <v>kWh</v>
      </c>
      <c r="L97" s="85"/>
      <c r="M97" s="119"/>
      <c r="N97" s="107"/>
      <c r="O97" s="370"/>
      <c r="P97" s="370"/>
      <c r="Q97" s="370"/>
      <c r="R97" s="85">
        <f t="shared" si="11"/>
        <v>0</v>
      </c>
      <c r="S97" s="85">
        <f t="shared" si="11"/>
        <v>0</v>
      </c>
      <c r="T97" s="85">
        <f t="shared" si="11"/>
        <v>0</v>
      </c>
      <c r="U97" s="85">
        <f t="shared" si="11"/>
        <v>0</v>
      </c>
      <c r="V97" s="85">
        <f t="shared" si="11"/>
        <v>0</v>
      </c>
      <c r="W97" s="1"/>
      <c r="X97" s="1"/>
      <c r="Y97" s="1"/>
      <c r="Z97" s="1"/>
      <c r="AA97" s="1"/>
      <c r="AB97" s="1"/>
      <c r="AC97" s="1"/>
      <c r="AD97" s="1"/>
      <c r="AE97" s="1"/>
    </row>
    <row r="98" spans="1:31" customFormat="1" ht="15" customHeight="1">
      <c r="A98" s="1"/>
      <c r="B98" s="1"/>
      <c r="C98" s="2"/>
      <c r="D98" s="124" t="s">
        <v>174</v>
      </c>
      <c r="E98" s="1"/>
      <c r="F98" s="107"/>
      <c r="G98" s="107"/>
      <c r="H98" s="107"/>
      <c r="I98" s="107"/>
      <c r="J98" s="107"/>
      <c r="K98" s="87" t="str">
        <f t="shared" si="8"/>
        <v>kWh</v>
      </c>
      <c r="L98" s="85"/>
      <c r="M98" s="119"/>
      <c r="N98" s="107"/>
      <c r="O98" s="370"/>
      <c r="P98" s="370"/>
      <c r="Q98" s="370"/>
      <c r="R98" s="85">
        <f t="shared" si="11"/>
        <v>0</v>
      </c>
      <c r="S98" s="85">
        <f t="shared" si="11"/>
        <v>0</v>
      </c>
      <c r="T98" s="85">
        <f t="shared" si="11"/>
        <v>0</v>
      </c>
      <c r="U98" s="85">
        <f t="shared" si="11"/>
        <v>0</v>
      </c>
      <c r="V98" s="85">
        <f t="shared" si="11"/>
        <v>0</v>
      </c>
      <c r="W98" s="1"/>
      <c r="X98" s="1"/>
      <c r="Y98" s="1"/>
      <c r="Z98" s="1"/>
      <c r="AA98" s="1"/>
      <c r="AB98" s="1"/>
      <c r="AC98" s="1"/>
      <c r="AD98" s="1"/>
      <c r="AE98" s="1"/>
    </row>
    <row r="99" spans="1:31" customFormat="1" ht="15" customHeight="1">
      <c r="A99" s="1"/>
      <c r="B99" s="1"/>
      <c r="C99" s="2"/>
      <c r="D99" s="125" t="s">
        <v>175</v>
      </c>
      <c r="E99" s="27"/>
      <c r="F99" s="115"/>
      <c r="G99" s="115"/>
      <c r="H99" s="115"/>
      <c r="I99" s="115"/>
      <c r="J99" s="115"/>
      <c r="K99" s="98" t="str">
        <f t="shared" si="8"/>
        <v>kWh</v>
      </c>
      <c r="L99" s="99"/>
      <c r="M99" s="151"/>
      <c r="N99" s="115"/>
      <c r="O99" s="368"/>
      <c r="P99" s="368"/>
      <c r="Q99" s="368"/>
      <c r="R99" s="99">
        <f t="shared" si="11"/>
        <v>0</v>
      </c>
      <c r="S99" s="99">
        <f t="shared" si="11"/>
        <v>0</v>
      </c>
      <c r="T99" s="99">
        <f t="shared" si="11"/>
        <v>0</v>
      </c>
      <c r="U99" s="99">
        <f t="shared" si="11"/>
        <v>0</v>
      </c>
      <c r="V99" s="99">
        <f t="shared" si="11"/>
        <v>0</v>
      </c>
      <c r="W99" s="27"/>
      <c r="X99" s="1"/>
      <c r="Y99" s="1"/>
      <c r="Z99" s="1"/>
      <c r="AA99" s="1"/>
      <c r="AB99" s="1"/>
      <c r="AC99" s="1"/>
      <c r="AD99" s="1"/>
      <c r="AE99" s="1"/>
    </row>
    <row r="100" spans="1:31" customFormat="1" ht="15" customHeight="1">
      <c r="A100" s="1"/>
      <c r="B100" s="1"/>
      <c r="C100" s="2"/>
      <c r="D100" s="105" t="s">
        <v>16</v>
      </c>
      <c r="E100" s="186"/>
      <c r="F100" s="120"/>
      <c r="G100" s="120"/>
      <c r="H100" s="120"/>
      <c r="I100" s="120"/>
      <c r="J100" s="120"/>
      <c r="K100" s="106" t="str">
        <f t="shared" si="8"/>
        <v>kWh</v>
      </c>
      <c r="L100" s="105"/>
      <c r="M100" s="105"/>
      <c r="N100" s="120"/>
      <c r="O100" s="371"/>
      <c r="P100" s="371"/>
      <c r="Q100" s="371"/>
      <c r="R100" s="35">
        <f xml:space="preserve"> SUM( R76:R99 )</f>
        <v>0</v>
      </c>
      <c r="S100" s="35">
        <f xml:space="preserve"> SUM( S76:S99 )</f>
        <v>0</v>
      </c>
      <c r="T100" s="35">
        <f xml:space="preserve"> SUM( T76:T99 )</f>
        <v>0</v>
      </c>
      <c r="U100" s="35">
        <f xml:space="preserve"> SUM( U76:U99 )</f>
        <v>0</v>
      </c>
      <c r="V100" s="35">
        <f xml:space="preserve"> SUM( V76:V99 )</f>
        <v>0</v>
      </c>
      <c r="W100" s="33"/>
      <c r="X100" s="1"/>
      <c r="Y100" s="1"/>
      <c r="Z100" s="1"/>
      <c r="AA100" s="1"/>
      <c r="AB100" s="1"/>
      <c r="AC100" s="1"/>
      <c r="AD100" s="1"/>
      <c r="AE100" s="1"/>
    </row>
    <row r="101" spans="1:31" customFormat="1" ht="15" customHeight="1">
      <c r="A101" s="1"/>
      <c r="B101" s="1"/>
      <c r="C101" s="2"/>
      <c r="D101" s="85"/>
      <c r="E101" s="1"/>
      <c r="F101" s="86"/>
      <c r="G101" s="86"/>
      <c r="H101" s="86"/>
      <c r="I101" s="86"/>
      <c r="J101" s="86"/>
      <c r="K101" s="87"/>
      <c r="L101" s="85"/>
      <c r="M101" s="85"/>
      <c r="N101" s="86"/>
      <c r="O101" s="86"/>
      <c r="P101" s="86"/>
      <c r="Q101" s="86"/>
      <c r="R101" s="1"/>
      <c r="S101" s="1"/>
      <c r="T101" s="1"/>
      <c r="U101" s="1"/>
      <c r="V101" s="1"/>
      <c r="W101" s="1"/>
      <c r="X101" s="1"/>
      <c r="Y101" s="1"/>
      <c r="Z101" s="1"/>
      <c r="AA101" s="1"/>
      <c r="AB101" s="1"/>
      <c r="AC101" s="1"/>
      <c r="AD101" s="1"/>
      <c r="AE101" s="1"/>
    </row>
    <row r="102" spans="1:31" customFormat="1" ht="15" customHeight="1">
      <c r="A102" s="1"/>
      <c r="B102" s="1"/>
      <c r="C102" s="2"/>
      <c r="D102" s="88" t="s">
        <v>189</v>
      </c>
      <c r="E102" s="1"/>
      <c r="F102" s="107"/>
      <c r="G102" s="107"/>
      <c r="H102" s="107"/>
      <c r="I102" s="107"/>
      <c r="J102" s="107"/>
      <c r="K102" s="87"/>
      <c r="L102" s="85"/>
      <c r="M102" s="85"/>
      <c r="N102" s="107"/>
      <c r="O102" s="107"/>
      <c r="P102" s="107"/>
      <c r="Q102" s="107"/>
      <c r="R102" s="1"/>
      <c r="S102" s="1"/>
      <c r="T102" s="1"/>
      <c r="U102" s="1"/>
      <c r="V102" s="1"/>
      <c r="W102" s="1"/>
      <c r="X102" s="1"/>
      <c r="Y102" s="1"/>
      <c r="Z102" s="1"/>
      <c r="AA102" s="1"/>
      <c r="AB102" s="1"/>
      <c r="AC102" s="1"/>
      <c r="AD102" s="1"/>
      <c r="AE102" s="1"/>
    </row>
    <row r="103" spans="1:31" customFormat="1" ht="15" customHeight="1">
      <c r="A103" s="1"/>
      <c r="B103" s="1"/>
      <c r="C103" s="2"/>
      <c r="D103" s="122" t="s">
        <v>152</v>
      </c>
      <c r="E103" s="15"/>
      <c r="F103" s="116"/>
      <c r="G103" s="116"/>
      <c r="H103" s="116"/>
      <c r="I103" s="116"/>
      <c r="J103" s="116"/>
      <c r="K103" s="117" t="str">
        <f t="shared" ref="K103:K127" si="12" xml:space="preserve"> Model.Units2</f>
        <v>kWh</v>
      </c>
      <c r="L103" s="123"/>
      <c r="M103" s="142"/>
      <c r="N103" s="116"/>
      <c r="O103" s="369"/>
      <c r="P103" s="369"/>
      <c r="Q103" s="369"/>
      <c r="R103" s="123">
        <f t="shared" ref="R103:V112" si="13" xml:space="preserve"> R$15 * R361</f>
        <v>0</v>
      </c>
      <c r="S103" s="123">
        <f t="shared" si="13"/>
        <v>0</v>
      </c>
      <c r="T103" s="123">
        <f t="shared" si="13"/>
        <v>0</v>
      </c>
      <c r="U103" s="123">
        <f t="shared" si="13"/>
        <v>0</v>
      </c>
      <c r="V103" s="123">
        <f t="shared" si="13"/>
        <v>0</v>
      </c>
      <c r="W103" s="15"/>
      <c r="X103" s="1"/>
      <c r="Y103" s="1"/>
      <c r="Z103" s="1"/>
      <c r="AA103" s="1"/>
      <c r="AB103" s="1"/>
      <c r="AC103" s="1"/>
      <c r="AD103" s="1"/>
      <c r="AE103" s="1"/>
    </row>
    <row r="104" spans="1:31" customFormat="1" ht="15" customHeight="1">
      <c r="A104" s="1"/>
      <c r="B104" s="1"/>
      <c r="C104" s="2"/>
      <c r="D104" s="124" t="s">
        <v>153</v>
      </c>
      <c r="E104" s="1"/>
      <c r="F104" s="107"/>
      <c r="G104" s="107"/>
      <c r="H104" s="107"/>
      <c r="I104" s="107"/>
      <c r="J104" s="107"/>
      <c r="K104" s="87" t="str">
        <f t="shared" si="12"/>
        <v>kWh</v>
      </c>
      <c r="L104" s="85"/>
      <c r="M104" s="119"/>
      <c r="N104" s="107"/>
      <c r="O104" s="370"/>
      <c r="P104" s="370"/>
      <c r="Q104" s="370"/>
      <c r="R104" s="85">
        <f t="shared" si="13"/>
        <v>0</v>
      </c>
      <c r="S104" s="85">
        <f t="shared" si="13"/>
        <v>0</v>
      </c>
      <c r="T104" s="85">
        <f t="shared" si="13"/>
        <v>0</v>
      </c>
      <c r="U104" s="85">
        <f t="shared" si="13"/>
        <v>0</v>
      </c>
      <c r="V104" s="85">
        <f t="shared" si="13"/>
        <v>0</v>
      </c>
      <c r="W104" s="1"/>
      <c r="X104" s="1"/>
      <c r="Y104" s="1"/>
      <c r="Z104" s="1"/>
      <c r="AA104" s="1"/>
      <c r="AB104" s="1"/>
      <c r="AC104" s="1"/>
      <c r="AD104" s="1"/>
      <c r="AE104" s="1"/>
    </row>
    <row r="105" spans="1:31" customFormat="1" ht="15" customHeight="1">
      <c r="A105" s="1"/>
      <c r="B105" s="1"/>
      <c r="C105" s="2"/>
      <c r="D105" s="124" t="s">
        <v>154</v>
      </c>
      <c r="E105" s="1"/>
      <c r="F105" s="107"/>
      <c r="G105" s="107"/>
      <c r="H105" s="107"/>
      <c r="I105" s="107"/>
      <c r="J105" s="107"/>
      <c r="K105" s="87" t="str">
        <f t="shared" si="12"/>
        <v>kWh</v>
      </c>
      <c r="L105" s="85"/>
      <c r="M105" s="119"/>
      <c r="N105" s="107"/>
      <c r="O105" s="370"/>
      <c r="P105" s="370"/>
      <c r="Q105" s="370"/>
      <c r="R105" s="85">
        <f t="shared" si="13"/>
        <v>0</v>
      </c>
      <c r="S105" s="85">
        <f t="shared" si="13"/>
        <v>0</v>
      </c>
      <c r="T105" s="85">
        <f t="shared" si="13"/>
        <v>0</v>
      </c>
      <c r="U105" s="85">
        <f t="shared" si="13"/>
        <v>0</v>
      </c>
      <c r="V105" s="85">
        <f t="shared" si="13"/>
        <v>0</v>
      </c>
      <c r="W105" s="1"/>
      <c r="X105" s="1"/>
      <c r="Y105" s="1"/>
      <c r="Z105" s="1"/>
      <c r="AA105" s="1"/>
      <c r="AB105" s="1"/>
      <c r="AC105" s="1"/>
      <c r="AD105" s="1"/>
      <c r="AE105" s="1"/>
    </row>
    <row r="106" spans="1:31" customFormat="1" ht="15" customHeight="1">
      <c r="A106" s="1"/>
      <c r="B106" s="1"/>
      <c r="C106" s="2"/>
      <c r="D106" s="124" t="s">
        <v>155</v>
      </c>
      <c r="E106" s="1"/>
      <c r="F106" s="107"/>
      <c r="G106" s="107"/>
      <c r="H106" s="107"/>
      <c r="I106" s="107"/>
      <c r="J106" s="107"/>
      <c r="K106" s="87" t="str">
        <f t="shared" si="12"/>
        <v>kWh</v>
      </c>
      <c r="L106" s="85"/>
      <c r="M106" s="119"/>
      <c r="N106" s="107"/>
      <c r="O106" s="370"/>
      <c r="P106" s="370"/>
      <c r="Q106" s="370"/>
      <c r="R106" s="85">
        <f t="shared" si="13"/>
        <v>0</v>
      </c>
      <c r="S106" s="85">
        <f t="shared" si="13"/>
        <v>0</v>
      </c>
      <c r="T106" s="85">
        <f t="shared" si="13"/>
        <v>0</v>
      </c>
      <c r="U106" s="85">
        <f t="shared" si="13"/>
        <v>0</v>
      </c>
      <c r="V106" s="85">
        <f t="shared" si="13"/>
        <v>0</v>
      </c>
      <c r="W106" s="1"/>
      <c r="X106" s="1"/>
      <c r="Y106" s="1"/>
      <c r="Z106" s="1"/>
      <c r="AA106" s="1"/>
      <c r="AB106" s="1"/>
      <c r="AC106" s="1"/>
      <c r="AD106" s="1"/>
      <c r="AE106" s="1"/>
    </row>
    <row r="107" spans="1:31" customFormat="1" ht="15" customHeight="1">
      <c r="A107" s="1"/>
      <c r="B107" s="1"/>
      <c r="C107" s="2"/>
      <c r="D107" s="124" t="s">
        <v>156</v>
      </c>
      <c r="E107" s="1"/>
      <c r="F107" s="107"/>
      <c r="G107" s="107"/>
      <c r="H107" s="107"/>
      <c r="I107" s="107"/>
      <c r="J107" s="107"/>
      <c r="K107" s="87" t="str">
        <f t="shared" si="12"/>
        <v>kWh</v>
      </c>
      <c r="L107" s="85"/>
      <c r="M107" s="119"/>
      <c r="N107" s="107"/>
      <c r="O107" s="370"/>
      <c r="P107" s="370"/>
      <c r="Q107" s="370"/>
      <c r="R107" s="85">
        <f t="shared" si="13"/>
        <v>0</v>
      </c>
      <c r="S107" s="85">
        <f t="shared" si="13"/>
        <v>0</v>
      </c>
      <c r="T107" s="85">
        <f t="shared" si="13"/>
        <v>0</v>
      </c>
      <c r="U107" s="85">
        <f t="shared" si="13"/>
        <v>0</v>
      </c>
      <c r="V107" s="85">
        <f t="shared" si="13"/>
        <v>0</v>
      </c>
      <c r="W107" s="1"/>
      <c r="X107" s="1"/>
      <c r="Y107" s="1"/>
      <c r="Z107" s="1"/>
      <c r="AA107" s="1"/>
      <c r="AB107" s="1"/>
      <c r="AC107" s="1"/>
      <c r="AD107" s="1"/>
      <c r="AE107" s="1"/>
    </row>
    <row r="108" spans="1:31" customFormat="1" ht="15" customHeight="1">
      <c r="A108" s="1"/>
      <c r="B108" s="1"/>
      <c r="C108" s="2"/>
      <c r="D108" s="124" t="s">
        <v>157</v>
      </c>
      <c r="E108" s="1"/>
      <c r="F108" s="107"/>
      <c r="G108" s="107"/>
      <c r="H108" s="107"/>
      <c r="I108" s="107"/>
      <c r="J108" s="107"/>
      <c r="K108" s="87" t="str">
        <f t="shared" si="12"/>
        <v>kWh</v>
      </c>
      <c r="L108" s="85"/>
      <c r="M108" s="119"/>
      <c r="N108" s="107"/>
      <c r="O108" s="370"/>
      <c r="P108" s="370"/>
      <c r="Q108" s="370"/>
      <c r="R108" s="85">
        <f t="shared" si="13"/>
        <v>0</v>
      </c>
      <c r="S108" s="85">
        <f t="shared" si="13"/>
        <v>0</v>
      </c>
      <c r="T108" s="85">
        <f t="shared" si="13"/>
        <v>0</v>
      </c>
      <c r="U108" s="85">
        <f t="shared" si="13"/>
        <v>0</v>
      </c>
      <c r="V108" s="85">
        <f t="shared" si="13"/>
        <v>0</v>
      </c>
      <c r="W108" s="1"/>
      <c r="X108" s="1"/>
      <c r="Y108" s="1"/>
      <c r="Z108" s="1"/>
      <c r="AA108" s="1"/>
      <c r="AB108" s="1"/>
      <c r="AC108" s="1"/>
      <c r="AD108" s="1"/>
      <c r="AE108" s="1"/>
    </row>
    <row r="109" spans="1:31" customFormat="1" ht="15" customHeight="1">
      <c r="A109" s="1"/>
      <c r="B109" s="1"/>
      <c r="C109" s="2"/>
      <c r="D109" s="124" t="s">
        <v>158</v>
      </c>
      <c r="E109" s="1"/>
      <c r="F109" s="107"/>
      <c r="G109" s="107"/>
      <c r="H109" s="107"/>
      <c r="I109" s="107"/>
      <c r="J109" s="107"/>
      <c r="K109" s="87" t="str">
        <f t="shared" si="12"/>
        <v>kWh</v>
      </c>
      <c r="L109" s="85"/>
      <c r="M109" s="119"/>
      <c r="N109" s="107"/>
      <c r="O109" s="370"/>
      <c r="P109" s="370"/>
      <c r="Q109" s="370"/>
      <c r="R109" s="85">
        <f t="shared" si="13"/>
        <v>0</v>
      </c>
      <c r="S109" s="85">
        <f t="shared" si="13"/>
        <v>0</v>
      </c>
      <c r="T109" s="85">
        <f t="shared" si="13"/>
        <v>0</v>
      </c>
      <c r="U109" s="85">
        <f t="shared" si="13"/>
        <v>0</v>
      </c>
      <c r="V109" s="85">
        <f t="shared" si="13"/>
        <v>0</v>
      </c>
      <c r="W109" s="1"/>
      <c r="X109" s="1"/>
      <c r="Y109" s="1"/>
      <c r="Z109" s="1"/>
      <c r="AA109" s="1"/>
      <c r="AB109" s="1"/>
      <c r="AC109" s="1"/>
      <c r="AD109" s="1"/>
      <c r="AE109" s="1"/>
    </row>
    <row r="110" spans="1:31" customFormat="1" ht="15" customHeight="1">
      <c r="A110" s="1"/>
      <c r="B110" s="1"/>
      <c r="C110" s="2"/>
      <c r="D110" s="124" t="s">
        <v>159</v>
      </c>
      <c r="E110" s="1"/>
      <c r="F110" s="107"/>
      <c r="G110" s="107"/>
      <c r="H110" s="107"/>
      <c r="I110" s="107"/>
      <c r="J110" s="107"/>
      <c r="K110" s="87" t="str">
        <f t="shared" si="12"/>
        <v>kWh</v>
      </c>
      <c r="L110" s="85"/>
      <c r="M110" s="119"/>
      <c r="N110" s="107"/>
      <c r="O110" s="370"/>
      <c r="P110" s="370"/>
      <c r="Q110" s="370"/>
      <c r="R110" s="85">
        <f t="shared" si="13"/>
        <v>0</v>
      </c>
      <c r="S110" s="85">
        <f t="shared" si="13"/>
        <v>0</v>
      </c>
      <c r="T110" s="85">
        <f t="shared" si="13"/>
        <v>0</v>
      </c>
      <c r="U110" s="85">
        <f t="shared" si="13"/>
        <v>0</v>
      </c>
      <c r="V110" s="85">
        <f t="shared" si="13"/>
        <v>0</v>
      </c>
      <c r="W110" s="1"/>
      <c r="X110" s="1"/>
      <c r="Y110" s="1"/>
      <c r="Z110" s="1"/>
      <c r="AA110" s="1"/>
      <c r="AB110" s="1"/>
      <c r="AC110" s="1"/>
      <c r="AD110" s="1"/>
      <c r="AE110" s="1"/>
    </row>
    <row r="111" spans="1:31" customFormat="1" ht="15" customHeight="1">
      <c r="A111" s="1"/>
      <c r="B111" s="1"/>
      <c r="C111" s="2"/>
      <c r="D111" s="124" t="s">
        <v>160</v>
      </c>
      <c r="E111" s="1"/>
      <c r="F111" s="107"/>
      <c r="G111" s="107"/>
      <c r="H111" s="107"/>
      <c r="I111" s="107"/>
      <c r="J111" s="107"/>
      <c r="K111" s="87" t="str">
        <f t="shared" si="12"/>
        <v>kWh</v>
      </c>
      <c r="L111" s="85"/>
      <c r="M111" s="119"/>
      <c r="N111" s="107"/>
      <c r="O111" s="370"/>
      <c r="P111" s="370"/>
      <c r="Q111" s="370"/>
      <c r="R111" s="85">
        <f t="shared" si="13"/>
        <v>0</v>
      </c>
      <c r="S111" s="85">
        <f t="shared" si="13"/>
        <v>0</v>
      </c>
      <c r="T111" s="85">
        <f t="shared" si="13"/>
        <v>0</v>
      </c>
      <c r="U111" s="85">
        <f t="shared" si="13"/>
        <v>0</v>
      </c>
      <c r="V111" s="85">
        <f t="shared" si="13"/>
        <v>0</v>
      </c>
      <c r="W111" s="1"/>
      <c r="X111" s="1"/>
      <c r="Y111" s="1"/>
      <c r="Z111" s="1"/>
      <c r="AA111" s="1"/>
      <c r="AB111" s="1"/>
      <c r="AC111" s="1"/>
      <c r="AD111" s="1"/>
      <c r="AE111" s="1"/>
    </row>
    <row r="112" spans="1:31" customFormat="1" ht="15" customHeight="1">
      <c r="A112" s="1"/>
      <c r="B112" s="1"/>
      <c r="C112" s="2"/>
      <c r="D112" s="124" t="s">
        <v>161</v>
      </c>
      <c r="E112" s="1"/>
      <c r="F112" s="107"/>
      <c r="G112" s="107"/>
      <c r="H112" s="107"/>
      <c r="I112" s="107"/>
      <c r="J112" s="107"/>
      <c r="K112" s="87" t="str">
        <f t="shared" si="12"/>
        <v>kWh</v>
      </c>
      <c r="L112" s="85"/>
      <c r="M112" s="119"/>
      <c r="N112" s="107"/>
      <c r="O112" s="370"/>
      <c r="P112" s="370"/>
      <c r="Q112" s="370"/>
      <c r="R112" s="85">
        <f t="shared" si="13"/>
        <v>0</v>
      </c>
      <c r="S112" s="85">
        <f t="shared" si="13"/>
        <v>0</v>
      </c>
      <c r="T112" s="85">
        <f t="shared" si="13"/>
        <v>0</v>
      </c>
      <c r="U112" s="85">
        <f t="shared" si="13"/>
        <v>0</v>
      </c>
      <c r="V112" s="85">
        <f t="shared" si="13"/>
        <v>0</v>
      </c>
      <c r="W112" s="1"/>
      <c r="X112" s="1"/>
      <c r="Y112" s="1"/>
      <c r="Z112" s="1"/>
      <c r="AA112" s="1"/>
      <c r="AB112" s="1"/>
      <c r="AC112" s="1"/>
      <c r="AD112" s="1"/>
      <c r="AE112" s="1"/>
    </row>
    <row r="113" spans="1:31" customFormat="1" ht="15" customHeight="1">
      <c r="A113" s="1"/>
      <c r="B113" s="1"/>
      <c r="C113" s="2"/>
      <c r="D113" s="124" t="s">
        <v>162</v>
      </c>
      <c r="E113" s="1"/>
      <c r="F113" s="107"/>
      <c r="G113" s="107"/>
      <c r="H113" s="107"/>
      <c r="I113" s="107"/>
      <c r="J113" s="107"/>
      <c r="K113" s="87" t="str">
        <f t="shared" si="12"/>
        <v>kWh</v>
      </c>
      <c r="L113" s="85"/>
      <c r="M113" s="119"/>
      <c r="N113" s="107"/>
      <c r="O113" s="370"/>
      <c r="P113" s="370"/>
      <c r="Q113" s="370"/>
      <c r="R113" s="85">
        <f t="shared" ref="R113:V122" si="14" xml:space="preserve"> R$15 * R371</f>
        <v>0</v>
      </c>
      <c r="S113" s="85">
        <f t="shared" si="14"/>
        <v>0</v>
      </c>
      <c r="T113" s="85">
        <f t="shared" si="14"/>
        <v>0</v>
      </c>
      <c r="U113" s="85">
        <f t="shared" si="14"/>
        <v>0</v>
      </c>
      <c r="V113" s="85">
        <f t="shared" si="14"/>
        <v>0</v>
      </c>
      <c r="W113" s="1"/>
      <c r="X113" s="1"/>
      <c r="Y113" s="1"/>
      <c r="Z113" s="1"/>
      <c r="AA113" s="1"/>
      <c r="AB113" s="1"/>
      <c r="AC113" s="1"/>
      <c r="AD113" s="1"/>
      <c r="AE113" s="1"/>
    </row>
    <row r="114" spans="1:31" customFormat="1" ht="15" customHeight="1">
      <c r="A114" s="1"/>
      <c r="B114" s="1"/>
      <c r="C114" s="2"/>
      <c r="D114" s="124" t="s">
        <v>163</v>
      </c>
      <c r="E114" s="1"/>
      <c r="F114" s="107"/>
      <c r="G114" s="107"/>
      <c r="H114" s="107"/>
      <c r="I114" s="107"/>
      <c r="J114" s="107"/>
      <c r="K114" s="87" t="str">
        <f t="shared" si="12"/>
        <v>kWh</v>
      </c>
      <c r="L114" s="85"/>
      <c r="M114" s="119"/>
      <c r="N114" s="107"/>
      <c r="O114" s="370"/>
      <c r="P114" s="370"/>
      <c r="Q114" s="370"/>
      <c r="R114" s="85">
        <f t="shared" si="14"/>
        <v>0</v>
      </c>
      <c r="S114" s="85">
        <f t="shared" si="14"/>
        <v>0</v>
      </c>
      <c r="T114" s="85">
        <f t="shared" si="14"/>
        <v>0</v>
      </c>
      <c r="U114" s="85">
        <f t="shared" si="14"/>
        <v>0</v>
      </c>
      <c r="V114" s="85">
        <f t="shared" si="14"/>
        <v>0</v>
      </c>
      <c r="W114" s="1"/>
      <c r="X114" s="1"/>
      <c r="Y114" s="1"/>
      <c r="Z114" s="1"/>
      <c r="AA114" s="1"/>
      <c r="AB114" s="1"/>
      <c r="AC114" s="1"/>
      <c r="AD114" s="1"/>
      <c r="AE114" s="1"/>
    </row>
    <row r="115" spans="1:31" customFormat="1" ht="15" customHeight="1">
      <c r="A115" s="1"/>
      <c r="B115" s="1"/>
      <c r="C115" s="2"/>
      <c r="D115" s="124" t="s">
        <v>164</v>
      </c>
      <c r="E115" s="1"/>
      <c r="F115" s="107"/>
      <c r="G115" s="107"/>
      <c r="H115" s="107"/>
      <c r="I115" s="107"/>
      <c r="J115" s="107"/>
      <c r="K115" s="87" t="str">
        <f t="shared" si="12"/>
        <v>kWh</v>
      </c>
      <c r="L115" s="85"/>
      <c r="M115" s="119"/>
      <c r="N115" s="107"/>
      <c r="O115" s="370"/>
      <c r="P115" s="370"/>
      <c r="Q115" s="370"/>
      <c r="R115" s="85">
        <f t="shared" si="14"/>
        <v>0</v>
      </c>
      <c r="S115" s="85">
        <f t="shared" si="14"/>
        <v>0</v>
      </c>
      <c r="T115" s="85">
        <f t="shared" si="14"/>
        <v>0</v>
      </c>
      <c r="U115" s="85">
        <f t="shared" si="14"/>
        <v>0</v>
      </c>
      <c r="V115" s="85">
        <f t="shared" si="14"/>
        <v>0</v>
      </c>
      <c r="W115" s="1"/>
      <c r="X115" s="1"/>
      <c r="Y115" s="1"/>
      <c r="Z115" s="1"/>
      <c r="AA115" s="1"/>
      <c r="AB115" s="1"/>
      <c r="AC115" s="1"/>
      <c r="AD115" s="1"/>
      <c r="AE115" s="1"/>
    </row>
    <row r="116" spans="1:31" customFormat="1" ht="15" customHeight="1">
      <c r="A116" s="1"/>
      <c r="B116" s="1"/>
      <c r="C116" s="2"/>
      <c r="D116" s="124" t="s">
        <v>165</v>
      </c>
      <c r="E116" s="1"/>
      <c r="F116" s="107"/>
      <c r="G116" s="107"/>
      <c r="H116" s="107"/>
      <c r="I116" s="107"/>
      <c r="J116" s="107"/>
      <c r="K116" s="87" t="str">
        <f t="shared" si="12"/>
        <v>kWh</v>
      </c>
      <c r="L116" s="85"/>
      <c r="M116" s="119"/>
      <c r="N116" s="107"/>
      <c r="O116" s="370"/>
      <c r="P116" s="370"/>
      <c r="Q116" s="370"/>
      <c r="R116" s="85">
        <f t="shared" si="14"/>
        <v>0</v>
      </c>
      <c r="S116" s="85">
        <f t="shared" si="14"/>
        <v>0</v>
      </c>
      <c r="T116" s="85">
        <f t="shared" si="14"/>
        <v>0</v>
      </c>
      <c r="U116" s="85">
        <f t="shared" si="14"/>
        <v>0</v>
      </c>
      <c r="V116" s="85">
        <f t="shared" si="14"/>
        <v>0</v>
      </c>
      <c r="W116" s="1"/>
      <c r="X116" s="1"/>
      <c r="Y116" s="1"/>
      <c r="Z116" s="1"/>
      <c r="AA116" s="1"/>
      <c r="AB116" s="1"/>
      <c r="AC116" s="1"/>
      <c r="AD116" s="1"/>
      <c r="AE116" s="1"/>
    </row>
    <row r="117" spans="1:31" customFormat="1" ht="15" customHeight="1">
      <c r="A117" s="1"/>
      <c r="B117" s="1"/>
      <c r="C117" s="2"/>
      <c r="D117" s="124" t="s">
        <v>166</v>
      </c>
      <c r="E117" s="1"/>
      <c r="F117" s="107"/>
      <c r="G117" s="107"/>
      <c r="H117" s="107"/>
      <c r="I117" s="107"/>
      <c r="J117" s="107"/>
      <c r="K117" s="87" t="str">
        <f t="shared" si="12"/>
        <v>kWh</v>
      </c>
      <c r="L117" s="85"/>
      <c r="M117" s="119"/>
      <c r="N117" s="107"/>
      <c r="O117" s="370"/>
      <c r="P117" s="370"/>
      <c r="Q117" s="370"/>
      <c r="R117" s="85">
        <f t="shared" si="14"/>
        <v>0</v>
      </c>
      <c r="S117" s="85">
        <f t="shared" si="14"/>
        <v>0</v>
      </c>
      <c r="T117" s="85">
        <f t="shared" si="14"/>
        <v>0</v>
      </c>
      <c r="U117" s="85">
        <f t="shared" si="14"/>
        <v>0</v>
      </c>
      <c r="V117" s="85">
        <f t="shared" si="14"/>
        <v>0</v>
      </c>
      <c r="W117" s="1"/>
      <c r="X117" s="1"/>
      <c r="Y117" s="1"/>
      <c r="Z117" s="1"/>
      <c r="AA117" s="1"/>
      <c r="AB117" s="1"/>
      <c r="AC117" s="1"/>
      <c r="AD117" s="1"/>
      <c r="AE117" s="1"/>
    </row>
    <row r="118" spans="1:31" customFormat="1" ht="15" customHeight="1">
      <c r="A118" s="1"/>
      <c r="B118" s="1"/>
      <c r="C118" s="2"/>
      <c r="D118" s="124" t="s">
        <v>167</v>
      </c>
      <c r="E118" s="1"/>
      <c r="F118" s="107"/>
      <c r="G118" s="107"/>
      <c r="H118" s="107"/>
      <c r="I118" s="107"/>
      <c r="J118" s="107"/>
      <c r="K118" s="87" t="str">
        <f t="shared" si="12"/>
        <v>kWh</v>
      </c>
      <c r="L118" s="85"/>
      <c r="M118" s="119"/>
      <c r="N118" s="107"/>
      <c r="O118" s="370"/>
      <c r="P118" s="370"/>
      <c r="Q118" s="370"/>
      <c r="R118" s="85">
        <f t="shared" si="14"/>
        <v>0</v>
      </c>
      <c r="S118" s="85">
        <f t="shared" si="14"/>
        <v>0</v>
      </c>
      <c r="T118" s="85">
        <f t="shared" si="14"/>
        <v>0</v>
      </c>
      <c r="U118" s="85">
        <f t="shared" si="14"/>
        <v>0</v>
      </c>
      <c r="V118" s="85">
        <f t="shared" si="14"/>
        <v>0</v>
      </c>
      <c r="W118" s="1"/>
      <c r="X118" s="1"/>
      <c r="Y118" s="1"/>
      <c r="Z118" s="1"/>
      <c r="AA118" s="1"/>
      <c r="AB118" s="1"/>
      <c r="AC118" s="1"/>
      <c r="AD118" s="1"/>
      <c r="AE118" s="1"/>
    </row>
    <row r="119" spans="1:31" customFormat="1" ht="15" customHeight="1">
      <c r="A119" s="1"/>
      <c r="B119" s="1"/>
      <c r="C119" s="2"/>
      <c r="D119" s="124" t="s">
        <v>168</v>
      </c>
      <c r="E119" s="1"/>
      <c r="F119" s="107"/>
      <c r="G119" s="107"/>
      <c r="H119" s="107"/>
      <c r="I119" s="107"/>
      <c r="J119" s="107"/>
      <c r="K119" s="87" t="str">
        <f t="shared" si="12"/>
        <v>kWh</v>
      </c>
      <c r="L119" s="85"/>
      <c r="M119" s="119"/>
      <c r="N119" s="107"/>
      <c r="O119" s="370"/>
      <c r="P119" s="370"/>
      <c r="Q119" s="370"/>
      <c r="R119" s="85">
        <f t="shared" si="14"/>
        <v>0</v>
      </c>
      <c r="S119" s="85">
        <f t="shared" si="14"/>
        <v>0</v>
      </c>
      <c r="T119" s="85">
        <f t="shared" si="14"/>
        <v>0</v>
      </c>
      <c r="U119" s="85">
        <f t="shared" si="14"/>
        <v>0</v>
      </c>
      <c r="V119" s="85">
        <f t="shared" si="14"/>
        <v>0</v>
      </c>
      <c r="W119" s="1"/>
      <c r="X119" s="1"/>
      <c r="Y119" s="1"/>
      <c r="Z119" s="1"/>
      <c r="AA119" s="1"/>
      <c r="AB119" s="1"/>
      <c r="AC119" s="1"/>
      <c r="AD119" s="1"/>
      <c r="AE119" s="1"/>
    </row>
    <row r="120" spans="1:31" customFormat="1" ht="15" customHeight="1">
      <c r="A120" s="1"/>
      <c r="B120" s="1"/>
      <c r="C120" s="2"/>
      <c r="D120" s="124" t="s">
        <v>169</v>
      </c>
      <c r="E120" s="1"/>
      <c r="F120" s="107"/>
      <c r="G120" s="107"/>
      <c r="H120" s="107"/>
      <c r="I120" s="107"/>
      <c r="J120" s="107"/>
      <c r="K120" s="87" t="str">
        <f t="shared" si="12"/>
        <v>kWh</v>
      </c>
      <c r="L120" s="85"/>
      <c r="M120" s="119"/>
      <c r="N120" s="107"/>
      <c r="O120" s="370"/>
      <c r="P120" s="370"/>
      <c r="Q120" s="370"/>
      <c r="R120" s="85">
        <f t="shared" si="14"/>
        <v>0</v>
      </c>
      <c r="S120" s="85">
        <f t="shared" si="14"/>
        <v>0</v>
      </c>
      <c r="T120" s="85">
        <f t="shared" si="14"/>
        <v>0</v>
      </c>
      <c r="U120" s="85">
        <f t="shared" si="14"/>
        <v>0</v>
      </c>
      <c r="V120" s="85">
        <f t="shared" si="14"/>
        <v>0</v>
      </c>
      <c r="W120" s="1"/>
      <c r="X120" s="1"/>
      <c r="Y120" s="1"/>
      <c r="Z120" s="1"/>
      <c r="AA120" s="1"/>
      <c r="AB120" s="1"/>
      <c r="AC120" s="1"/>
      <c r="AD120" s="1"/>
      <c r="AE120" s="1"/>
    </row>
    <row r="121" spans="1:31" customFormat="1" ht="15" customHeight="1">
      <c r="A121" s="1"/>
      <c r="B121" s="1"/>
      <c r="C121" s="2"/>
      <c r="D121" s="124" t="s">
        <v>170</v>
      </c>
      <c r="E121" s="1"/>
      <c r="F121" s="107"/>
      <c r="G121" s="107"/>
      <c r="H121" s="107"/>
      <c r="I121" s="107"/>
      <c r="J121" s="107"/>
      <c r="K121" s="87" t="str">
        <f t="shared" si="12"/>
        <v>kWh</v>
      </c>
      <c r="L121" s="85"/>
      <c r="M121" s="119"/>
      <c r="N121" s="107"/>
      <c r="O121" s="370"/>
      <c r="P121" s="370"/>
      <c r="Q121" s="370"/>
      <c r="R121" s="85">
        <f t="shared" si="14"/>
        <v>0</v>
      </c>
      <c r="S121" s="85">
        <f t="shared" si="14"/>
        <v>0</v>
      </c>
      <c r="T121" s="85">
        <f t="shared" si="14"/>
        <v>0</v>
      </c>
      <c r="U121" s="85">
        <f t="shared" si="14"/>
        <v>0</v>
      </c>
      <c r="V121" s="85">
        <f t="shared" si="14"/>
        <v>0</v>
      </c>
      <c r="W121" s="1"/>
      <c r="X121" s="1"/>
      <c r="Y121" s="1"/>
      <c r="Z121" s="1"/>
      <c r="AA121" s="1"/>
      <c r="AB121" s="1"/>
      <c r="AC121" s="1"/>
      <c r="AD121" s="1"/>
      <c r="AE121" s="1"/>
    </row>
    <row r="122" spans="1:31" customFormat="1" ht="15" customHeight="1">
      <c r="A122" s="1"/>
      <c r="B122" s="1"/>
      <c r="C122" s="2"/>
      <c r="D122" s="124" t="s">
        <v>171</v>
      </c>
      <c r="E122" s="1"/>
      <c r="F122" s="107"/>
      <c r="G122" s="107"/>
      <c r="H122" s="107"/>
      <c r="I122" s="107"/>
      <c r="J122" s="107"/>
      <c r="K122" s="87" t="str">
        <f t="shared" si="12"/>
        <v>kWh</v>
      </c>
      <c r="L122" s="85"/>
      <c r="M122" s="119"/>
      <c r="N122" s="107"/>
      <c r="O122" s="370"/>
      <c r="P122" s="370"/>
      <c r="Q122" s="370"/>
      <c r="R122" s="85">
        <f t="shared" si="14"/>
        <v>0</v>
      </c>
      <c r="S122" s="85">
        <f t="shared" si="14"/>
        <v>0</v>
      </c>
      <c r="T122" s="85">
        <f t="shared" si="14"/>
        <v>0</v>
      </c>
      <c r="U122" s="85">
        <f t="shared" si="14"/>
        <v>0</v>
      </c>
      <c r="V122" s="85">
        <f t="shared" si="14"/>
        <v>0</v>
      </c>
      <c r="W122" s="1"/>
      <c r="X122" s="1"/>
      <c r="Y122" s="1"/>
      <c r="Z122" s="1"/>
      <c r="AA122" s="1"/>
      <c r="AB122" s="1"/>
      <c r="AC122" s="1"/>
      <c r="AD122" s="1"/>
      <c r="AE122" s="1"/>
    </row>
    <row r="123" spans="1:31" customFormat="1" ht="15" customHeight="1">
      <c r="A123" s="1"/>
      <c r="B123" s="1"/>
      <c r="C123" s="2"/>
      <c r="D123" s="124" t="s">
        <v>172</v>
      </c>
      <c r="E123" s="1"/>
      <c r="F123" s="107"/>
      <c r="G123" s="107"/>
      <c r="H123" s="107"/>
      <c r="I123" s="107"/>
      <c r="J123" s="107"/>
      <c r="K123" s="87" t="str">
        <f t="shared" si="12"/>
        <v>kWh</v>
      </c>
      <c r="L123" s="85"/>
      <c r="M123" s="119"/>
      <c r="N123" s="107"/>
      <c r="O123" s="370"/>
      <c r="P123" s="370"/>
      <c r="Q123" s="370"/>
      <c r="R123" s="85">
        <f t="shared" ref="R123:V126" si="15" xml:space="preserve"> R$15 * R381</f>
        <v>0</v>
      </c>
      <c r="S123" s="85">
        <f t="shared" si="15"/>
        <v>0</v>
      </c>
      <c r="T123" s="85">
        <f t="shared" si="15"/>
        <v>0</v>
      </c>
      <c r="U123" s="85">
        <f t="shared" si="15"/>
        <v>0</v>
      </c>
      <c r="V123" s="85">
        <f t="shared" si="15"/>
        <v>0</v>
      </c>
      <c r="W123" s="1"/>
      <c r="X123" s="1"/>
      <c r="Y123" s="1"/>
      <c r="Z123" s="1"/>
      <c r="AA123" s="1"/>
      <c r="AB123" s="1"/>
      <c r="AC123" s="1"/>
      <c r="AD123" s="1"/>
      <c r="AE123" s="1"/>
    </row>
    <row r="124" spans="1:31" customFormat="1" ht="15" customHeight="1">
      <c r="A124" s="1"/>
      <c r="B124" s="1"/>
      <c r="C124" s="2"/>
      <c r="D124" s="124" t="s">
        <v>173</v>
      </c>
      <c r="E124" s="1"/>
      <c r="F124" s="107"/>
      <c r="G124" s="107"/>
      <c r="H124" s="107"/>
      <c r="I124" s="107"/>
      <c r="J124" s="107"/>
      <c r="K124" s="87" t="str">
        <f t="shared" si="12"/>
        <v>kWh</v>
      </c>
      <c r="L124" s="85"/>
      <c r="M124" s="119"/>
      <c r="N124" s="107"/>
      <c r="O124" s="370"/>
      <c r="P124" s="370"/>
      <c r="Q124" s="370"/>
      <c r="R124" s="85">
        <f t="shared" si="15"/>
        <v>0</v>
      </c>
      <c r="S124" s="85">
        <f t="shared" si="15"/>
        <v>0</v>
      </c>
      <c r="T124" s="85">
        <f t="shared" si="15"/>
        <v>0</v>
      </c>
      <c r="U124" s="85">
        <f t="shared" si="15"/>
        <v>0</v>
      </c>
      <c r="V124" s="85">
        <f t="shared" si="15"/>
        <v>0</v>
      </c>
      <c r="W124" s="1"/>
      <c r="X124" s="1"/>
      <c r="Y124" s="1"/>
      <c r="Z124" s="1"/>
      <c r="AA124" s="1"/>
      <c r="AB124" s="1"/>
      <c r="AC124" s="1"/>
      <c r="AD124" s="1"/>
      <c r="AE124" s="1"/>
    </row>
    <row r="125" spans="1:31" customFormat="1" ht="15" customHeight="1">
      <c r="A125" s="1"/>
      <c r="B125" s="1"/>
      <c r="C125" s="2"/>
      <c r="D125" s="124" t="s">
        <v>174</v>
      </c>
      <c r="E125" s="1"/>
      <c r="F125" s="107"/>
      <c r="G125" s="107"/>
      <c r="H125" s="107"/>
      <c r="I125" s="107"/>
      <c r="J125" s="107"/>
      <c r="K125" s="87" t="str">
        <f t="shared" si="12"/>
        <v>kWh</v>
      </c>
      <c r="L125" s="85"/>
      <c r="M125" s="119"/>
      <c r="N125" s="107"/>
      <c r="O125" s="370"/>
      <c r="P125" s="370"/>
      <c r="Q125" s="370"/>
      <c r="R125" s="85">
        <f t="shared" si="15"/>
        <v>0</v>
      </c>
      <c r="S125" s="85">
        <f t="shared" si="15"/>
        <v>0</v>
      </c>
      <c r="T125" s="85">
        <f t="shared" si="15"/>
        <v>0</v>
      </c>
      <c r="U125" s="85">
        <f t="shared" si="15"/>
        <v>0</v>
      </c>
      <c r="V125" s="85">
        <f t="shared" si="15"/>
        <v>0</v>
      </c>
      <c r="W125" s="1"/>
      <c r="X125" s="1"/>
      <c r="Y125" s="1"/>
      <c r="Z125" s="1"/>
      <c r="AA125" s="1"/>
      <c r="AB125" s="1"/>
      <c r="AC125" s="1"/>
      <c r="AD125" s="1"/>
      <c r="AE125" s="1"/>
    </row>
    <row r="126" spans="1:31" customFormat="1" ht="15" customHeight="1">
      <c r="A126" s="1"/>
      <c r="B126" s="1"/>
      <c r="C126" s="2"/>
      <c r="D126" s="125" t="s">
        <v>175</v>
      </c>
      <c r="E126" s="27"/>
      <c r="F126" s="115"/>
      <c r="G126" s="115"/>
      <c r="H126" s="115"/>
      <c r="I126" s="115"/>
      <c r="J126" s="115"/>
      <c r="K126" s="98" t="str">
        <f t="shared" si="12"/>
        <v>kWh</v>
      </c>
      <c r="L126" s="99"/>
      <c r="M126" s="151"/>
      <c r="N126" s="115"/>
      <c r="O126" s="368"/>
      <c r="P126" s="368"/>
      <c r="Q126" s="368"/>
      <c r="R126" s="99">
        <f t="shared" si="15"/>
        <v>0</v>
      </c>
      <c r="S126" s="99">
        <f t="shared" si="15"/>
        <v>0</v>
      </c>
      <c r="T126" s="99">
        <f t="shared" si="15"/>
        <v>0</v>
      </c>
      <c r="U126" s="99">
        <f t="shared" si="15"/>
        <v>0</v>
      </c>
      <c r="V126" s="99">
        <f t="shared" si="15"/>
        <v>0</v>
      </c>
      <c r="W126" s="27"/>
      <c r="X126" s="1"/>
      <c r="Y126" s="1"/>
      <c r="Z126" s="1"/>
      <c r="AA126" s="1"/>
      <c r="AB126" s="1"/>
      <c r="AC126" s="1"/>
      <c r="AD126" s="1"/>
      <c r="AE126" s="1"/>
    </row>
    <row r="127" spans="1:31" customFormat="1" ht="15" customHeight="1">
      <c r="A127" s="1"/>
      <c r="B127" s="1"/>
      <c r="C127" s="2"/>
      <c r="D127" s="105" t="s">
        <v>16</v>
      </c>
      <c r="E127" s="186"/>
      <c r="F127" s="120"/>
      <c r="G127" s="120"/>
      <c r="H127" s="120"/>
      <c r="I127" s="120"/>
      <c r="J127" s="120"/>
      <c r="K127" s="106" t="str">
        <f t="shared" si="12"/>
        <v>kWh</v>
      </c>
      <c r="L127" s="105"/>
      <c r="M127" s="105"/>
      <c r="N127" s="120"/>
      <c r="O127" s="371"/>
      <c r="P127" s="371"/>
      <c r="Q127" s="371"/>
      <c r="R127" s="35">
        <f xml:space="preserve"> SUM( R103:R126 )</f>
        <v>0</v>
      </c>
      <c r="S127" s="35">
        <f xml:space="preserve"> SUM( S103:S126 )</f>
        <v>0</v>
      </c>
      <c r="T127" s="35">
        <f xml:space="preserve"> SUM( T103:T126 )</f>
        <v>0</v>
      </c>
      <c r="U127" s="35">
        <f xml:space="preserve"> SUM( U103:U126 )</f>
        <v>0</v>
      </c>
      <c r="V127" s="35">
        <f xml:space="preserve"> SUM( V103:V126 )</f>
        <v>0</v>
      </c>
      <c r="W127" s="33"/>
      <c r="X127" s="1"/>
      <c r="Y127" s="1"/>
      <c r="Z127" s="1"/>
      <c r="AA127" s="1"/>
      <c r="AB127" s="1"/>
      <c r="AC127" s="1"/>
      <c r="AD127" s="1"/>
      <c r="AE127" s="1"/>
    </row>
    <row r="128" spans="1:31" customFormat="1" ht="15" customHeight="1">
      <c r="A128" s="1"/>
      <c r="B128" s="1"/>
      <c r="C128" s="2"/>
      <c r="D128" s="85"/>
      <c r="E128" s="1"/>
      <c r="F128" s="86"/>
      <c r="G128" s="86"/>
      <c r="H128" s="86"/>
      <c r="I128" s="86"/>
      <c r="J128" s="86"/>
      <c r="K128" s="87"/>
      <c r="L128" s="85"/>
      <c r="M128" s="85"/>
      <c r="N128" s="86"/>
      <c r="O128" s="86"/>
      <c r="P128" s="86"/>
      <c r="Q128" s="86"/>
      <c r="R128" s="1"/>
      <c r="S128" s="1"/>
      <c r="T128" s="1"/>
      <c r="U128" s="1"/>
      <c r="V128" s="1"/>
      <c r="W128" s="1"/>
      <c r="X128" s="1"/>
      <c r="Y128" s="1"/>
      <c r="Z128" s="1"/>
      <c r="AA128" s="1"/>
      <c r="AB128" s="1"/>
      <c r="AC128" s="1"/>
      <c r="AD128" s="1"/>
      <c r="AE128" s="1"/>
    </row>
    <row r="129" spans="1:31" customFormat="1" ht="15" customHeight="1">
      <c r="A129" s="1"/>
      <c r="B129" s="1"/>
      <c r="C129" s="2"/>
      <c r="D129" s="97" t="s">
        <v>508</v>
      </c>
      <c r="E129" s="27"/>
      <c r="F129" s="107"/>
      <c r="G129" s="107"/>
      <c r="H129" s="107"/>
      <c r="I129" s="107"/>
      <c r="J129" s="107"/>
      <c r="K129" s="114"/>
      <c r="L129" s="99"/>
      <c r="M129" s="99"/>
      <c r="N129" s="115"/>
      <c r="O129" s="107"/>
      <c r="P129" s="107"/>
      <c r="Q129" s="107"/>
      <c r="R129" s="1"/>
      <c r="S129" s="1"/>
      <c r="T129" s="1"/>
      <c r="U129" s="1"/>
      <c r="V129" s="1"/>
      <c r="W129" s="89" t="s">
        <v>16</v>
      </c>
      <c r="X129" s="89"/>
      <c r="Y129" s="89"/>
      <c r="Z129" s="89"/>
      <c r="AA129" s="89"/>
      <c r="AB129" s="89"/>
      <c r="AC129" s="89"/>
      <c r="AD129" s="89"/>
    </row>
    <row r="130" spans="1:31" customFormat="1" ht="15" customHeight="1">
      <c r="A130" s="1"/>
      <c r="B130" s="1"/>
      <c r="C130" s="2"/>
      <c r="D130" s="90" t="s">
        <v>509</v>
      </c>
      <c r="E130" s="33"/>
      <c r="F130" s="120"/>
      <c r="G130" s="120"/>
      <c r="H130" s="120"/>
      <c r="I130" s="120"/>
      <c r="J130" s="120"/>
      <c r="K130" s="106" t="str">
        <f>Model.Units2</f>
        <v>kWh</v>
      </c>
      <c r="L130" s="105"/>
      <c r="M130" s="453"/>
      <c r="N130" s="120"/>
      <c r="O130" s="371"/>
      <c r="P130" s="371"/>
      <c r="Q130" s="371"/>
      <c r="R130" s="186">
        <f xml:space="preserve"> SUM( R22:R45,R49:R72,R76:R99,R103:R126 )</f>
        <v>0</v>
      </c>
      <c r="S130" s="186">
        <f xml:space="preserve"> SUM( S22:S45,S49:S72,S76:S99,S103:S126 )</f>
        <v>0</v>
      </c>
      <c r="T130" s="186">
        <f xml:space="preserve"> SUM( T22:T45,T49:T72,T76:T99,T103:T126 )</f>
        <v>0</v>
      </c>
      <c r="U130" s="186">
        <f xml:space="preserve"> SUM( U22:U45,U49:U72,U76:U99,U103:U126 )</f>
        <v>0</v>
      </c>
      <c r="V130" s="186">
        <f xml:space="preserve"> SUM( V22:V45,V49:V72,V76:V99,V103:V126 )</f>
        <v>0</v>
      </c>
      <c r="W130" s="186">
        <f xml:space="preserve"> SUM( R130:V130 )</f>
        <v>0</v>
      </c>
      <c r="X130" s="4"/>
      <c r="Y130" s="4"/>
      <c r="Z130" s="4"/>
      <c r="AA130" s="4"/>
      <c r="AB130" s="4"/>
      <c r="AC130" s="4"/>
      <c r="AD130" s="111"/>
      <c r="AE130" s="121"/>
    </row>
    <row r="131" spans="1:31" customFormat="1" ht="15" customHeight="1">
      <c r="A131" s="1"/>
      <c r="B131" s="1"/>
      <c r="C131" s="2"/>
      <c r="D131" s="85"/>
      <c r="E131" s="1"/>
      <c r="F131" s="86"/>
      <c r="G131" s="86"/>
      <c r="H131" s="86"/>
      <c r="I131" s="86"/>
      <c r="J131" s="86"/>
      <c r="K131" s="87"/>
      <c r="L131" s="85"/>
      <c r="M131" s="85"/>
      <c r="N131" s="86"/>
      <c r="O131" s="86"/>
      <c r="P131" s="86"/>
      <c r="Q131" s="86"/>
      <c r="R131" s="1"/>
      <c r="S131" s="1"/>
      <c r="T131" s="1"/>
      <c r="U131" s="1"/>
      <c r="V131" s="1"/>
      <c r="W131" s="1"/>
      <c r="X131" s="1"/>
      <c r="Y131" s="1"/>
      <c r="Z131" s="1"/>
      <c r="AA131" s="1"/>
      <c r="AB131" s="1"/>
      <c r="AC131" s="1"/>
      <c r="AD131" s="1"/>
      <c r="AE131" s="1"/>
    </row>
    <row r="132" spans="1:31" customFormat="1" ht="15" customHeight="1">
      <c r="A132" s="1"/>
      <c r="B132" s="1"/>
      <c r="C132" s="2"/>
      <c r="D132" s="85"/>
      <c r="E132" s="1"/>
      <c r="F132" s="86"/>
      <c r="G132" s="86"/>
      <c r="H132" s="86"/>
      <c r="I132" s="86"/>
      <c r="J132" s="86"/>
      <c r="K132" s="87"/>
      <c r="L132" s="85"/>
      <c r="M132" s="85"/>
      <c r="N132" s="86"/>
      <c r="O132" s="86"/>
      <c r="P132" s="86"/>
      <c r="Q132" s="86"/>
      <c r="R132" s="1"/>
      <c r="S132" s="1"/>
      <c r="T132" s="1"/>
      <c r="U132" s="1"/>
      <c r="V132" s="1"/>
      <c r="W132" s="1"/>
      <c r="X132" s="1"/>
      <c r="Y132" s="1"/>
      <c r="Z132" s="1"/>
      <c r="AA132" s="1"/>
      <c r="AB132" s="1"/>
      <c r="AC132" s="1"/>
      <c r="AD132" s="1"/>
      <c r="AE132" s="1"/>
    </row>
    <row r="133" spans="1:31" customFormat="1" ht="15" customHeight="1">
      <c r="A133" s="1"/>
      <c r="B133" s="1"/>
      <c r="C133" s="2"/>
      <c r="D133" s="85"/>
      <c r="E133" s="1"/>
      <c r="F133" s="86"/>
      <c r="G133" s="86"/>
      <c r="H133" s="86"/>
      <c r="I133" s="86"/>
      <c r="J133" s="86"/>
      <c r="K133" s="87"/>
      <c r="L133" s="85"/>
      <c r="M133" s="85"/>
      <c r="N133" s="86"/>
      <c r="O133" s="86"/>
      <c r="P133" s="86"/>
      <c r="Q133" s="86"/>
      <c r="R133" s="1"/>
      <c r="S133" s="1"/>
      <c r="T133" s="1"/>
      <c r="U133" s="1"/>
      <c r="V133" s="1"/>
      <c r="W133" s="1"/>
      <c r="X133" s="1"/>
      <c r="Y133" s="1"/>
      <c r="Z133" s="1"/>
      <c r="AA133" s="1"/>
      <c r="AB133" s="1"/>
      <c r="AC133" s="1"/>
      <c r="AD133" s="1"/>
      <c r="AE133" s="1"/>
    </row>
    <row r="134" spans="1:31" s="475" customFormat="1" ht="15" customHeight="1">
      <c r="B134" s="479" t="str">
        <f xml:space="preserve"> COUNTA(B$10:B133) &amp; ") Forbrugsnøgler (anvendt i modellen)"</f>
        <v>3) Forbrugsnøgler (anvendt i modellen)</v>
      </c>
      <c r="C134" s="477"/>
      <c r="D134" s="478"/>
      <c r="K134" s="472"/>
    </row>
    <row r="135" spans="1:31" customFormat="1" ht="15" customHeight="1">
      <c r="A135" s="1"/>
      <c r="B135" s="1"/>
      <c r="C135" s="2"/>
      <c r="D135" s="85"/>
      <c r="E135" s="1"/>
      <c r="F135" s="86"/>
      <c r="G135" s="86"/>
      <c r="H135" s="86"/>
      <c r="I135" s="86"/>
      <c r="J135" s="86"/>
      <c r="K135" s="87"/>
      <c r="L135" s="85"/>
      <c r="M135" s="85"/>
      <c r="N135" s="86"/>
      <c r="O135" s="86"/>
      <c r="P135" s="86"/>
      <c r="Q135" s="86"/>
      <c r="R135" s="1"/>
      <c r="S135" s="1"/>
      <c r="T135" s="1"/>
      <c r="U135" s="1"/>
      <c r="V135" s="1"/>
      <c r="W135" s="1"/>
      <c r="X135" s="1"/>
      <c r="Y135" s="1"/>
      <c r="Z135" s="1"/>
      <c r="AA135" s="1"/>
      <c r="AB135" s="1"/>
      <c r="AC135" s="1"/>
      <c r="AD135" s="1"/>
      <c r="AE135" s="1"/>
    </row>
    <row r="136" spans="1:31" customFormat="1" ht="15" customHeight="1">
      <c r="A136" s="1"/>
      <c r="B136" s="1"/>
      <c r="C136" s="2"/>
      <c r="D136" s="88" t="s">
        <v>186</v>
      </c>
      <c r="E136" s="1"/>
      <c r="F136" s="107"/>
      <c r="G136" s="107"/>
      <c r="H136" s="107"/>
      <c r="I136" s="107"/>
      <c r="J136" s="107"/>
      <c r="K136" s="87"/>
      <c r="L136" s="85"/>
      <c r="M136" s="85"/>
      <c r="N136" s="107"/>
      <c r="O136" s="107"/>
      <c r="P136" s="107"/>
      <c r="Q136" s="107"/>
      <c r="R136" s="1"/>
      <c r="S136" s="1"/>
      <c r="T136" s="1"/>
      <c r="U136" s="1"/>
      <c r="V136" s="1"/>
      <c r="W136" s="1"/>
      <c r="X136" s="1"/>
      <c r="Y136" s="1"/>
      <c r="Z136" s="1"/>
      <c r="AA136" s="1"/>
      <c r="AB136" s="1"/>
      <c r="AC136" s="1"/>
      <c r="AD136" s="1"/>
      <c r="AE136" s="1"/>
    </row>
    <row r="137" spans="1:31" customFormat="1" ht="15" customHeight="1">
      <c r="A137" s="1"/>
      <c r="B137" s="1"/>
      <c r="C137" s="2"/>
      <c r="D137" s="122" t="s">
        <v>152</v>
      </c>
      <c r="E137" s="15"/>
      <c r="F137" s="116"/>
      <c r="G137" s="116"/>
      <c r="H137" s="116"/>
      <c r="I137" s="116"/>
      <c r="J137" s="116"/>
      <c r="K137" s="117" t="s">
        <v>4</v>
      </c>
      <c r="L137" s="123"/>
      <c r="M137" s="142"/>
      <c r="N137" s="116"/>
      <c r="O137" s="369"/>
      <c r="P137" s="369"/>
      <c r="Q137" s="369"/>
      <c r="R137" s="448">
        <f xml:space="preserve"> IF( '2.3 Selskabsspecifikke input'!R$298 = 0, 0, '2.3 Selskabsspecifikke input'!R190 / '2.3 Selskabsspecifikke input'!R$298 )</f>
        <v>0</v>
      </c>
      <c r="S137" s="449">
        <f xml:space="preserve"> IF( '2.3 Selskabsspecifikke input'!S$298 = 0, 0, '2.3 Selskabsspecifikke input'!S190 / '2.3 Selskabsspecifikke input'!S$298 )</f>
        <v>0</v>
      </c>
      <c r="T137" s="449">
        <f xml:space="preserve"> IF( '2.3 Selskabsspecifikke input'!T$298 = 0, 0, '2.3 Selskabsspecifikke input'!T190 / '2.3 Selskabsspecifikke input'!T$298 )</f>
        <v>0</v>
      </c>
      <c r="U137" s="449">
        <f xml:space="preserve"> IF( '2.3 Selskabsspecifikke input'!U$298 = 0, 0, '2.3 Selskabsspecifikke input'!U190 / '2.3 Selskabsspecifikke input'!U$298 )</f>
        <v>0</v>
      </c>
      <c r="V137" s="449">
        <f xml:space="preserve"> IF( '2.3 Selskabsspecifikke input'!V$298 = 0, 0, '2.3 Selskabsspecifikke input'!V190 / '2.3 Selskabsspecifikke input'!V$298 )</f>
        <v>0</v>
      </c>
      <c r="W137" s="15"/>
      <c r="X137" s="1"/>
      <c r="Y137" s="1"/>
      <c r="Z137" s="1"/>
      <c r="AA137" s="1"/>
      <c r="AB137" s="1"/>
      <c r="AC137" s="1"/>
      <c r="AD137" s="1"/>
      <c r="AE137" s="1"/>
    </row>
    <row r="138" spans="1:31" customFormat="1" ht="15" customHeight="1">
      <c r="A138" s="1"/>
      <c r="B138" s="1"/>
      <c r="C138" s="2"/>
      <c r="D138" s="124" t="s">
        <v>153</v>
      </c>
      <c r="E138" s="1"/>
      <c r="F138" s="107"/>
      <c r="G138" s="107"/>
      <c r="H138" s="107"/>
      <c r="I138" s="107"/>
      <c r="J138" s="107"/>
      <c r="K138" s="87" t="s">
        <v>4</v>
      </c>
      <c r="L138" s="85"/>
      <c r="M138" s="119"/>
      <c r="N138" s="107"/>
      <c r="O138" s="370"/>
      <c r="P138" s="370"/>
      <c r="Q138" s="370"/>
      <c r="R138" s="450">
        <f xml:space="preserve"> IF( '2.3 Selskabsspecifikke input'!R$298 = 0, 0, '2.3 Selskabsspecifikke input'!R191 / '2.3 Selskabsspecifikke input'!R$298 )</f>
        <v>0</v>
      </c>
      <c r="S138" s="450">
        <f xml:space="preserve"> IF( '2.3 Selskabsspecifikke input'!S$298 = 0, 0, '2.3 Selskabsspecifikke input'!S191 / '2.3 Selskabsspecifikke input'!S$298 )</f>
        <v>0</v>
      </c>
      <c r="T138" s="450">
        <f xml:space="preserve"> IF( '2.3 Selskabsspecifikke input'!T$298 = 0, 0, '2.3 Selskabsspecifikke input'!T191 / '2.3 Selskabsspecifikke input'!T$298 )</f>
        <v>0</v>
      </c>
      <c r="U138" s="450">
        <f xml:space="preserve"> IF( '2.3 Selskabsspecifikke input'!U$298 = 0, 0, '2.3 Selskabsspecifikke input'!U191 / '2.3 Selskabsspecifikke input'!U$298 )</f>
        <v>0</v>
      </c>
      <c r="V138" s="450">
        <f xml:space="preserve"> IF( '2.3 Selskabsspecifikke input'!V$298 = 0, 0, '2.3 Selskabsspecifikke input'!V191 / '2.3 Selskabsspecifikke input'!V$298 )</f>
        <v>0</v>
      </c>
      <c r="W138" s="1"/>
      <c r="X138" s="1"/>
      <c r="Y138" s="1"/>
      <c r="Z138" s="1"/>
      <c r="AA138" s="1"/>
      <c r="AB138" s="1"/>
      <c r="AC138" s="1"/>
      <c r="AD138" s="1"/>
      <c r="AE138" s="1"/>
    </row>
    <row r="139" spans="1:31" customFormat="1" ht="15" customHeight="1">
      <c r="A139" s="1"/>
      <c r="B139" s="1"/>
      <c r="C139" s="2"/>
      <c r="D139" s="124" t="s">
        <v>154</v>
      </c>
      <c r="E139" s="1"/>
      <c r="F139" s="107"/>
      <c r="G139" s="107"/>
      <c r="H139" s="107"/>
      <c r="I139" s="107"/>
      <c r="J139" s="107"/>
      <c r="K139" s="87" t="s">
        <v>4</v>
      </c>
      <c r="L139" s="85"/>
      <c r="M139" s="119"/>
      <c r="N139" s="107"/>
      <c r="O139" s="370"/>
      <c r="P139" s="370"/>
      <c r="Q139" s="370"/>
      <c r="R139" s="450">
        <f xml:space="preserve"> IF( '2.3 Selskabsspecifikke input'!R$298 = 0, 0, '2.3 Selskabsspecifikke input'!R192 / '2.3 Selskabsspecifikke input'!R$298 )</f>
        <v>0</v>
      </c>
      <c r="S139" s="450">
        <f xml:space="preserve"> IF( '2.3 Selskabsspecifikke input'!S$298 = 0, 0, '2.3 Selskabsspecifikke input'!S192 / '2.3 Selskabsspecifikke input'!S$298 )</f>
        <v>0</v>
      </c>
      <c r="T139" s="450">
        <f xml:space="preserve"> IF( '2.3 Selskabsspecifikke input'!T$298 = 0, 0, '2.3 Selskabsspecifikke input'!T192 / '2.3 Selskabsspecifikke input'!T$298 )</f>
        <v>0</v>
      </c>
      <c r="U139" s="450">
        <f xml:space="preserve"> IF( '2.3 Selskabsspecifikke input'!U$298 = 0, 0, '2.3 Selskabsspecifikke input'!U192 / '2.3 Selskabsspecifikke input'!U$298 )</f>
        <v>0</v>
      </c>
      <c r="V139" s="450">
        <f xml:space="preserve"> IF( '2.3 Selskabsspecifikke input'!V$298 = 0, 0, '2.3 Selskabsspecifikke input'!V192 / '2.3 Selskabsspecifikke input'!V$298 )</f>
        <v>0</v>
      </c>
      <c r="W139" s="1"/>
      <c r="X139" s="1"/>
      <c r="Y139" s="1"/>
      <c r="Z139" s="1"/>
      <c r="AA139" s="1"/>
      <c r="AB139" s="1"/>
      <c r="AC139" s="1"/>
      <c r="AD139" s="1"/>
      <c r="AE139" s="1"/>
    </row>
    <row r="140" spans="1:31" customFormat="1" ht="15" customHeight="1">
      <c r="A140" s="1"/>
      <c r="B140" s="1"/>
      <c r="C140" s="2"/>
      <c r="D140" s="124" t="s">
        <v>155</v>
      </c>
      <c r="E140" s="1"/>
      <c r="F140" s="107"/>
      <c r="G140" s="107"/>
      <c r="H140" s="107"/>
      <c r="I140" s="107"/>
      <c r="J140" s="107"/>
      <c r="K140" s="87" t="s">
        <v>4</v>
      </c>
      <c r="L140" s="85"/>
      <c r="M140" s="119"/>
      <c r="N140" s="107"/>
      <c r="O140" s="370"/>
      <c r="P140" s="370"/>
      <c r="Q140" s="370"/>
      <c r="R140" s="450">
        <f xml:space="preserve"> IF( '2.3 Selskabsspecifikke input'!R$298 = 0, 0, '2.3 Selskabsspecifikke input'!R193 / '2.3 Selskabsspecifikke input'!R$298 )</f>
        <v>0</v>
      </c>
      <c r="S140" s="450">
        <f xml:space="preserve"> IF( '2.3 Selskabsspecifikke input'!S$298 = 0, 0, '2.3 Selskabsspecifikke input'!S193 / '2.3 Selskabsspecifikke input'!S$298 )</f>
        <v>0</v>
      </c>
      <c r="T140" s="450">
        <f xml:space="preserve"> IF( '2.3 Selskabsspecifikke input'!T$298 = 0, 0, '2.3 Selskabsspecifikke input'!T193 / '2.3 Selskabsspecifikke input'!T$298 )</f>
        <v>0</v>
      </c>
      <c r="U140" s="450">
        <f xml:space="preserve"> IF( '2.3 Selskabsspecifikke input'!U$298 = 0, 0, '2.3 Selskabsspecifikke input'!U193 / '2.3 Selskabsspecifikke input'!U$298 )</f>
        <v>0</v>
      </c>
      <c r="V140" s="450">
        <f xml:space="preserve"> IF( '2.3 Selskabsspecifikke input'!V$298 = 0, 0, '2.3 Selskabsspecifikke input'!V193 / '2.3 Selskabsspecifikke input'!V$298 )</f>
        <v>0</v>
      </c>
      <c r="W140" s="1"/>
      <c r="X140" s="1"/>
      <c r="Y140" s="1"/>
      <c r="Z140" s="1"/>
      <c r="AA140" s="1"/>
      <c r="AB140" s="1"/>
      <c r="AC140" s="1"/>
      <c r="AD140" s="1"/>
      <c r="AE140" s="1"/>
    </row>
    <row r="141" spans="1:31" customFormat="1" ht="15" customHeight="1">
      <c r="A141" s="1"/>
      <c r="B141" s="1"/>
      <c r="C141" s="2"/>
      <c r="D141" s="124" t="s">
        <v>156</v>
      </c>
      <c r="E141" s="1"/>
      <c r="F141" s="107"/>
      <c r="G141" s="107"/>
      <c r="H141" s="107"/>
      <c r="I141" s="107"/>
      <c r="J141" s="107"/>
      <c r="K141" s="87" t="s">
        <v>4</v>
      </c>
      <c r="L141" s="85"/>
      <c r="M141" s="119"/>
      <c r="N141" s="107"/>
      <c r="O141" s="370"/>
      <c r="P141" s="370"/>
      <c r="Q141" s="370"/>
      <c r="R141" s="450">
        <f xml:space="preserve"> IF( '2.3 Selskabsspecifikke input'!R$298 = 0, 0, '2.3 Selskabsspecifikke input'!R194 / '2.3 Selskabsspecifikke input'!R$298 )</f>
        <v>0</v>
      </c>
      <c r="S141" s="450">
        <f xml:space="preserve"> IF( '2.3 Selskabsspecifikke input'!S$298 = 0, 0, '2.3 Selskabsspecifikke input'!S194 / '2.3 Selskabsspecifikke input'!S$298 )</f>
        <v>0</v>
      </c>
      <c r="T141" s="450">
        <f xml:space="preserve"> IF( '2.3 Selskabsspecifikke input'!T$298 = 0, 0, '2.3 Selskabsspecifikke input'!T194 / '2.3 Selskabsspecifikke input'!T$298 )</f>
        <v>0</v>
      </c>
      <c r="U141" s="450">
        <f xml:space="preserve"> IF( '2.3 Selskabsspecifikke input'!U$298 = 0, 0, '2.3 Selskabsspecifikke input'!U194 / '2.3 Selskabsspecifikke input'!U$298 )</f>
        <v>0</v>
      </c>
      <c r="V141" s="450">
        <f xml:space="preserve"> IF( '2.3 Selskabsspecifikke input'!V$298 = 0, 0, '2.3 Selskabsspecifikke input'!V194 / '2.3 Selskabsspecifikke input'!V$298 )</f>
        <v>0</v>
      </c>
      <c r="W141" s="1"/>
      <c r="X141" s="1"/>
      <c r="Y141" s="1"/>
      <c r="Z141" s="1"/>
      <c r="AA141" s="1"/>
      <c r="AB141" s="1"/>
      <c r="AC141" s="1"/>
      <c r="AD141" s="1"/>
      <c r="AE141" s="1"/>
    </row>
    <row r="142" spans="1:31" customFormat="1" ht="15" customHeight="1">
      <c r="A142" s="1"/>
      <c r="B142" s="1"/>
      <c r="C142" s="2"/>
      <c r="D142" s="124" t="s">
        <v>157</v>
      </c>
      <c r="E142" s="1"/>
      <c r="F142" s="107"/>
      <c r="G142" s="107"/>
      <c r="H142" s="107"/>
      <c r="I142" s="107"/>
      <c r="J142" s="107"/>
      <c r="K142" s="87" t="s">
        <v>4</v>
      </c>
      <c r="L142" s="85"/>
      <c r="M142" s="119"/>
      <c r="N142" s="107"/>
      <c r="O142" s="370"/>
      <c r="P142" s="370"/>
      <c r="Q142" s="370"/>
      <c r="R142" s="450">
        <f xml:space="preserve"> IF( '2.3 Selskabsspecifikke input'!R$298 = 0, 0, '2.3 Selskabsspecifikke input'!R195 / '2.3 Selskabsspecifikke input'!R$298 )</f>
        <v>0</v>
      </c>
      <c r="S142" s="450">
        <f xml:space="preserve"> IF( '2.3 Selskabsspecifikke input'!S$298 = 0, 0, '2.3 Selskabsspecifikke input'!S195 / '2.3 Selskabsspecifikke input'!S$298 )</f>
        <v>0</v>
      </c>
      <c r="T142" s="450">
        <f xml:space="preserve"> IF( '2.3 Selskabsspecifikke input'!T$298 = 0, 0, '2.3 Selskabsspecifikke input'!T195 / '2.3 Selskabsspecifikke input'!T$298 )</f>
        <v>0</v>
      </c>
      <c r="U142" s="450">
        <f xml:space="preserve"> IF( '2.3 Selskabsspecifikke input'!U$298 = 0, 0, '2.3 Selskabsspecifikke input'!U195 / '2.3 Selskabsspecifikke input'!U$298 )</f>
        <v>0</v>
      </c>
      <c r="V142" s="450">
        <f xml:space="preserve"> IF( '2.3 Selskabsspecifikke input'!V$298 = 0, 0, '2.3 Selskabsspecifikke input'!V195 / '2.3 Selskabsspecifikke input'!V$298 )</f>
        <v>0</v>
      </c>
      <c r="W142" s="1"/>
      <c r="X142" s="1"/>
      <c r="Y142" s="1"/>
      <c r="Z142" s="1"/>
      <c r="AA142" s="1"/>
      <c r="AB142" s="1"/>
      <c r="AC142" s="1"/>
      <c r="AD142" s="1"/>
      <c r="AE142" s="1"/>
    </row>
    <row r="143" spans="1:31" customFormat="1" ht="15" customHeight="1">
      <c r="A143" s="1"/>
      <c r="B143" s="1"/>
      <c r="C143" s="2"/>
      <c r="D143" s="124" t="s">
        <v>158</v>
      </c>
      <c r="E143" s="1"/>
      <c r="F143" s="107"/>
      <c r="G143" s="107"/>
      <c r="H143" s="107"/>
      <c r="I143" s="107"/>
      <c r="J143" s="107"/>
      <c r="K143" s="87" t="s">
        <v>4</v>
      </c>
      <c r="L143" s="85"/>
      <c r="M143" s="119"/>
      <c r="N143" s="107"/>
      <c r="O143" s="370"/>
      <c r="P143" s="370"/>
      <c r="Q143" s="370"/>
      <c r="R143" s="450">
        <f xml:space="preserve"> IF( '2.3 Selskabsspecifikke input'!R$298 = 0, 0, '2.3 Selskabsspecifikke input'!R196 / '2.3 Selskabsspecifikke input'!R$298 )</f>
        <v>0</v>
      </c>
      <c r="S143" s="450">
        <f xml:space="preserve"> IF( '2.3 Selskabsspecifikke input'!S$298 = 0, 0, '2.3 Selskabsspecifikke input'!S196 / '2.3 Selskabsspecifikke input'!S$298 )</f>
        <v>0</v>
      </c>
      <c r="T143" s="450">
        <f xml:space="preserve"> IF( '2.3 Selskabsspecifikke input'!T$298 = 0, 0, '2.3 Selskabsspecifikke input'!T196 / '2.3 Selskabsspecifikke input'!T$298 )</f>
        <v>0</v>
      </c>
      <c r="U143" s="450">
        <f xml:space="preserve"> IF( '2.3 Selskabsspecifikke input'!U$298 = 0, 0, '2.3 Selskabsspecifikke input'!U196 / '2.3 Selskabsspecifikke input'!U$298 )</f>
        <v>0</v>
      </c>
      <c r="V143" s="450">
        <f xml:space="preserve"> IF( '2.3 Selskabsspecifikke input'!V$298 = 0, 0, '2.3 Selskabsspecifikke input'!V196 / '2.3 Selskabsspecifikke input'!V$298 )</f>
        <v>0</v>
      </c>
      <c r="W143" s="1"/>
      <c r="X143" s="1"/>
      <c r="Y143" s="1"/>
      <c r="Z143" s="1"/>
      <c r="AA143" s="1"/>
      <c r="AB143" s="1"/>
      <c r="AC143" s="1"/>
      <c r="AD143" s="1"/>
      <c r="AE143" s="1"/>
    </row>
    <row r="144" spans="1:31" customFormat="1" ht="15" customHeight="1">
      <c r="A144" s="1"/>
      <c r="B144" s="1"/>
      <c r="C144" s="2"/>
      <c r="D144" s="124" t="s">
        <v>159</v>
      </c>
      <c r="E144" s="1"/>
      <c r="F144" s="107"/>
      <c r="G144" s="107"/>
      <c r="H144" s="107"/>
      <c r="I144" s="107"/>
      <c r="J144" s="107"/>
      <c r="K144" s="87" t="s">
        <v>4</v>
      </c>
      <c r="L144" s="85"/>
      <c r="M144" s="119"/>
      <c r="N144" s="107"/>
      <c r="O144" s="370"/>
      <c r="P144" s="370"/>
      <c r="Q144" s="370"/>
      <c r="R144" s="450">
        <f xml:space="preserve"> IF( '2.3 Selskabsspecifikke input'!R$298 = 0, 0, '2.3 Selskabsspecifikke input'!R197 / '2.3 Selskabsspecifikke input'!R$298 )</f>
        <v>0</v>
      </c>
      <c r="S144" s="450">
        <f xml:space="preserve"> IF( '2.3 Selskabsspecifikke input'!S$298 = 0, 0, '2.3 Selskabsspecifikke input'!S197 / '2.3 Selskabsspecifikke input'!S$298 )</f>
        <v>0</v>
      </c>
      <c r="T144" s="450">
        <f xml:space="preserve"> IF( '2.3 Selskabsspecifikke input'!T$298 = 0, 0, '2.3 Selskabsspecifikke input'!T197 / '2.3 Selskabsspecifikke input'!T$298 )</f>
        <v>0</v>
      </c>
      <c r="U144" s="450">
        <f xml:space="preserve"> IF( '2.3 Selskabsspecifikke input'!U$298 = 0, 0, '2.3 Selskabsspecifikke input'!U197 / '2.3 Selskabsspecifikke input'!U$298 )</f>
        <v>0</v>
      </c>
      <c r="V144" s="450">
        <f xml:space="preserve"> IF( '2.3 Selskabsspecifikke input'!V$298 = 0, 0, '2.3 Selskabsspecifikke input'!V197 / '2.3 Selskabsspecifikke input'!V$298 )</f>
        <v>0</v>
      </c>
      <c r="W144" s="1"/>
      <c r="X144" s="1"/>
      <c r="Y144" s="1"/>
      <c r="Z144" s="1"/>
      <c r="AA144" s="1"/>
      <c r="AB144" s="1"/>
      <c r="AC144" s="1"/>
      <c r="AD144" s="1"/>
      <c r="AE144" s="1"/>
    </row>
    <row r="145" spans="1:31" customFormat="1" ht="15" customHeight="1">
      <c r="A145" s="1"/>
      <c r="B145" s="1"/>
      <c r="C145" s="2"/>
      <c r="D145" s="124" t="s">
        <v>160</v>
      </c>
      <c r="E145" s="1"/>
      <c r="F145" s="107"/>
      <c r="G145" s="107"/>
      <c r="H145" s="107"/>
      <c r="I145" s="107"/>
      <c r="J145" s="107"/>
      <c r="K145" s="87" t="s">
        <v>4</v>
      </c>
      <c r="L145" s="85"/>
      <c r="M145" s="119"/>
      <c r="N145" s="107"/>
      <c r="O145" s="370"/>
      <c r="P145" s="370"/>
      <c r="Q145" s="370"/>
      <c r="R145" s="450">
        <f xml:space="preserve"> IF( '2.3 Selskabsspecifikke input'!R$298 = 0, 0, '2.3 Selskabsspecifikke input'!R198 / '2.3 Selskabsspecifikke input'!R$298 )</f>
        <v>0</v>
      </c>
      <c r="S145" s="450">
        <f xml:space="preserve"> IF( '2.3 Selskabsspecifikke input'!S$298 = 0, 0, '2.3 Selskabsspecifikke input'!S198 / '2.3 Selskabsspecifikke input'!S$298 )</f>
        <v>0</v>
      </c>
      <c r="T145" s="450">
        <f xml:space="preserve"> IF( '2.3 Selskabsspecifikke input'!T$298 = 0, 0, '2.3 Selskabsspecifikke input'!T198 / '2.3 Selskabsspecifikke input'!T$298 )</f>
        <v>0</v>
      </c>
      <c r="U145" s="450">
        <f xml:space="preserve"> IF( '2.3 Selskabsspecifikke input'!U$298 = 0, 0, '2.3 Selskabsspecifikke input'!U198 / '2.3 Selskabsspecifikke input'!U$298 )</f>
        <v>0</v>
      </c>
      <c r="V145" s="450">
        <f xml:space="preserve"> IF( '2.3 Selskabsspecifikke input'!V$298 = 0, 0, '2.3 Selskabsspecifikke input'!V198 / '2.3 Selskabsspecifikke input'!V$298 )</f>
        <v>0</v>
      </c>
      <c r="W145" s="1"/>
      <c r="X145" s="1"/>
      <c r="Y145" s="1"/>
      <c r="Z145" s="1"/>
      <c r="AA145" s="1"/>
      <c r="AB145" s="1"/>
      <c r="AC145" s="1"/>
      <c r="AD145" s="1"/>
      <c r="AE145" s="1"/>
    </row>
    <row r="146" spans="1:31" customFormat="1" ht="15" customHeight="1">
      <c r="A146" s="1"/>
      <c r="B146" s="1"/>
      <c r="C146" s="2"/>
      <c r="D146" s="124" t="s">
        <v>161</v>
      </c>
      <c r="E146" s="1"/>
      <c r="F146" s="107"/>
      <c r="G146" s="107"/>
      <c r="H146" s="107"/>
      <c r="I146" s="107"/>
      <c r="J146" s="107"/>
      <c r="K146" s="87" t="s">
        <v>4</v>
      </c>
      <c r="L146" s="85"/>
      <c r="M146" s="119"/>
      <c r="N146" s="107"/>
      <c r="O146" s="370"/>
      <c r="P146" s="370"/>
      <c r="Q146" s="370"/>
      <c r="R146" s="450">
        <f xml:space="preserve"> IF( '2.3 Selskabsspecifikke input'!R$298 = 0, 0, '2.3 Selskabsspecifikke input'!R199 / '2.3 Selskabsspecifikke input'!R$298 )</f>
        <v>0</v>
      </c>
      <c r="S146" s="450">
        <f xml:space="preserve"> IF( '2.3 Selskabsspecifikke input'!S$298 = 0, 0, '2.3 Selskabsspecifikke input'!S199 / '2.3 Selskabsspecifikke input'!S$298 )</f>
        <v>0</v>
      </c>
      <c r="T146" s="450">
        <f xml:space="preserve"> IF( '2.3 Selskabsspecifikke input'!T$298 = 0, 0, '2.3 Selskabsspecifikke input'!T199 / '2.3 Selskabsspecifikke input'!T$298 )</f>
        <v>0</v>
      </c>
      <c r="U146" s="450">
        <f xml:space="preserve"> IF( '2.3 Selskabsspecifikke input'!U$298 = 0, 0, '2.3 Selskabsspecifikke input'!U199 / '2.3 Selskabsspecifikke input'!U$298 )</f>
        <v>0</v>
      </c>
      <c r="V146" s="450">
        <f xml:space="preserve"> IF( '2.3 Selskabsspecifikke input'!V$298 = 0, 0, '2.3 Selskabsspecifikke input'!V199 / '2.3 Selskabsspecifikke input'!V$298 )</f>
        <v>0</v>
      </c>
      <c r="W146" s="1"/>
      <c r="X146" s="1"/>
      <c r="Y146" s="1"/>
      <c r="Z146" s="1"/>
      <c r="AA146" s="1"/>
      <c r="AB146" s="1"/>
      <c r="AC146" s="1"/>
      <c r="AD146" s="1"/>
      <c r="AE146" s="1"/>
    </row>
    <row r="147" spans="1:31" customFormat="1" ht="15" customHeight="1">
      <c r="A147" s="1"/>
      <c r="B147" s="1"/>
      <c r="C147" s="2"/>
      <c r="D147" s="124" t="s">
        <v>162</v>
      </c>
      <c r="E147" s="1"/>
      <c r="F147" s="107"/>
      <c r="G147" s="107"/>
      <c r="H147" s="107"/>
      <c r="I147" s="107"/>
      <c r="J147" s="107"/>
      <c r="K147" s="87" t="s">
        <v>4</v>
      </c>
      <c r="L147" s="85"/>
      <c r="M147" s="119"/>
      <c r="N147" s="107"/>
      <c r="O147" s="370"/>
      <c r="P147" s="370"/>
      <c r="Q147" s="370"/>
      <c r="R147" s="450">
        <f xml:space="preserve"> IF( '2.3 Selskabsspecifikke input'!R$298 = 0, 0, '2.3 Selskabsspecifikke input'!R200 / '2.3 Selskabsspecifikke input'!R$298 )</f>
        <v>0</v>
      </c>
      <c r="S147" s="450">
        <f xml:space="preserve"> IF( '2.3 Selskabsspecifikke input'!S$298 = 0, 0, '2.3 Selskabsspecifikke input'!S200 / '2.3 Selskabsspecifikke input'!S$298 )</f>
        <v>0</v>
      </c>
      <c r="T147" s="450">
        <f xml:space="preserve"> IF( '2.3 Selskabsspecifikke input'!T$298 = 0, 0, '2.3 Selskabsspecifikke input'!T200 / '2.3 Selskabsspecifikke input'!T$298 )</f>
        <v>0</v>
      </c>
      <c r="U147" s="450">
        <f xml:space="preserve"> IF( '2.3 Selskabsspecifikke input'!U$298 = 0, 0, '2.3 Selskabsspecifikke input'!U200 / '2.3 Selskabsspecifikke input'!U$298 )</f>
        <v>0</v>
      </c>
      <c r="V147" s="450">
        <f xml:space="preserve"> IF( '2.3 Selskabsspecifikke input'!V$298 = 0, 0, '2.3 Selskabsspecifikke input'!V200 / '2.3 Selskabsspecifikke input'!V$298 )</f>
        <v>0</v>
      </c>
      <c r="W147" s="1"/>
      <c r="X147" s="1"/>
      <c r="Y147" s="1"/>
      <c r="Z147" s="1"/>
      <c r="AA147" s="1"/>
      <c r="AB147" s="1"/>
      <c r="AC147" s="1"/>
      <c r="AD147" s="1"/>
      <c r="AE147" s="1"/>
    </row>
    <row r="148" spans="1:31" customFormat="1" ht="15" customHeight="1">
      <c r="A148" s="1"/>
      <c r="B148" s="1"/>
      <c r="C148" s="2"/>
      <c r="D148" s="124" t="s">
        <v>163</v>
      </c>
      <c r="E148" s="1"/>
      <c r="F148" s="107"/>
      <c r="G148" s="107"/>
      <c r="H148" s="107"/>
      <c r="I148" s="107"/>
      <c r="J148" s="107"/>
      <c r="K148" s="87" t="s">
        <v>4</v>
      </c>
      <c r="L148" s="85"/>
      <c r="M148" s="119"/>
      <c r="N148" s="107"/>
      <c r="O148" s="370"/>
      <c r="P148" s="370"/>
      <c r="Q148" s="370"/>
      <c r="R148" s="450">
        <f xml:space="preserve"> IF( '2.3 Selskabsspecifikke input'!R$298 = 0, 0, '2.3 Selskabsspecifikke input'!R201 / '2.3 Selskabsspecifikke input'!R$298 )</f>
        <v>0</v>
      </c>
      <c r="S148" s="450">
        <f xml:space="preserve"> IF( '2.3 Selskabsspecifikke input'!S$298 = 0, 0, '2.3 Selskabsspecifikke input'!S201 / '2.3 Selskabsspecifikke input'!S$298 )</f>
        <v>0</v>
      </c>
      <c r="T148" s="450">
        <f xml:space="preserve"> IF( '2.3 Selskabsspecifikke input'!T$298 = 0, 0, '2.3 Selskabsspecifikke input'!T201 / '2.3 Selskabsspecifikke input'!T$298 )</f>
        <v>0</v>
      </c>
      <c r="U148" s="450">
        <f xml:space="preserve"> IF( '2.3 Selskabsspecifikke input'!U$298 = 0, 0, '2.3 Selskabsspecifikke input'!U201 / '2.3 Selskabsspecifikke input'!U$298 )</f>
        <v>0</v>
      </c>
      <c r="V148" s="450">
        <f xml:space="preserve"> IF( '2.3 Selskabsspecifikke input'!V$298 = 0, 0, '2.3 Selskabsspecifikke input'!V201 / '2.3 Selskabsspecifikke input'!V$298 )</f>
        <v>0</v>
      </c>
      <c r="W148" s="1"/>
      <c r="X148" s="1"/>
      <c r="Y148" s="1"/>
      <c r="Z148" s="1"/>
      <c r="AA148" s="1"/>
      <c r="AB148" s="1"/>
      <c r="AC148" s="1"/>
      <c r="AD148" s="1"/>
      <c r="AE148" s="1"/>
    </row>
    <row r="149" spans="1:31" customFormat="1" ht="15" customHeight="1">
      <c r="A149" s="1"/>
      <c r="B149" s="1"/>
      <c r="C149" s="2"/>
      <c r="D149" s="124" t="s">
        <v>164</v>
      </c>
      <c r="E149" s="1"/>
      <c r="F149" s="107"/>
      <c r="G149" s="107"/>
      <c r="H149" s="107"/>
      <c r="I149" s="107"/>
      <c r="J149" s="107"/>
      <c r="K149" s="87" t="s">
        <v>4</v>
      </c>
      <c r="L149" s="85"/>
      <c r="M149" s="119"/>
      <c r="N149" s="107"/>
      <c r="O149" s="370"/>
      <c r="P149" s="370"/>
      <c r="Q149" s="370"/>
      <c r="R149" s="450">
        <f xml:space="preserve"> IF( '2.3 Selskabsspecifikke input'!R$298 = 0, 0, '2.3 Selskabsspecifikke input'!R202 / '2.3 Selskabsspecifikke input'!R$298 )</f>
        <v>0</v>
      </c>
      <c r="S149" s="450">
        <f xml:space="preserve"> IF( '2.3 Selskabsspecifikke input'!S$298 = 0, 0, '2.3 Selskabsspecifikke input'!S202 / '2.3 Selskabsspecifikke input'!S$298 )</f>
        <v>0</v>
      </c>
      <c r="T149" s="450">
        <f xml:space="preserve"> IF( '2.3 Selskabsspecifikke input'!T$298 = 0, 0, '2.3 Selskabsspecifikke input'!T202 / '2.3 Selskabsspecifikke input'!T$298 )</f>
        <v>0</v>
      </c>
      <c r="U149" s="450">
        <f xml:space="preserve"> IF( '2.3 Selskabsspecifikke input'!U$298 = 0, 0, '2.3 Selskabsspecifikke input'!U202 / '2.3 Selskabsspecifikke input'!U$298 )</f>
        <v>0</v>
      </c>
      <c r="V149" s="450">
        <f xml:space="preserve"> IF( '2.3 Selskabsspecifikke input'!V$298 = 0, 0, '2.3 Selskabsspecifikke input'!V202 / '2.3 Selskabsspecifikke input'!V$298 )</f>
        <v>0</v>
      </c>
      <c r="W149" s="1"/>
      <c r="X149" s="1"/>
      <c r="Y149" s="1"/>
      <c r="Z149" s="1"/>
      <c r="AA149" s="1"/>
      <c r="AB149" s="1"/>
      <c r="AC149" s="1"/>
      <c r="AD149" s="1"/>
      <c r="AE149" s="1"/>
    </row>
    <row r="150" spans="1:31" customFormat="1" ht="15" customHeight="1">
      <c r="A150" s="1"/>
      <c r="B150" s="1"/>
      <c r="C150" s="2"/>
      <c r="D150" s="124" t="s">
        <v>165</v>
      </c>
      <c r="E150" s="1"/>
      <c r="F150" s="107"/>
      <c r="G150" s="107"/>
      <c r="H150" s="107"/>
      <c r="I150" s="107"/>
      <c r="J150" s="107"/>
      <c r="K150" s="87" t="s">
        <v>4</v>
      </c>
      <c r="L150" s="85"/>
      <c r="M150" s="119"/>
      <c r="N150" s="107"/>
      <c r="O150" s="370"/>
      <c r="P150" s="370"/>
      <c r="Q150" s="370"/>
      <c r="R150" s="450">
        <f xml:space="preserve"> IF( '2.3 Selskabsspecifikke input'!R$298 = 0, 0, '2.3 Selskabsspecifikke input'!R203 / '2.3 Selskabsspecifikke input'!R$298 )</f>
        <v>0</v>
      </c>
      <c r="S150" s="450">
        <f xml:space="preserve"> IF( '2.3 Selskabsspecifikke input'!S$298 = 0, 0, '2.3 Selskabsspecifikke input'!S203 / '2.3 Selskabsspecifikke input'!S$298 )</f>
        <v>0</v>
      </c>
      <c r="T150" s="450">
        <f xml:space="preserve"> IF( '2.3 Selskabsspecifikke input'!T$298 = 0, 0, '2.3 Selskabsspecifikke input'!T203 / '2.3 Selskabsspecifikke input'!T$298 )</f>
        <v>0</v>
      </c>
      <c r="U150" s="450">
        <f xml:space="preserve"> IF( '2.3 Selskabsspecifikke input'!U$298 = 0, 0, '2.3 Selskabsspecifikke input'!U203 / '2.3 Selskabsspecifikke input'!U$298 )</f>
        <v>0</v>
      </c>
      <c r="V150" s="450">
        <f xml:space="preserve"> IF( '2.3 Selskabsspecifikke input'!V$298 = 0, 0, '2.3 Selskabsspecifikke input'!V203 / '2.3 Selskabsspecifikke input'!V$298 )</f>
        <v>0</v>
      </c>
      <c r="W150" s="1"/>
      <c r="X150" s="1"/>
      <c r="Y150" s="1"/>
      <c r="Z150" s="1"/>
      <c r="AA150" s="1"/>
      <c r="AB150" s="1"/>
      <c r="AC150" s="1"/>
      <c r="AD150" s="1"/>
      <c r="AE150" s="1"/>
    </row>
    <row r="151" spans="1:31" customFormat="1" ht="15" customHeight="1">
      <c r="A151" s="1"/>
      <c r="B151" s="1"/>
      <c r="C151" s="2"/>
      <c r="D151" s="124" t="s">
        <v>166</v>
      </c>
      <c r="E151" s="1"/>
      <c r="F151" s="107"/>
      <c r="G151" s="107"/>
      <c r="H151" s="107"/>
      <c r="I151" s="107"/>
      <c r="J151" s="107"/>
      <c r="K151" s="87" t="s">
        <v>4</v>
      </c>
      <c r="L151" s="85"/>
      <c r="M151" s="119"/>
      <c r="N151" s="107"/>
      <c r="O151" s="370"/>
      <c r="P151" s="370"/>
      <c r="Q151" s="370"/>
      <c r="R151" s="450">
        <f xml:space="preserve"> IF( '2.3 Selskabsspecifikke input'!R$298 = 0, 0, '2.3 Selskabsspecifikke input'!R204 / '2.3 Selskabsspecifikke input'!R$298 )</f>
        <v>0</v>
      </c>
      <c r="S151" s="450">
        <f xml:space="preserve"> IF( '2.3 Selskabsspecifikke input'!S$298 = 0, 0, '2.3 Selskabsspecifikke input'!S204 / '2.3 Selskabsspecifikke input'!S$298 )</f>
        <v>0</v>
      </c>
      <c r="T151" s="450">
        <f xml:space="preserve"> IF( '2.3 Selskabsspecifikke input'!T$298 = 0, 0, '2.3 Selskabsspecifikke input'!T204 / '2.3 Selskabsspecifikke input'!T$298 )</f>
        <v>0</v>
      </c>
      <c r="U151" s="450">
        <f xml:space="preserve"> IF( '2.3 Selskabsspecifikke input'!U$298 = 0, 0, '2.3 Selskabsspecifikke input'!U204 / '2.3 Selskabsspecifikke input'!U$298 )</f>
        <v>0</v>
      </c>
      <c r="V151" s="450">
        <f xml:space="preserve"> IF( '2.3 Selskabsspecifikke input'!V$298 = 0, 0, '2.3 Selskabsspecifikke input'!V204 / '2.3 Selskabsspecifikke input'!V$298 )</f>
        <v>0</v>
      </c>
      <c r="W151" s="1"/>
      <c r="X151" s="1"/>
      <c r="Y151" s="1"/>
      <c r="Z151" s="1"/>
      <c r="AA151" s="1"/>
      <c r="AB151" s="1"/>
      <c r="AC151" s="1"/>
      <c r="AD151" s="1"/>
      <c r="AE151" s="1"/>
    </row>
    <row r="152" spans="1:31" customFormat="1" ht="15" customHeight="1">
      <c r="A152" s="1"/>
      <c r="B152" s="1"/>
      <c r="C152" s="2"/>
      <c r="D152" s="124" t="s">
        <v>167</v>
      </c>
      <c r="E152" s="1"/>
      <c r="F152" s="107"/>
      <c r="G152" s="107"/>
      <c r="H152" s="107"/>
      <c r="I152" s="107"/>
      <c r="J152" s="107"/>
      <c r="K152" s="87" t="s">
        <v>4</v>
      </c>
      <c r="L152" s="85"/>
      <c r="M152" s="119"/>
      <c r="N152" s="107"/>
      <c r="O152" s="370"/>
      <c r="P152" s="370"/>
      <c r="Q152" s="370"/>
      <c r="R152" s="450">
        <f xml:space="preserve"> IF( '2.3 Selskabsspecifikke input'!R$298 = 0, 0, '2.3 Selskabsspecifikke input'!R205 / '2.3 Selskabsspecifikke input'!R$298 )</f>
        <v>0</v>
      </c>
      <c r="S152" s="450">
        <f xml:space="preserve"> IF( '2.3 Selskabsspecifikke input'!S$298 = 0, 0, '2.3 Selskabsspecifikke input'!S205 / '2.3 Selskabsspecifikke input'!S$298 )</f>
        <v>0</v>
      </c>
      <c r="T152" s="450">
        <f xml:space="preserve"> IF( '2.3 Selskabsspecifikke input'!T$298 = 0, 0, '2.3 Selskabsspecifikke input'!T205 / '2.3 Selskabsspecifikke input'!T$298 )</f>
        <v>0</v>
      </c>
      <c r="U152" s="450">
        <f xml:space="preserve"> IF( '2.3 Selskabsspecifikke input'!U$298 = 0, 0, '2.3 Selskabsspecifikke input'!U205 / '2.3 Selskabsspecifikke input'!U$298 )</f>
        <v>0</v>
      </c>
      <c r="V152" s="450">
        <f xml:space="preserve"> IF( '2.3 Selskabsspecifikke input'!V$298 = 0, 0, '2.3 Selskabsspecifikke input'!V205 / '2.3 Selskabsspecifikke input'!V$298 )</f>
        <v>0</v>
      </c>
      <c r="W152" s="1"/>
      <c r="X152" s="1"/>
      <c r="Y152" s="1"/>
      <c r="Z152" s="1"/>
      <c r="AA152" s="1"/>
      <c r="AB152" s="1"/>
      <c r="AC152" s="1"/>
      <c r="AD152" s="1"/>
      <c r="AE152" s="1"/>
    </row>
    <row r="153" spans="1:31" customFormat="1" ht="15" customHeight="1">
      <c r="A153" s="1"/>
      <c r="B153" s="1"/>
      <c r="C153" s="2"/>
      <c r="D153" s="124" t="s">
        <v>168</v>
      </c>
      <c r="E153" s="1"/>
      <c r="F153" s="107"/>
      <c r="G153" s="107"/>
      <c r="H153" s="107"/>
      <c r="I153" s="107"/>
      <c r="J153" s="107"/>
      <c r="K153" s="87" t="s">
        <v>4</v>
      </c>
      <c r="L153" s="85"/>
      <c r="M153" s="119"/>
      <c r="N153" s="107"/>
      <c r="O153" s="370"/>
      <c r="P153" s="370"/>
      <c r="Q153" s="370"/>
      <c r="R153" s="450">
        <f xml:space="preserve"> IF( '2.3 Selskabsspecifikke input'!R$298 = 0, 0, '2.3 Selskabsspecifikke input'!R206 / '2.3 Selskabsspecifikke input'!R$298 )</f>
        <v>0</v>
      </c>
      <c r="S153" s="450">
        <f xml:space="preserve"> IF( '2.3 Selskabsspecifikke input'!S$298 = 0, 0, '2.3 Selskabsspecifikke input'!S206 / '2.3 Selskabsspecifikke input'!S$298 )</f>
        <v>0</v>
      </c>
      <c r="T153" s="450">
        <f xml:space="preserve"> IF( '2.3 Selskabsspecifikke input'!T$298 = 0, 0, '2.3 Selskabsspecifikke input'!T206 / '2.3 Selskabsspecifikke input'!T$298 )</f>
        <v>0</v>
      </c>
      <c r="U153" s="450">
        <f xml:space="preserve"> IF( '2.3 Selskabsspecifikke input'!U$298 = 0, 0, '2.3 Selskabsspecifikke input'!U206 / '2.3 Selskabsspecifikke input'!U$298 )</f>
        <v>0</v>
      </c>
      <c r="V153" s="450">
        <f xml:space="preserve"> IF( '2.3 Selskabsspecifikke input'!V$298 = 0, 0, '2.3 Selskabsspecifikke input'!V206 / '2.3 Selskabsspecifikke input'!V$298 )</f>
        <v>0</v>
      </c>
      <c r="W153" s="1"/>
      <c r="X153" s="1"/>
      <c r="Y153" s="1"/>
      <c r="Z153" s="1"/>
      <c r="AA153" s="1"/>
      <c r="AB153" s="1"/>
      <c r="AC153" s="1"/>
      <c r="AD153" s="1"/>
      <c r="AE153" s="1"/>
    </row>
    <row r="154" spans="1:31" customFormat="1" ht="15" customHeight="1">
      <c r="A154" s="1"/>
      <c r="B154" s="1"/>
      <c r="C154" s="2"/>
      <c r="D154" s="124" t="s">
        <v>169</v>
      </c>
      <c r="E154" s="1"/>
      <c r="F154" s="107"/>
      <c r="G154" s="107"/>
      <c r="H154" s="107"/>
      <c r="I154" s="107"/>
      <c r="J154" s="107"/>
      <c r="K154" s="87" t="s">
        <v>4</v>
      </c>
      <c r="L154" s="85"/>
      <c r="M154" s="119"/>
      <c r="N154" s="107"/>
      <c r="O154" s="370"/>
      <c r="P154" s="370"/>
      <c r="Q154" s="370"/>
      <c r="R154" s="450">
        <f xml:space="preserve"> IF( '2.3 Selskabsspecifikke input'!R$298 = 0, 0, '2.3 Selskabsspecifikke input'!R207 / '2.3 Selskabsspecifikke input'!R$298 )</f>
        <v>0</v>
      </c>
      <c r="S154" s="450">
        <f xml:space="preserve"> IF( '2.3 Selskabsspecifikke input'!S$298 = 0, 0, '2.3 Selskabsspecifikke input'!S207 / '2.3 Selskabsspecifikke input'!S$298 )</f>
        <v>0</v>
      </c>
      <c r="T154" s="450">
        <f xml:space="preserve"> IF( '2.3 Selskabsspecifikke input'!T$298 = 0, 0, '2.3 Selskabsspecifikke input'!T207 / '2.3 Selskabsspecifikke input'!T$298 )</f>
        <v>0</v>
      </c>
      <c r="U154" s="450">
        <f xml:space="preserve"> IF( '2.3 Selskabsspecifikke input'!U$298 = 0, 0, '2.3 Selskabsspecifikke input'!U207 / '2.3 Selskabsspecifikke input'!U$298 )</f>
        <v>0</v>
      </c>
      <c r="V154" s="450">
        <f xml:space="preserve"> IF( '2.3 Selskabsspecifikke input'!V$298 = 0, 0, '2.3 Selskabsspecifikke input'!V207 / '2.3 Selskabsspecifikke input'!V$298 )</f>
        <v>0</v>
      </c>
      <c r="W154" s="1"/>
      <c r="X154" s="1"/>
      <c r="Y154" s="1"/>
      <c r="Z154" s="1"/>
      <c r="AA154" s="1"/>
      <c r="AB154" s="1"/>
      <c r="AC154" s="1"/>
      <c r="AD154" s="1"/>
      <c r="AE154" s="1"/>
    </row>
    <row r="155" spans="1:31" customFormat="1" ht="15" customHeight="1">
      <c r="A155" s="1"/>
      <c r="B155" s="1"/>
      <c r="C155" s="2"/>
      <c r="D155" s="124" t="s">
        <v>170</v>
      </c>
      <c r="E155" s="1"/>
      <c r="F155" s="107"/>
      <c r="G155" s="107"/>
      <c r="H155" s="107"/>
      <c r="I155" s="107"/>
      <c r="J155" s="107"/>
      <c r="K155" s="87" t="s">
        <v>4</v>
      </c>
      <c r="L155" s="85"/>
      <c r="M155" s="119"/>
      <c r="N155" s="107"/>
      <c r="O155" s="370"/>
      <c r="P155" s="370"/>
      <c r="Q155" s="370"/>
      <c r="R155" s="450">
        <f xml:space="preserve"> IF( '2.3 Selskabsspecifikke input'!R$298 = 0, 0, '2.3 Selskabsspecifikke input'!R208 / '2.3 Selskabsspecifikke input'!R$298 )</f>
        <v>0</v>
      </c>
      <c r="S155" s="450">
        <f xml:space="preserve"> IF( '2.3 Selskabsspecifikke input'!S$298 = 0, 0, '2.3 Selskabsspecifikke input'!S208 / '2.3 Selskabsspecifikke input'!S$298 )</f>
        <v>0</v>
      </c>
      <c r="T155" s="450">
        <f xml:space="preserve"> IF( '2.3 Selskabsspecifikke input'!T$298 = 0, 0, '2.3 Selskabsspecifikke input'!T208 / '2.3 Selskabsspecifikke input'!T$298 )</f>
        <v>0</v>
      </c>
      <c r="U155" s="450">
        <f xml:space="preserve"> IF( '2.3 Selskabsspecifikke input'!U$298 = 0, 0, '2.3 Selskabsspecifikke input'!U208 / '2.3 Selskabsspecifikke input'!U$298 )</f>
        <v>0</v>
      </c>
      <c r="V155" s="450">
        <f xml:space="preserve"> IF( '2.3 Selskabsspecifikke input'!V$298 = 0, 0, '2.3 Selskabsspecifikke input'!V208 / '2.3 Selskabsspecifikke input'!V$298 )</f>
        <v>0</v>
      </c>
      <c r="W155" s="1"/>
      <c r="X155" s="1"/>
      <c r="Y155" s="1"/>
      <c r="Z155" s="1"/>
      <c r="AA155" s="1"/>
      <c r="AB155" s="1"/>
      <c r="AC155" s="1"/>
      <c r="AD155" s="1"/>
      <c r="AE155" s="1"/>
    </row>
    <row r="156" spans="1:31" customFormat="1" ht="15" customHeight="1">
      <c r="A156" s="1"/>
      <c r="B156" s="1"/>
      <c r="C156" s="2"/>
      <c r="D156" s="124" t="s">
        <v>171</v>
      </c>
      <c r="E156" s="1"/>
      <c r="F156" s="107"/>
      <c r="G156" s="107"/>
      <c r="H156" s="107"/>
      <c r="I156" s="107"/>
      <c r="J156" s="107"/>
      <c r="K156" s="87" t="s">
        <v>4</v>
      </c>
      <c r="L156" s="85"/>
      <c r="M156" s="119"/>
      <c r="N156" s="107"/>
      <c r="O156" s="370"/>
      <c r="P156" s="370"/>
      <c r="Q156" s="370"/>
      <c r="R156" s="450">
        <f xml:space="preserve"> IF( '2.3 Selskabsspecifikke input'!R$298 = 0, 0, '2.3 Selskabsspecifikke input'!R209 / '2.3 Selskabsspecifikke input'!R$298 )</f>
        <v>0</v>
      </c>
      <c r="S156" s="450">
        <f xml:space="preserve"> IF( '2.3 Selskabsspecifikke input'!S$298 = 0, 0, '2.3 Selskabsspecifikke input'!S209 / '2.3 Selskabsspecifikke input'!S$298 )</f>
        <v>0</v>
      </c>
      <c r="T156" s="450">
        <f xml:space="preserve"> IF( '2.3 Selskabsspecifikke input'!T$298 = 0, 0, '2.3 Selskabsspecifikke input'!T209 / '2.3 Selskabsspecifikke input'!T$298 )</f>
        <v>0</v>
      </c>
      <c r="U156" s="450">
        <f xml:space="preserve"> IF( '2.3 Selskabsspecifikke input'!U$298 = 0, 0, '2.3 Selskabsspecifikke input'!U209 / '2.3 Selskabsspecifikke input'!U$298 )</f>
        <v>0</v>
      </c>
      <c r="V156" s="450">
        <f xml:space="preserve"> IF( '2.3 Selskabsspecifikke input'!V$298 = 0, 0, '2.3 Selskabsspecifikke input'!V209 / '2.3 Selskabsspecifikke input'!V$298 )</f>
        <v>0</v>
      </c>
      <c r="W156" s="1"/>
      <c r="X156" s="1"/>
      <c r="Y156" s="1"/>
      <c r="Z156" s="1"/>
      <c r="AA156" s="1"/>
      <c r="AB156" s="1"/>
      <c r="AC156" s="1"/>
      <c r="AD156" s="1"/>
      <c r="AE156" s="1"/>
    </row>
    <row r="157" spans="1:31" customFormat="1" ht="15" customHeight="1">
      <c r="A157" s="1"/>
      <c r="B157" s="1"/>
      <c r="C157" s="2"/>
      <c r="D157" s="124" t="s">
        <v>172</v>
      </c>
      <c r="E157" s="1"/>
      <c r="F157" s="107"/>
      <c r="G157" s="107"/>
      <c r="H157" s="107"/>
      <c r="I157" s="107"/>
      <c r="J157" s="107"/>
      <c r="K157" s="87" t="s">
        <v>4</v>
      </c>
      <c r="L157" s="85"/>
      <c r="M157" s="119"/>
      <c r="N157" s="107"/>
      <c r="O157" s="370"/>
      <c r="P157" s="370"/>
      <c r="Q157" s="370"/>
      <c r="R157" s="450">
        <f xml:space="preserve"> IF( '2.3 Selskabsspecifikke input'!R$298 = 0, 0, '2.3 Selskabsspecifikke input'!R210 / '2.3 Selskabsspecifikke input'!R$298 )</f>
        <v>0</v>
      </c>
      <c r="S157" s="450">
        <f xml:space="preserve"> IF( '2.3 Selskabsspecifikke input'!S$298 = 0, 0, '2.3 Selskabsspecifikke input'!S210 / '2.3 Selskabsspecifikke input'!S$298 )</f>
        <v>0</v>
      </c>
      <c r="T157" s="450">
        <f xml:space="preserve"> IF( '2.3 Selskabsspecifikke input'!T$298 = 0, 0, '2.3 Selskabsspecifikke input'!T210 / '2.3 Selskabsspecifikke input'!T$298 )</f>
        <v>0</v>
      </c>
      <c r="U157" s="450">
        <f xml:space="preserve"> IF( '2.3 Selskabsspecifikke input'!U$298 = 0, 0, '2.3 Selskabsspecifikke input'!U210 / '2.3 Selskabsspecifikke input'!U$298 )</f>
        <v>0</v>
      </c>
      <c r="V157" s="450">
        <f xml:space="preserve"> IF( '2.3 Selskabsspecifikke input'!V$298 = 0, 0, '2.3 Selskabsspecifikke input'!V210 / '2.3 Selskabsspecifikke input'!V$298 )</f>
        <v>0</v>
      </c>
      <c r="W157" s="1"/>
      <c r="X157" s="1"/>
      <c r="Y157" s="1"/>
      <c r="Z157" s="1"/>
      <c r="AA157" s="1"/>
      <c r="AB157" s="1"/>
      <c r="AC157" s="1"/>
      <c r="AD157" s="1"/>
      <c r="AE157" s="1"/>
    </row>
    <row r="158" spans="1:31" customFormat="1" ht="15" customHeight="1">
      <c r="A158" s="1"/>
      <c r="B158" s="1"/>
      <c r="C158" s="2"/>
      <c r="D158" s="124" t="s">
        <v>173</v>
      </c>
      <c r="E158" s="1"/>
      <c r="F158" s="107"/>
      <c r="G158" s="107"/>
      <c r="H158" s="107"/>
      <c r="I158" s="107"/>
      <c r="J158" s="107"/>
      <c r="K158" s="87" t="s">
        <v>4</v>
      </c>
      <c r="L158" s="85"/>
      <c r="M158" s="119"/>
      <c r="N158" s="107"/>
      <c r="O158" s="370"/>
      <c r="P158" s="370"/>
      <c r="Q158" s="370"/>
      <c r="R158" s="450">
        <f xml:space="preserve"> IF( '2.3 Selskabsspecifikke input'!R$298 = 0, 0, '2.3 Selskabsspecifikke input'!R211 / '2.3 Selskabsspecifikke input'!R$298 )</f>
        <v>0</v>
      </c>
      <c r="S158" s="450">
        <f xml:space="preserve"> IF( '2.3 Selskabsspecifikke input'!S$298 = 0, 0, '2.3 Selskabsspecifikke input'!S211 / '2.3 Selskabsspecifikke input'!S$298 )</f>
        <v>0</v>
      </c>
      <c r="T158" s="450">
        <f xml:space="preserve"> IF( '2.3 Selskabsspecifikke input'!T$298 = 0, 0, '2.3 Selskabsspecifikke input'!T211 / '2.3 Selskabsspecifikke input'!T$298 )</f>
        <v>0</v>
      </c>
      <c r="U158" s="450">
        <f xml:space="preserve"> IF( '2.3 Selskabsspecifikke input'!U$298 = 0, 0, '2.3 Selskabsspecifikke input'!U211 / '2.3 Selskabsspecifikke input'!U$298 )</f>
        <v>0</v>
      </c>
      <c r="V158" s="450">
        <f xml:space="preserve"> IF( '2.3 Selskabsspecifikke input'!V$298 = 0, 0, '2.3 Selskabsspecifikke input'!V211 / '2.3 Selskabsspecifikke input'!V$298 )</f>
        <v>0</v>
      </c>
      <c r="W158" s="1"/>
      <c r="X158" s="1"/>
      <c r="Y158" s="1"/>
      <c r="Z158" s="1"/>
      <c r="AA158" s="1"/>
      <c r="AB158" s="1"/>
      <c r="AC158" s="1"/>
      <c r="AD158" s="1"/>
      <c r="AE158" s="1"/>
    </row>
    <row r="159" spans="1:31" customFormat="1" ht="15" customHeight="1">
      <c r="A159" s="1"/>
      <c r="B159" s="1"/>
      <c r="C159" s="2"/>
      <c r="D159" s="124" t="s">
        <v>174</v>
      </c>
      <c r="E159" s="1"/>
      <c r="F159" s="107"/>
      <c r="G159" s="107"/>
      <c r="H159" s="107"/>
      <c r="I159" s="107"/>
      <c r="J159" s="107"/>
      <c r="K159" s="87" t="s">
        <v>4</v>
      </c>
      <c r="L159" s="85"/>
      <c r="M159" s="119"/>
      <c r="N159" s="107"/>
      <c r="O159" s="370"/>
      <c r="P159" s="370"/>
      <c r="Q159" s="370"/>
      <c r="R159" s="450">
        <f xml:space="preserve"> IF( '2.3 Selskabsspecifikke input'!R$298 = 0, 0, '2.3 Selskabsspecifikke input'!R212 / '2.3 Selskabsspecifikke input'!R$298 )</f>
        <v>0</v>
      </c>
      <c r="S159" s="450">
        <f xml:space="preserve"> IF( '2.3 Selskabsspecifikke input'!S$298 = 0, 0, '2.3 Selskabsspecifikke input'!S212 / '2.3 Selskabsspecifikke input'!S$298 )</f>
        <v>0</v>
      </c>
      <c r="T159" s="450">
        <f xml:space="preserve"> IF( '2.3 Selskabsspecifikke input'!T$298 = 0, 0, '2.3 Selskabsspecifikke input'!T212 / '2.3 Selskabsspecifikke input'!T$298 )</f>
        <v>0</v>
      </c>
      <c r="U159" s="450">
        <f xml:space="preserve"> IF( '2.3 Selskabsspecifikke input'!U$298 = 0, 0, '2.3 Selskabsspecifikke input'!U212 / '2.3 Selskabsspecifikke input'!U$298 )</f>
        <v>0</v>
      </c>
      <c r="V159" s="450">
        <f xml:space="preserve"> IF( '2.3 Selskabsspecifikke input'!V$298 = 0, 0, '2.3 Selskabsspecifikke input'!V212 / '2.3 Selskabsspecifikke input'!V$298 )</f>
        <v>0</v>
      </c>
      <c r="W159" s="1"/>
      <c r="X159" s="1"/>
      <c r="Y159" s="1"/>
      <c r="Z159" s="1"/>
      <c r="AA159" s="1"/>
      <c r="AB159" s="1"/>
      <c r="AC159" s="1"/>
      <c r="AD159" s="1"/>
      <c r="AE159" s="1"/>
    </row>
    <row r="160" spans="1:31" customFormat="1" ht="15" customHeight="1">
      <c r="A160" s="1"/>
      <c r="B160" s="1"/>
      <c r="C160" s="2"/>
      <c r="D160" s="125" t="s">
        <v>175</v>
      </c>
      <c r="E160" s="27"/>
      <c r="F160" s="115"/>
      <c r="G160" s="115"/>
      <c r="H160" s="115"/>
      <c r="I160" s="115"/>
      <c r="J160" s="115"/>
      <c r="K160" s="98" t="s">
        <v>4</v>
      </c>
      <c r="L160" s="99"/>
      <c r="M160" s="151"/>
      <c r="N160" s="115"/>
      <c r="O160" s="368"/>
      <c r="P160" s="368"/>
      <c r="Q160" s="368"/>
      <c r="R160" s="451">
        <f xml:space="preserve"> IF( '2.3 Selskabsspecifikke input'!R$298 = 0, 0, '2.3 Selskabsspecifikke input'!R213 / '2.3 Selskabsspecifikke input'!R$298 )</f>
        <v>0</v>
      </c>
      <c r="S160" s="451">
        <f xml:space="preserve"> IF( '2.3 Selskabsspecifikke input'!S$298 = 0, 0, '2.3 Selskabsspecifikke input'!S213 / '2.3 Selskabsspecifikke input'!S$298 )</f>
        <v>0</v>
      </c>
      <c r="T160" s="451">
        <f xml:space="preserve"> IF( '2.3 Selskabsspecifikke input'!T$298 = 0, 0, '2.3 Selskabsspecifikke input'!T213 / '2.3 Selskabsspecifikke input'!T$298 )</f>
        <v>0</v>
      </c>
      <c r="U160" s="451">
        <f xml:space="preserve"> IF( '2.3 Selskabsspecifikke input'!U$298 = 0, 0, '2.3 Selskabsspecifikke input'!U213 / '2.3 Selskabsspecifikke input'!U$298 )</f>
        <v>0</v>
      </c>
      <c r="V160" s="451">
        <f xml:space="preserve"> IF( '2.3 Selskabsspecifikke input'!V$298 = 0, 0, '2.3 Selskabsspecifikke input'!V213 / '2.3 Selskabsspecifikke input'!V$298 )</f>
        <v>0</v>
      </c>
      <c r="W160" s="27"/>
      <c r="X160" s="1"/>
      <c r="Y160" s="1"/>
      <c r="Z160" s="1"/>
      <c r="AA160" s="1"/>
      <c r="AB160" s="1"/>
      <c r="AC160" s="1"/>
      <c r="AD160" s="1"/>
      <c r="AE160" s="1"/>
    </row>
    <row r="161" spans="1:31" customFormat="1" ht="15" customHeight="1">
      <c r="A161" s="1"/>
      <c r="B161" s="1"/>
      <c r="C161" s="2"/>
      <c r="D161" s="105" t="s">
        <v>16</v>
      </c>
      <c r="E161" s="186"/>
      <c r="F161" s="120"/>
      <c r="G161" s="120"/>
      <c r="H161" s="120"/>
      <c r="I161" s="120"/>
      <c r="J161" s="120"/>
      <c r="K161" s="92" t="s">
        <v>4</v>
      </c>
      <c r="L161" s="105"/>
      <c r="M161" s="105"/>
      <c r="N161" s="120"/>
      <c r="O161" s="371"/>
      <c r="P161" s="371"/>
      <c r="Q161" s="371"/>
      <c r="R161" s="199">
        <f xml:space="preserve"> SUM( R137:R160 )</f>
        <v>0</v>
      </c>
      <c r="S161" s="199">
        <f xml:space="preserve"> SUM( S137:S160 )</f>
        <v>0</v>
      </c>
      <c r="T161" s="199">
        <f xml:space="preserve"> SUM( T137:T160 )</f>
        <v>0</v>
      </c>
      <c r="U161" s="199">
        <f xml:space="preserve"> SUM( U137:U160 )</f>
        <v>0</v>
      </c>
      <c r="V161" s="199">
        <f xml:space="preserve"> SUM( V137:V160 )</f>
        <v>0</v>
      </c>
      <c r="W161" s="33"/>
      <c r="X161" s="1"/>
      <c r="Y161" s="1"/>
      <c r="Z161" s="1"/>
      <c r="AA161" s="1"/>
      <c r="AB161" s="1"/>
      <c r="AC161" s="1"/>
      <c r="AD161" s="1"/>
      <c r="AE161" s="1"/>
    </row>
    <row r="162" spans="1:31" customFormat="1" ht="15" customHeight="1">
      <c r="A162" s="1"/>
      <c r="B162" s="1"/>
      <c r="C162" s="2"/>
      <c r="D162" s="85"/>
      <c r="E162" s="1"/>
      <c r="F162" s="86"/>
      <c r="G162" s="86"/>
      <c r="H162" s="86"/>
      <c r="I162" s="86"/>
      <c r="J162" s="86"/>
      <c r="K162" s="87"/>
      <c r="L162" s="85"/>
      <c r="M162" s="85"/>
      <c r="N162" s="86"/>
      <c r="O162" s="86"/>
      <c r="P162" s="86"/>
      <c r="Q162" s="86"/>
      <c r="R162" s="1"/>
      <c r="S162" s="1"/>
      <c r="T162" s="1"/>
      <c r="U162" s="1"/>
      <c r="V162" s="1"/>
      <c r="W162" s="1"/>
      <c r="X162" s="1"/>
      <c r="Y162" s="1"/>
      <c r="Z162" s="1"/>
      <c r="AA162" s="1"/>
      <c r="AB162" s="1"/>
      <c r="AC162" s="1"/>
      <c r="AD162" s="1"/>
      <c r="AE162" s="1"/>
    </row>
    <row r="163" spans="1:31" customFormat="1" ht="15" customHeight="1">
      <c r="A163" s="1"/>
      <c r="B163" s="1"/>
      <c r="C163" s="2"/>
      <c r="D163" s="88" t="s">
        <v>187</v>
      </c>
      <c r="E163" s="1"/>
      <c r="F163" s="107"/>
      <c r="G163" s="107"/>
      <c r="H163" s="107"/>
      <c r="I163" s="107"/>
      <c r="J163" s="107"/>
      <c r="K163" s="87"/>
      <c r="L163" s="85"/>
      <c r="M163" s="85"/>
      <c r="N163" s="107"/>
      <c r="O163" s="107"/>
      <c r="P163" s="107"/>
      <c r="Q163" s="107"/>
      <c r="R163" s="1"/>
      <c r="S163" s="1"/>
      <c r="T163" s="1"/>
      <c r="U163" s="1"/>
      <c r="V163" s="1"/>
      <c r="W163" s="1"/>
      <c r="X163" s="1"/>
      <c r="Y163" s="1"/>
      <c r="Z163" s="1"/>
      <c r="AA163" s="1"/>
      <c r="AB163" s="1"/>
      <c r="AC163" s="1"/>
      <c r="AD163" s="1"/>
      <c r="AE163" s="1"/>
    </row>
    <row r="164" spans="1:31" customFormat="1" ht="15" customHeight="1">
      <c r="A164" s="1"/>
      <c r="B164" s="1"/>
      <c r="C164" s="2"/>
      <c r="D164" s="122" t="s">
        <v>152</v>
      </c>
      <c r="E164" s="15"/>
      <c r="F164" s="116"/>
      <c r="G164" s="116"/>
      <c r="H164" s="116"/>
      <c r="I164" s="116"/>
      <c r="J164" s="116"/>
      <c r="K164" s="452" t="s">
        <v>4</v>
      </c>
      <c r="L164" s="123"/>
      <c r="M164" s="142"/>
      <c r="N164" s="116"/>
      <c r="O164" s="369"/>
      <c r="P164" s="369"/>
      <c r="Q164" s="369"/>
      <c r="R164" s="448">
        <f xml:space="preserve"> IF( '2.3 Selskabsspecifikke input'!R$298 = 0, 0, '2.3 Selskabsspecifikke input'!R217 / '2.3 Selskabsspecifikke input'!R$298 )</f>
        <v>0</v>
      </c>
      <c r="S164" s="449">
        <f xml:space="preserve"> IF( '2.3 Selskabsspecifikke input'!S$298 = 0, 0, '2.3 Selskabsspecifikke input'!S217 / '2.3 Selskabsspecifikke input'!S$298 )</f>
        <v>0</v>
      </c>
      <c r="T164" s="449">
        <f xml:space="preserve"> IF( '2.3 Selskabsspecifikke input'!T$298 = 0, 0, '2.3 Selskabsspecifikke input'!T217 / '2.3 Selskabsspecifikke input'!T$298 )</f>
        <v>0</v>
      </c>
      <c r="U164" s="449">
        <f xml:space="preserve"> IF( '2.3 Selskabsspecifikke input'!U$298 = 0, 0, '2.3 Selskabsspecifikke input'!U217 / '2.3 Selskabsspecifikke input'!U$298 )</f>
        <v>0</v>
      </c>
      <c r="V164" s="449">
        <f xml:space="preserve"> IF( '2.3 Selskabsspecifikke input'!V$298 = 0, 0, '2.3 Selskabsspecifikke input'!V217 / '2.3 Selskabsspecifikke input'!V$298 )</f>
        <v>0</v>
      </c>
      <c r="W164" s="15"/>
      <c r="X164" s="1"/>
      <c r="Y164" s="1"/>
      <c r="Z164" s="1"/>
      <c r="AA164" s="1"/>
      <c r="AB164" s="1"/>
      <c r="AC164" s="1"/>
      <c r="AD164" s="1"/>
      <c r="AE164" s="1"/>
    </row>
    <row r="165" spans="1:31" customFormat="1" ht="15" customHeight="1">
      <c r="A165" s="1"/>
      <c r="B165" s="1"/>
      <c r="C165" s="2"/>
      <c r="D165" s="124" t="s">
        <v>153</v>
      </c>
      <c r="E165" s="1"/>
      <c r="F165" s="107"/>
      <c r="G165" s="107"/>
      <c r="H165" s="107"/>
      <c r="I165" s="107"/>
      <c r="J165" s="107"/>
      <c r="K165" s="114" t="s">
        <v>4</v>
      </c>
      <c r="L165" s="85"/>
      <c r="M165" s="119"/>
      <c r="N165" s="107"/>
      <c r="O165" s="370"/>
      <c r="P165" s="370"/>
      <c r="Q165" s="370"/>
      <c r="R165" s="450">
        <f xml:space="preserve"> IF( '2.3 Selskabsspecifikke input'!R$298 = 0, 0, '2.3 Selskabsspecifikke input'!R218 / '2.3 Selskabsspecifikke input'!R$298 )</f>
        <v>0</v>
      </c>
      <c r="S165" s="450">
        <f xml:space="preserve"> IF( '2.3 Selskabsspecifikke input'!S$298 = 0, 0, '2.3 Selskabsspecifikke input'!S218 / '2.3 Selskabsspecifikke input'!S$298 )</f>
        <v>0</v>
      </c>
      <c r="T165" s="450">
        <f xml:space="preserve"> IF( '2.3 Selskabsspecifikke input'!T$298 = 0, 0, '2.3 Selskabsspecifikke input'!T218 / '2.3 Selskabsspecifikke input'!T$298 )</f>
        <v>0</v>
      </c>
      <c r="U165" s="450">
        <f xml:space="preserve"> IF( '2.3 Selskabsspecifikke input'!U$298 = 0, 0, '2.3 Selskabsspecifikke input'!U218 / '2.3 Selskabsspecifikke input'!U$298 )</f>
        <v>0</v>
      </c>
      <c r="V165" s="450">
        <f xml:space="preserve"> IF( '2.3 Selskabsspecifikke input'!V$298 = 0, 0, '2.3 Selskabsspecifikke input'!V218 / '2.3 Selskabsspecifikke input'!V$298 )</f>
        <v>0</v>
      </c>
      <c r="W165" s="1"/>
      <c r="X165" s="1"/>
      <c r="Y165" s="1"/>
      <c r="Z165" s="1"/>
      <c r="AA165" s="1"/>
      <c r="AB165" s="1"/>
      <c r="AC165" s="1"/>
      <c r="AD165" s="1"/>
      <c r="AE165" s="1"/>
    </row>
    <row r="166" spans="1:31" customFormat="1" ht="15" customHeight="1">
      <c r="A166" s="1"/>
      <c r="B166" s="1"/>
      <c r="C166" s="2"/>
      <c r="D166" s="124" t="s">
        <v>154</v>
      </c>
      <c r="E166" s="1"/>
      <c r="F166" s="107"/>
      <c r="G166" s="107"/>
      <c r="H166" s="107"/>
      <c r="I166" s="107"/>
      <c r="J166" s="107"/>
      <c r="K166" s="114" t="s">
        <v>4</v>
      </c>
      <c r="L166" s="85"/>
      <c r="M166" s="119"/>
      <c r="N166" s="107"/>
      <c r="O166" s="370"/>
      <c r="P166" s="370"/>
      <c r="Q166" s="370"/>
      <c r="R166" s="450">
        <f xml:space="preserve"> IF( '2.3 Selskabsspecifikke input'!R$298 = 0, 0, '2.3 Selskabsspecifikke input'!R219 / '2.3 Selskabsspecifikke input'!R$298 )</f>
        <v>0</v>
      </c>
      <c r="S166" s="450">
        <f xml:space="preserve"> IF( '2.3 Selskabsspecifikke input'!S$298 = 0, 0, '2.3 Selskabsspecifikke input'!S219 / '2.3 Selskabsspecifikke input'!S$298 )</f>
        <v>0</v>
      </c>
      <c r="T166" s="450">
        <f xml:space="preserve"> IF( '2.3 Selskabsspecifikke input'!T$298 = 0, 0, '2.3 Selskabsspecifikke input'!T219 / '2.3 Selskabsspecifikke input'!T$298 )</f>
        <v>0</v>
      </c>
      <c r="U166" s="450">
        <f xml:space="preserve"> IF( '2.3 Selskabsspecifikke input'!U$298 = 0, 0, '2.3 Selskabsspecifikke input'!U219 / '2.3 Selskabsspecifikke input'!U$298 )</f>
        <v>0</v>
      </c>
      <c r="V166" s="450">
        <f xml:space="preserve"> IF( '2.3 Selskabsspecifikke input'!V$298 = 0, 0, '2.3 Selskabsspecifikke input'!V219 / '2.3 Selskabsspecifikke input'!V$298 )</f>
        <v>0</v>
      </c>
      <c r="W166" s="1"/>
      <c r="X166" s="1"/>
      <c r="Y166" s="1"/>
      <c r="Z166" s="1"/>
      <c r="AA166" s="1"/>
      <c r="AB166" s="1"/>
      <c r="AC166" s="1"/>
      <c r="AD166" s="1"/>
      <c r="AE166" s="1"/>
    </row>
    <row r="167" spans="1:31" customFormat="1" ht="15" customHeight="1">
      <c r="A167" s="1"/>
      <c r="B167" s="1"/>
      <c r="C167" s="2"/>
      <c r="D167" s="124" t="s">
        <v>155</v>
      </c>
      <c r="E167" s="1"/>
      <c r="F167" s="107"/>
      <c r="G167" s="107"/>
      <c r="H167" s="107"/>
      <c r="I167" s="107"/>
      <c r="J167" s="107"/>
      <c r="K167" s="114" t="s">
        <v>4</v>
      </c>
      <c r="L167" s="85"/>
      <c r="M167" s="119"/>
      <c r="N167" s="107"/>
      <c r="O167" s="370"/>
      <c r="P167" s="370"/>
      <c r="Q167" s="370"/>
      <c r="R167" s="450">
        <f xml:space="preserve"> IF( '2.3 Selskabsspecifikke input'!R$298 = 0, 0, '2.3 Selskabsspecifikke input'!R220 / '2.3 Selskabsspecifikke input'!R$298 )</f>
        <v>0</v>
      </c>
      <c r="S167" s="450">
        <f xml:space="preserve"> IF( '2.3 Selskabsspecifikke input'!S$298 = 0, 0, '2.3 Selskabsspecifikke input'!S220 / '2.3 Selskabsspecifikke input'!S$298 )</f>
        <v>0</v>
      </c>
      <c r="T167" s="450">
        <f xml:space="preserve"> IF( '2.3 Selskabsspecifikke input'!T$298 = 0, 0, '2.3 Selskabsspecifikke input'!T220 / '2.3 Selskabsspecifikke input'!T$298 )</f>
        <v>0</v>
      </c>
      <c r="U167" s="450">
        <f xml:space="preserve"> IF( '2.3 Selskabsspecifikke input'!U$298 = 0, 0, '2.3 Selskabsspecifikke input'!U220 / '2.3 Selskabsspecifikke input'!U$298 )</f>
        <v>0</v>
      </c>
      <c r="V167" s="450">
        <f xml:space="preserve"> IF( '2.3 Selskabsspecifikke input'!V$298 = 0, 0, '2.3 Selskabsspecifikke input'!V220 / '2.3 Selskabsspecifikke input'!V$298 )</f>
        <v>0</v>
      </c>
      <c r="W167" s="1"/>
      <c r="X167" s="1"/>
      <c r="Y167" s="1"/>
      <c r="Z167" s="1"/>
      <c r="AA167" s="1"/>
      <c r="AB167" s="1"/>
      <c r="AC167" s="1"/>
      <c r="AD167" s="1"/>
      <c r="AE167" s="1"/>
    </row>
    <row r="168" spans="1:31" customFormat="1" ht="15" customHeight="1">
      <c r="A168" s="1"/>
      <c r="B168" s="1"/>
      <c r="C168" s="2"/>
      <c r="D168" s="124" t="s">
        <v>156</v>
      </c>
      <c r="E168" s="1"/>
      <c r="F168" s="107"/>
      <c r="G168" s="107"/>
      <c r="H168" s="107"/>
      <c r="I168" s="107"/>
      <c r="J168" s="107"/>
      <c r="K168" s="114" t="s">
        <v>4</v>
      </c>
      <c r="L168" s="85"/>
      <c r="M168" s="119"/>
      <c r="N168" s="107"/>
      <c r="O168" s="370"/>
      <c r="P168" s="370"/>
      <c r="Q168" s="370"/>
      <c r="R168" s="450">
        <f xml:space="preserve"> IF( '2.3 Selskabsspecifikke input'!R$298 = 0, 0, '2.3 Selskabsspecifikke input'!R221 / '2.3 Selskabsspecifikke input'!R$298 )</f>
        <v>0</v>
      </c>
      <c r="S168" s="450">
        <f xml:space="preserve"> IF( '2.3 Selskabsspecifikke input'!S$298 = 0, 0, '2.3 Selskabsspecifikke input'!S221 / '2.3 Selskabsspecifikke input'!S$298 )</f>
        <v>0</v>
      </c>
      <c r="T168" s="450">
        <f xml:space="preserve"> IF( '2.3 Selskabsspecifikke input'!T$298 = 0, 0, '2.3 Selskabsspecifikke input'!T221 / '2.3 Selskabsspecifikke input'!T$298 )</f>
        <v>0</v>
      </c>
      <c r="U168" s="450">
        <f xml:space="preserve"> IF( '2.3 Selskabsspecifikke input'!U$298 = 0, 0, '2.3 Selskabsspecifikke input'!U221 / '2.3 Selskabsspecifikke input'!U$298 )</f>
        <v>0</v>
      </c>
      <c r="V168" s="450">
        <f xml:space="preserve"> IF( '2.3 Selskabsspecifikke input'!V$298 = 0, 0, '2.3 Selskabsspecifikke input'!V221 / '2.3 Selskabsspecifikke input'!V$298 )</f>
        <v>0</v>
      </c>
      <c r="W168" s="1"/>
      <c r="X168" s="1"/>
      <c r="Y168" s="1"/>
      <c r="Z168" s="1"/>
      <c r="AA168" s="1"/>
      <c r="AB168" s="1"/>
      <c r="AC168" s="1"/>
      <c r="AD168" s="1"/>
      <c r="AE168" s="1"/>
    </row>
    <row r="169" spans="1:31" customFormat="1" ht="15" customHeight="1">
      <c r="A169" s="1"/>
      <c r="B169" s="1"/>
      <c r="C169" s="2"/>
      <c r="D169" s="124" t="s">
        <v>157</v>
      </c>
      <c r="E169" s="1"/>
      <c r="F169" s="107"/>
      <c r="G169" s="107"/>
      <c r="H169" s="107"/>
      <c r="I169" s="107"/>
      <c r="J169" s="107"/>
      <c r="K169" s="114" t="s">
        <v>4</v>
      </c>
      <c r="L169" s="85"/>
      <c r="M169" s="119"/>
      <c r="N169" s="107"/>
      <c r="O169" s="370"/>
      <c r="P169" s="370"/>
      <c r="Q169" s="370"/>
      <c r="R169" s="450">
        <f xml:space="preserve"> IF( '2.3 Selskabsspecifikke input'!R$298 = 0, 0, '2.3 Selskabsspecifikke input'!R222 / '2.3 Selskabsspecifikke input'!R$298 )</f>
        <v>0</v>
      </c>
      <c r="S169" s="450">
        <f xml:space="preserve"> IF( '2.3 Selskabsspecifikke input'!S$298 = 0, 0, '2.3 Selskabsspecifikke input'!S222 / '2.3 Selskabsspecifikke input'!S$298 )</f>
        <v>0</v>
      </c>
      <c r="T169" s="450">
        <f xml:space="preserve"> IF( '2.3 Selskabsspecifikke input'!T$298 = 0, 0, '2.3 Selskabsspecifikke input'!T222 / '2.3 Selskabsspecifikke input'!T$298 )</f>
        <v>0</v>
      </c>
      <c r="U169" s="450">
        <f xml:space="preserve"> IF( '2.3 Selskabsspecifikke input'!U$298 = 0, 0, '2.3 Selskabsspecifikke input'!U222 / '2.3 Selskabsspecifikke input'!U$298 )</f>
        <v>0</v>
      </c>
      <c r="V169" s="450">
        <f xml:space="preserve"> IF( '2.3 Selskabsspecifikke input'!V$298 = 0, 0, '2.3 Selskabsspecifikke input'!V222 / '2.3 Selskabsspecifikke input'!V$298 )</f>
        <v>0</v>
      </c>
      <c r="W169" s="1"/>
      <c r="X169" s="1"/>
      <c r="Y169" s="1"/>
      <c r="Z169" s="1"/>
      <c r="AA169" s="1"/>
      <c r="AB169" s="1"/>
      <c r="AC169" s="1"/>
      <c r="AD169" s="1"/>
      <c r="AE169" s="1"/>
    </row>
    <row r="170" spans="1:31" customFormat="1" ht="15" customHeight="1">
      <c r="A170" s="1"/>
      <c r="B170" s="1"/>
      <c r="C170" s="2"/>
      <c r="D170" s="124" t="s">
        <v>158</v>
      </c>
      <c r="E170" s="1"/>
      <c r="F170" s="107"/>
      <c r="G170" s="107"/>
      <c r="H170" s="107"/>
      <c r="I170" s="107"/>
      <c r="J170" s="107"/>
      <c r="K170" s="114" t="s">
        <v>4</v>
      </c>
      <c r="L170" s="85"/>
      <c r="M170" s="119"/>
      <c r="N170" s="107"/>
      <c r="O170" s="370"/>
      <c r="P170" s="370"/>
      <c r="Q170" s="370"/>
      <c r="R170" s="450">
        <f xml:space="preserve"> IF( '2.3 Selskabsspecifikke input'!R$298 = 0, 0, '2.3 Selskabsspecifikke input'!R223 / '2.3 Selskabsspecifikke input'!R$298 )</f>
        <v>0</v>
      </c>
      <c r="S170" s="450">
        <f xml:space="preserve"> IF( '2.3 Selskabsspecifikke input'!S$298 = 0, 0, '2.3 Selskabsspecifikke input'!S223 / '2.3 Selskabsspecifikke input'!S$298 )</f>
        <v>0</v>
      </c>
      <c r="T170" s="450">
        <f xml:space="preserve"> IF( '2.3 Selskabsspecifikke input'!T$298 = 0, 0, '2.3 Selskabsspecifikke input'!T223 / '2.3 Selskabsspecifikke input'!T$298 )</f>
        <v>0</v>
      </c>
      <c r="U170" s="450">
        <f xml:space="preserve"> IF( '2.3 Selskabsspecifikke input'!U$298 = 0, 0, '2.3 Selskabsspecifikke input'!U223 / '2.3 Selskabsspecifikke input'!U$298 )</f>
        <v>0</v>
      </c>
      <c r="V170" s="450">
        <f xml:space="preserve"> IF( '2.3 Selskabsspecifikke input'!V$298 = 0, 0, '2.3 Selskabsspecifikke input'!V223 / '2.3 Selskabsspecifikke input'!V$298 )</f>
        <v>0</v>
      </c>
      <c r="W170" s="1"/>
      <c r="X170" s="1"/>
      <c r="Y170" s="1"/>
      <c r="Z170" s="1"/>
      <c r="AA170" s="1"/>
      <c r="AB170" s="1"/>
      <c r="AC170" s="1"/>
      <c r="AD170" s="1"/>
      <c r="AE170" s="1"/>
    </row>
    <row r="171" spans="1:31" customFormat="1" ht="15" customHeight="1">
      <c r="A171" s="1"/>
      <c r="B171" s="1"/>
      <c r="C171" s="2"/>
      <c r="D171" s="124" t="s">
        <v>159</v>
      </c>
      <c r="E171" s="1"/>
      <c r="F171" s="107"/>
      <c r="G171" s="107"/>
      <c r="H171" s="107"/>
      <c r="I171" s="107"/>
      <c r="J171" s="107"/>
      <c r="K171" s="114" t="s">
        <v>4</v>
      </c>
      <c r="L171" s="85"/>
      <c r="M171" s="119"/>
      <c r="N171" s="107"/>
      <c r="O171" s="370"/>
      <c r="P171" s="370"/>
      <c r="Q171" s="370"/>
      <c r="R171" s="450">
        <f xml:space="preserve"> IF( '2.3 Selskabsspecifikke input'!R$298 = 0, 0, '2.3 Selskabsspecifikke input'!R224 / '2.3 Selskabsspecifikke input'!R$298 )</f>
        <v>0</v>
      </c>
      <c r="S171" s="450">
        <f xml:space="preserve"> IF( '2.3 Selskabsspecifikke input'!S$298 = 0, 0, '2.3 Selskabsspecifikke input'!S224 / '2.3 Selskabsspecifikke input'!S$298 )</f>
        <v>0</v>
      </c>
      <c r="T171" s="450">
        <f xml:space="preserve"> IF( '2.3 Selskabsspecifikke input'!T$298 = 0, 0, '2.3 Selskabsspecifikke input'!T224 / '2.3 Selskabsspecifikke input'!T$298 )</f>
        <v>0</v>
      </c>
      <c r="U171" s="450">
        <f xml:space="preserve"> IF( '2.3 Selskabsspecifikke input'!U$298 = 0, 0, '2.3 Selskabsspecifikke input'!U224 / '2.3 Selskabsspecifikke input'!U$298 )</f>
        <v>0</v>
      </c>
      <c r="V171" s="450">
        <f xml:space="preserve"> IF( '2.3 Selskabsspecifikke input'!V$298 = 0, 0, '2.3 Selskabsspecifikke input'!V224 / '2.3 Selskabsspecifikke input'!V$298 )</f>
        <v>0</v>
      </c>
      <c r="W171" s="1"/>
      <c r="X171" s="1"/>
      <c r="Y171" s="1"/>
      <c r="Z171" s="1"/>
      <c r="AA171" s="1"/>
      <c r="AB171" s="1"/>
      <c r="AC171" s="1"/>
      <c r="AD171" s="1"/>
      <c r="AE171" s="1"/>
    </row>
    <row r="172" spans="1:31" customFormat="1" ht="15" customHeight="1">
      <c r="A172" s="1"/>
      <c r="B172" s="1"/>
      <c r="C172" s="2"/>
      <c r="D172" s="124" t="s">
        <v>160</v>
      </c>
      <c r="E172" s="1"/>
      <c r="F172" s="107"/>
      <c r="G172" s="107"/>
      <c r="H172" s="107"/>
      <c r="I172" s="107"/>
      <c r="J172" s="107"/>
      <c r="K172" s="114" t="s">
        <v>4</v>
      </c>
      <c r="L172" s="85"/>
      <c r="M172" s="119"/>
      <c r="N172" s="107"/>
      <c r="O172" s="370"/>
      <c r="P172" s="370"/>
      <c r="Q172" s="370"/>
      <c r="R172" s="450">
        <f xml:space="preserve"> IF( '2.3 Selskabsspecifikke input'!R$298 = 0, 0, '2.3 Selskabsspecifikke input'!R225 / '2.3 Selskabsspecifikke input'!R$298 )</f>
        <v>0</v>
      </c>
      <c r="S172" s="450">
        <f xml:space="preserve"> IF( '2.3 Selskabsspecifikke input'!S$298 = 0, 0, '2.3 Selskabsspecifikke input'!S225 / '2.3 Selskabsspecifikke input'!S$298 )</f>
        <v>0</v>
      </c>
      <c r="T172" s="450">
        <f xml:space="preserve"> IF( '2.3 Selskabsspecifikke input'!T$298 = 0, 0, '2.3 Selskabsspecifikke input'!T225 / '2.3 Selskabsspecifikke input'!T$298 )</f>
        <v>0</v>
      </c>
      <c r="U172" s="450">
        <f xml:space="preserve"> IF( '2.3 Selskabsspecifikke input'!U$298 = 0, 0, '2.3 Selskabsspecifikke input'!U225 / '2.3 Selskabsspecifikke input'!U$298 )</f>
        <v>0</v>
      </c>
      <c r="V172" s="450">
        <f xml:space="preserve"> IF( '2.3 Selskabsspecifikke input'!V$298 = 0, 0, '2.3 Selskabsspecifikke input'!V225 / '2.3 Selskabsspecifikke input'!V$298 )</f>
        <v>0</v>
      </c>
      <c r="W172" s="1"/>
      <c r="X172" s="1"/>
      <c r="Y172" s="1"/>
      <c r="Z172" s="1"/>
      <c r="AA172" s="1"/>
      <c r="AB172" s="1"/>
      <c r="AC172" s="1"/>
      <c r="AD172" s="1"/>
      <c r="AE172" s="1"/>
    </row>
    <row r="173" spans="1:31" customFormat="1" ht="15" customHeight="1">
      <c r="A173" s="1"/>
      <c r="B173" s="1"/>
      <c r="C173" s="2"/>
      <c r="D173" s="124" t="s">
        <v>161</v>
      </c>
      <c r="E173" s="1"/>
      <c r="F173" s="107"/>
      <c r="G173" s="107"/>
      <c r="H173" s="107"/>
      <c r="I173" s="107"/>
      <c r="J173" s="107"/>
      <c r="K173" s="114" t="s">
        <v>4</v>
      </c>
      <c r="L173" s="85"/>
      <c r="M173" s="119"/>
      <c r="N173" s="107"/>
      <c r="O173" s="370"/>
      <c r="P173" s="370"/>
      <c r="Q173" s="370"/>
      <c r="R173" s="450">
        <f xml:space="preserve"> IF( '2.3 Selskabsspecifikke input'!R$298 = 0, 0, '2.3 Selskabsspecifikke input'!R226 / '2.3 Selskabsspecifikke input'!R$298 )</f>
        <v>0</v>
      </c>
      <c r="S173" s="450">
        <f xml:space="preserve"> IF( '2.3 Selskabsspecifikke input'!S$298 = 0, 0, '2.3 Selskabsspecifikke input'!S226 / '2.3 Selskabsspecifikke input'!S$298 )</f>
        <v>0</v>
      </c>
      <c r="T173" s="450">
        <f xml:space="preserve"> IF( '2.3 Selskabsspecifikke input'!T$298 = 0, 0, '2.3 Selskabsspecifikke input'!T226 / '2.3 Selskabsspecifikke input'!T$298 )</f>
        <v>0</v>
      </c>
      <c r="U173" s="450">
        <f xml:space="preserve"> IF( '2.3 Selskabsspecifikke input'!U$298 = 0, 0, '2.3 Selskabsspecifikke input'!U226 / '2.3 Selskabsspecifikke input'!U$298 )</f>
        <v>0</v>
      </c>
      <c r="V173" s="450">
        <f xml:space="preserve"> IF( '2.3 Selskabsspecifikke input'!V$298 = 0, 0, '2.3 Selskabsspecifikke input'!V226 / '2.3 Selskabsspecifikke input'!V$298 )</f>
        <v>0</v>
      </c>
      <c r="W173" s="1"/>
      <c r="X173" s="1"/>
      <c r="Y173" s="1"/>
      <c r="Z173" s="1"/>
      <c r="AA173" s="1"/>
      <c r="AB173" s="1"/>
      <c r="AC173" s="1"/>
      <c r="AD173" s="1"/>
      <c r="AE173" s="1"/>
    </row>
    <row r="174" spans="1:31" customFormat="1" ht="15" customHeight="1">
      <c r="A174" s="1"/>
      <c r="B174" s="1"/>
      <c r="C174" s="2"/>
      <c r="D174" s="124" t="s">
        <v>162</v>
      </c>
      <c r="E174" s="1"/>
      <c r="F174" s="107"/>
      <c r="G174" s="107"/>
      <c r="H174" s="107"/>
      <c r="I174" s="107"/>
      <c r="J174" s="107"/>
      <c r="K174" s="114" t="s">
        <v>4</v>
      </c>
      <c r="L174" s="85"/>
      <c r="M174" s="119"/>
      <c r="N174" s="107"/>
      <c r="O174" s="370"/>
      <c r="P174" s="370"/>
      <c r="Q174" s="370"/>
      <c r="R174" s="450">
        <f xml:space="preserve"> IF( '2.3 Selskabsspecifikke input'!R$298 = 0, 0, '2.3 Selskabsspecifikke input'!R227 / '2.3 Selskabsspecifikke input'!R$298 )</f>
        <v>0</v>
      </c>
      <c r="S174" s="450">
        <f xml:space="preserve"> IF( '2.3 Selskabsspecifikke input'!S$298 = 0, 0, '2.3 Selskabsspecifikke input'!S227 / '2.3 Selskabsspecifikke input'!S$298 )</f>
        <v>0</v>
      </c>
      <c r="T174" s="450">
        <f xml:space="preserve"> IF( '2.3 Selskabsspecifikke input'!T$298 = 0, 0, '2.3 Selskabsspecifikke input'!T227 / '2.3 Selskabsspecifikke input'!T$298 )</f>
        <v>0</v>
      </c>
      <c r="U174" s="450">
        <f xml:space="preserve"> IF( '2.3 Selskabsspecifikke input'!U$298 = 0, 0, '2.3 Selskabsspecifikke input'!U227 / '2.3 Selskabsspecifikke input'!U$298 )</f>
        <v>0</v>
      </c>
      <c r="V174" s="450">
        <f xml:space="preserve"> IF( '2.3 Selskabsspecifikke input'!V$298 = 0, 0, '2.3 Selskabsspecifikke input'!V227 / '2.3 Selskabsspecifikke input'!V$298 )</f>
        <v>0</v>
      </c>
      <c r="W174" s="1"/>
      <c r="X174" s="1"/>
      <c r="Y174" s="1"/>
      <c r="Z174" s="1"/>
      <c r="AA174" s="1"/>
      <c r="AB174" s="1"/>
      <c r="AC174" s="1"/>
      <c r="AD174" s="1"/>
      <c r="AE174" s="1"/>
    </row>
    <row r="175" spans="1:31" customFormat="1" ht="15" customHeight="1">
      <c r="A175" s="1"/>
      <c r="B175" s="1"/>
      <c r="C175" s="2"/>
      <c r="D175" s="124" t="s">
        <v>163</v>
      </c>
      <c r="E175" s="1"/>
      <c r="F175" s="107"/>
      <c r="G175" s="107"/>
      <c r="H175" s="107"/>
      <c r="I175" s="107"/>
      <c r="J175" s="107"/>
      <c r="K175" s="114" t="s">
        <v>4</v>
      </c>
      <c r="L175" s="85"/>
      <c r="M175" s="119"/>
      <c r="N175" s="107"/>
      <c r="O175" s="370"/>
      <c r="P175" s="370"/>
      <c r="Q175" s="370"/>
      <c r="R175" s="450">
        <f xml:space="preserve"> IF( '2.3 Selskabsspecifikke input'!R$298 = 0, 0, '2.3 Selskabsspecifikke input'!R228 / '2.3 Selskabsspecifikke input'!R$298 )</f>
        <v>0</v>
      </c>
      <c r="S175" s="450">
        <f xml:space="preserve"> IF( '2.3 Selskabsspecifikke input'!S$298 = 0, 0, '2.3 Selskabsspecifikke input'!S228 / '2.3 Selskabsspecifikke input'!S$298 )</f>
        <v>0</v>
      </c>
      <c r="T175" s="450">
        <f xml:space="preserve"> IF( '2.3 Selskabsspecifikke input'!T$298 = 0, 0, '2.3 Selskabsspecifikke input'!T228 / '2.3 Selskabsspecifikke input'!T$298 )</f>
        <v>0</v>
      </c>
      <c r="U175" s="450">
        <f xml:space="preserve"> IF( '2.3 Selskabsspecifikke input'!U$298 = 0, 0, '2.3 Selskabsspecifikke input'!U228 / '2.3 Selskabsspecifikke input'!U$298 )</f>
        <v>0</v>
      </c>
      <c r="V175" s="450">
        <f xml:space="preserve"> IF( '2.3 Selskabsspecifikke input'!V$298 = 0, 0, '2.3 Selskabsspecifikke input'!V228 / '2.3 Selskabsspecifikke input'!V$298 )</f>
        <v>0</v>
      </c>
      <c r="W175" s="1"/>
      <c r="X175" s="1"/>
      <c r="Y175" s="1"/>
      <c r="Z175" s="1"/>
      <c r="AA175" s="1"/>
      <c r="AB175" s="1"/>
      <c r="AC175" s="1"/>
      <c r="AD175" s="1"/>
      <c r="AE175" s="1"/>
    </row>
    <row r="176" spans="1:31" customFormat="1" ht="15" customHeight="1">
      <c r="A176" s="1"/>
      <c r="B176" s="1"/>
      <c r="C176" s="2"/>
      <c r="D176" s="124" t="s">
        <v>164</v>
      </c>
      <c r="E176" s="1"/>
      <c r="F176" s="107"/>
      <c r="G176" s="107"/>
      <c r="H176" s="107"/>
      <c r="I176" s="107"/>
      <c r="J176" s="107"/>
      <c r="K176" s="114" t="s">
        <v>4</v>
      </c>
      <c r="L176" s="85"/>
      <c r="M176" s="119"/>
      <c r="N176" s="107"/>
      <c r="O176" s="370"/>
      <c r="P176" s="370"/>
      <c r="Q176" s="370"/>
      <c r="R176" s="450">
        <f xml:space="preserve"> IF( '2.3 Selskabsspecifikke input'!R$298 = 0, 0, '2.3 Selskabsspecifikke input'!R229 / '2.3 Selskabsspecifikke input'!R$298 )</f>
        <v>0</v>
      </c>
      <c r="S176" s="450">
        <f xml:space="preserve"> IF( '2.3 Selskabsspecifikke input'!S$298 = 0, 0, '2.3 Selskabsspecifikke input'!S229 / '2.3 Selskabsspecifikke input'!S$298 )</f>
        <v>0</v>
      </c>
      <c r="T176" s="450">
        <f xml:space="preserve"> IF( '2.3 Selskabsspecifikke input'!T$298 = 0, 0, '2.3 Selskabsspecifikke input'!T229 / '2.3 Selskabsspecifikke input'!T$298 )</f>
        <v>0</v>
      </c>
      <c r="U176" s="450">
        <f xml:space="preserve"> IF( '2.3 Selskabsspecifikke input'!U$298 = 0, 0, '2.3 Selskabsspecifikke input'!U229 / '2.3 Selskabsspecifikke input'!U$298 )</f>
        <v>0</v>
      </c>
      <c r="V176" s="450">
        <f xml:space="preserve"> IF( '2.3 Selskabsspecifikke input'!V$298 = 0, 0, '2.3 Selskabsspecifikke input'!V229 / '2.3 Selskabsspecifikke input'!V$298 )</f>
        <v>0</v>
      </c>
      <c r="W176" s="1"/>
      <c r="X176" s="1"/>
      <c r="Y176" s="1"/>
      <c r="Z176" s="1"/>
      <c r="AA176" s="1"/>
      <c r="AB176" s="1"/>
      <c r="AC176" s="1"/>
      <c r="AD176" s="1"/>
      <c r="AE176" s="1"/>
    </row>
    <row r="177" spans="1:31" customFormat="1" ht="15" customHeight="1">
      <c r="A177" s="1"/>
      <c r="B177" s="1"/>
      <c r="C177" s="2"/>
      <c r="D177" s="124" t="s">
        <v>165</v>
      </c>
      <c r="E177" s="1"/>
      <c r="F177" s="107"/>
      <c r="G177" s="107"/>
      <c r="H177" s="107"/>
      <c r="I177" s="107"/>
      <c r="J177" s="107"/>
      <c r="K177" s="114" t="s">
        <v>4</v>
      </c>
      <c r="L177" s="85"/>
      <c r="M177" s="119"/>
      <c r="N177" s="107"/>
      <c r="O177" s="370"/>
      <c r="P177" s="370"/>
      <c r="Q177" s="370"/>
      <c r="R177" s="450">
        <f xml:space="preserve"> IF( '2.3 Selskabsspecifikke input'!R$298 = 0, 0, '2.3 Selskabsspecifikke input'!R230 / '2.3 Selskabsspecifikke input'!R$298 )</f>
        <v>0</v>
      </c>
      <c r="S177" s="450">
        <f xml:space="preserve"> IF( '2.3 Selskabsspecifikke input'!S$298 = 0, 0, '2.3 Selskabsspecifikke input'!S230 / '2.3 Selskabsspecifikke input'!S$298 )</f>
        <v>0</v>
      </c>
      <c r="T177" s="450">
        <f xml:space="preserve"> IF( '2.3 Selskabsspecifikke input'!T$298 = 0, 0, '2.3 Selskabsspecifikke input'!T230 / '2.3 Selskabsspecifikke input'!T$298 )</f>
        <v>0</v>
      </c>
      <c r="U177" s="450">
        <f xml:space="preserve"> IF( '2.3 Selskabsspecifikke input'!U$298 = 0, 0, '2.3 Selskabsspecifikke input'!U230 / '2.3 Selskabsspecifikke input'!U$298 )</f>
        <v>0</v>
      </c>
      <c r="V177" s="450">
        <f xml:space="preserve"> IF( '2.3 Selskabsspecifikke input'!V$298 = 0, 0, '2.3 Selskabsspecifikke input'!V230 / '2.3 Selskabsspecifikke input'!V$298 )</f>
        <v>0</v>
      </c>
      <c r="W177" s="1"/>
      <c r="X177" s="1"/>
      <c r="Y177" s="1"/>
      <c r="Z177" s="1"/>
      <c r="AA177" s="1"/>
      <c r="AB177" s="1"/>
      <c r="AC177" s="1"/>
      <c r="AD177" s="1"/>
      <c r="AE177" s="1"/>
    </row>
    <row r="178" spans="1:31" customFormat="1" ht="15" customHeight="1">
      <c r="A178" s="1"/>
      <c r="B178" s="1"/>
      <c r="C178" s="2"/>
      <c r="D178" s="124" t="s">
        <v>166</v>
      </c>
      <c r="E178" s="1"/>
      <c r="F178" s="107"/>
      <c r="G178" s="107"/>
      <c r="H178" s="107"/>
      <c r="I178" s="107"/>
      <c r="J178" s="107"/>
      <c r="K178" s="114" t="s">
        <v>4</v>
      </c>
      <c r="L178" s="85"/>
      <c r="M178" s="119"/>
      <c r="N178" s="107"/>
      <c r="O178" s="370"/>
      <c r="P178" s="370"/>
      <c r="Q178" s="370"/>
      <c r="R178" s="450">
        <f xml:space="preserve"> IF( '2.3 Selskabsspecifikke input'!R$298 = 0, 0, '2.3 Selskabsspecifikke input'!R231 / '2.3 Selskabsspecifikke input'!R$298 )</f>
        <v>0</v>
      </c>
      <c r="S178" s="450">
        <f xml:space="preserve"> IF( '2.3 Selskabsspecifikke input'!S$298 = 0, 0, '2.3 Selskabsspecifikke input'!S231 / '2.3 Selskabsspecifikke input'!S$298 )</f>
        <v>0</v>
      </c>
      <c r="T178" s="450">
        <f xml:space="preserve"> IF( '2.3 Selskabsspecifikke input'!T$298 = 0, 0, '2.3 Selskabsspecifikke input'!T231 / '2.3 Selskabsspecifikke input'!T$298 )</f>
        <v>0</v>
      </c>
      <c r="U178" s="450">
        <f xml:space="preserve"> IF( '2.3 Selskabsspecifikke input'!U$298 = 0, 0, '2.3 Selskabsspecifikke input'!U231 / '2.3 Selskabsspecifikke input'!U$298 )</f>
        <v>0</v>
      </c>
      <c r="V178" s="450">
        <f xml:space="preserve"> IF( '2.3 Selskabsspecifikke input'!V$298 = 0, 0, '2.3 Selskabsspecifikke input'!V231 / '2.3 Selskabsspecifikke input'!V$298 )</f>
        <v>0</v>
      </c>
      <c r="W178" s="1"/>
      <c r="X178" s="1"/>
      <c r="Y178" s="1"/>
      <c r="Z178" s="1"/>
      <c r="AA178" s="1"/>
      <c r="AB178" s="1"/>
      <c r="AC178" s="1"/>
      <c r="AD178" s="1"/>
      <c r="AE178" s="1"/>
    </row>
    <row r="179" spans="1:31" customFormat="1" ht="15" customHeight="1">
      <c r="A179" s="1"/>
      <c r="B179" s="1"/>
      <c r="C179" s="2"/>
      <c r="D179" s="124" t="s">
        <v>167</v>
      </c>
      <c r="E179" s="1"/>
      <c r="F179" s="107"/>
      <c r="G179" s="107"/>
      <c r="H179" s="107"/>
      <c r="I179" s="107"/>
      <c r="J179" s="107"/>
      <c r="K179" s="114" t="s">
        <v>4</v>
      </c>
      <c r="L179" s="85"/>
      <c r="M179" s="119"/>
      <c r="N179" s="107"/>
      <c r="O179" s="370"/>
      <c r="P179" s="370"/>
      <c r="Q179" s="370"/>
      <c r="R179" s="450">
        <f xml:space="preserve"> IF( '2.3 Selskabsspecifikke input'!R$298 = 0, 0, '2.3 Selskabsspecifikke input'!R232 / '2.3 Selskabsspecifikke input'!R$298 )</f>
        <v>0</v>
      </c>
      <c r="S179" s="450">
        <f xml:space="preserve"> IF( '2.3 Selskabsspecifikke input'!S$298 = 0, 0, '2.3 Selskabsspecifikke input'!S232 / '2.3 Selskabsspecifikke input'!S$298 )</f>
        <v>0</v>
      </c>
      <c r="T179" s="450">
        <f xml:space="preserve"> IF( '2.3 Selskabsspecifikke input'!T$298 = 0, 0, '2.3 Selskabsspecifikke input'!T232 / '2.3 Selskabsspecifikke input'!T$298 )</f>
        <v>0</v>
      </c>
      <c r="U179" s="450">
        <f xml:space="preserve"> IF( '2.3 Selskabsspecifikke input'!U$298 = 0, 0, '2.3 Selskabsspecifikke input'!U232 / '2.3 Selskabsspecifikke input'!U$298 )</f>
        <v>0</v>
      </c>
      <c r="V179" s="450">
        <f xml:space="preserve"> IF( '2.3 Selskabsspecifikke input'!V$298 = 0, 0, '2.3 Selskabsspecifikke input'!V232 / '2.3 Selskabsspecifikke input'!V$298 )</f>
        <v>0</v>
      </c>
      <c r="W179" s="1"/>
      <c r="X179" s="1"/>
      <c r="Y179" s="1"/>
      <c r="Z179" s="1"/>
      <c r="AA179" s="1"/>
      <c r="AB179" s="1"/>
      <c r="AC179" s="1"/>
      <c r="AD179" s="1"/>
      <c r="AE179" s="1"/>
    </row>
    <row r="180" spans="1:31" customFormat="1" ht="15" customHeight="1">
      <c r="A180" s="1"/>
      <c r="B180" s="1"/>
      <c r="C180" s="2"/>
      <c r="D180" s="124" t="s">
        <v>168</v>
      </c>
      <c r="E180" s="1"/>
      <c r="F180" s="107"/>
      <c r="G180" s="107"/>
      <c r="H180" s="107"/>
      <c r="I180" s="107"/>
      <c r="J180" s="107"/>
      <c r="K180" s="114" t="s">
        <v>4</v>
      </c>
      <c r="L180" s="85"/>
      <c r="M180" s="119"/>
      <c r="N180" s="107"/>
      <c r="O180" s="370"/>
      <c r="P180" s="370"/>
      <c r="Q180" s="370"/>
      <c r="R180" s="450">
        <f xml:space="preserve"> IF( '2.3 Selskabsspecifikke input'!R$298 = 0, 0, '2.3 Selskabsspecifikke input'!R233 / '2.3 Selskabsspecifikke input'!R$298 )</f>
        <v>0</v>
      </c>
      <c r="S180" s="450">
        <f xml:space="preserve"> IF( '2.3 Selskabsspecifikke input'!S$298 = 0, 0, '2.3 Selskabsspecifikke input'!S233 / '2.3 Selskabsspecifikke input'!S$298 )</f>
        <v>0</v>
      </c>
      <c r="T180" s="450">
        <f xml:space="preserve"> IF( '2.3 Selskabsspecifikke input'!T$298 = 0, 0, '2.3 Selskabsspecifikke input'!T233 / '2.3 Selskabsspecifikke input'!T$298 )</f>
        <v>0</v>
      </c>
      <c r="U180" s="450">
        <f xml:space="preserve"> IF( '2.3 Selskabsspecifikke input'!U$298 = 0, 0, '2.3 Selskabsspecifikke input'!U233 / '2.3 Selskabsspecifikke input'!U$298 )</f>
        <v>0</v>
      </c>
      <c r="V180" s="450">
        <f xml:space="preserve"> IF( '2.3 Selskabsspecifikke input'!V$298 = 0, 0, '2.3 Selskabsspecifikke input'!V233 / '2.3 Selskabsspecifikke input'!V$298 )</f>
        <v>0</v>
      </c>
      <c r="W180" s="1"/>
      <c r="X180" s="1"/>
      <c r="Y180" s="1"/>
      <c r="Z180" s="1"/>
      <c r="AA180" s="1"/>
      <c r="AB180" s="1"/>
      <c r="AC180" s="1"/>
      <c r="AD180" s="1"/>
      <c r="AE180" s="1"/>
    </row>
    <row r="181" spans="1:31" customFormat="1" ht="15" customHeight="1">
      <c r="A181" s="1"/>
      <c r="B181" s="1"/>
      <c r="C181" s="2"/>
      <c r="D181" s="124" t="s">
        <v>169</v>
      </c>
      <c r="E181" s="1"/>
      <c r="F181" s="107"/>
      <c r="G181" s="107"/>
      <c r="H181" s="107"/>
      <c r="I181" s="107"/>
      <c r="J181" s="107"/>
      <c r="K181" s="114" t="s">
        <v>4</v>
      </c>
      <c r="L181" s="85"/>
      <c r="M181" s="119"/>
      <c r="N181" s="107"/>
      <c r="O181" s="370"/>
      <c r="P181" s="370"/>
      <c r="Q181" s="370"/>
      <c r="R181" s="450">
        <f xml:space="preserve"> IF( '2.3 Selskabsspecifikke input'!R$298 = 0, 0, '2.3 Selskabsspecifikke input'!R234 / '2.3 Selskabsspecifikke input'!R$298 )</f>
        <v>0</v>
      </c>
      <c r="S181" s="450">
        <f xml:space="preserve"> IF( '2.3 Selskabsspecifikke input'!S$298 = 0, 0, '2.3 Selskabsspecifikke input'!S234 / '2.3 Selskabsspecifikke input'!S$298 )</f>
        <v>0</v>
      </c>
      <c r="T181" s="450">
        <f xml:space="preserve"> IF( '2.3 Selskabsspecifikke input'!T$298 = 0, 0, '2.3 Selskabsspecifikke input'!T234 / '2.3 Selskabsspecifikke input'!T$298 )</f>
        <v>0</v>
      </c>
      <c r="U181" s="450">
        <f xml:space="preserve"> IF( '2.3 Selskabsspecifikke input'!U$298 = 0, 0, '2.3 Selskabsspecifikke input'!U234 / '2.3 Selskabsspecifikke input'!U$298 )</f>
        <v>0</v>
      </c>
      <c r="V181" s="450">
        <f xml:space="preserve"> IF( '2.3 Selskabsspecifikke input'!V$298 = 0, 0, '2.3 Selskabsspecifikke input'!V234 / '2.3 Selskabsspecifikke input'!V$298 )</f>
        <v>0</v>
      </c>
      <c r="W181" s="1"/>
      <c r="X181" s="1"/>
      <c r="Y181" s="1"/>
      <c r="Z181" s="1"/>
      <c r="AA181" s="1"/>
      <c r="AB181" s="1"/>
      <c r="AC181" s="1"/>
      <c r="AD181" s="1"/>
      <c r="AE181" s="1"/>
    </row>
    <row r="182" spans="1:31" customFormat="1" ht="15" customHeight="1">
      <c r="A182" s="1"/>
      <c r="B182" s="1"/>
      <c r="C182" s="2"/>
      <c r="D182" s="124" t="s">
        <v>170</v>
      </c>
      <c r="E182" s="1"/>
      <c r="F182" s="107"/>
      <c r="G182" s="107"/>
      <c r="H182" s="107"/>
      <c r="I182" s="107"/>
      <c r="J182" s="107"/>
      <c r="K182" s="114" t="s">
        <v>4</v>
      </c>
      <c r="L182" s="85"/>
      <c r="M182" s="119"/>
      <c r="N182" s="107"/>
      <c r="O182" s="370"/>
      <c r="P182" s="370"/>
      <c r="Q182" s="370"/>
      <c r="R182" s="450">
        <f xml:space="preserve"> IF( '2.3 Selskabsspecifikke input'!R$298 = 0, 0, '2.3 Selskabsspecifikke input'!R235 / '2.3 Selskabsspecifikke input'!R$298 )</f>
        <v>0</v>
      </c>
      <c r="S182" s="450">
        <f xml:space="preserve"> IF( '2.3 Selskabsspecifikke input'!S$298 = 0, 0, '2.3 Selskabsspecifikke input'!S235 / '2.3 Selskabsspecifikke input'!S$298 )</f>
        <v>0</v>
      </c>
      <c r="T182" s="450">
        <f xml:space="preserve"> IF( '2.3 Selskabsspecifikke input'!T$298 = 0, 0, '2.3 Selskabsspecifikke input'!T235 / '2.3 Selskabsspecifikke input'!T$298 )</f>
        <v>0</v>
      </c>
      <c r="U182" s="450">
        <f xml:space="preserve"> IF( '2.3 Selskabsspecifikke input'!U$298 = 0, 0, '2.3 Selskabsspecifikke input'!U235 / '2.3 Selskabsspecifikke input'!U$298 )</f>
        <v>0</v>
      </c>
      <c r="V182" s="450">
        <f xml:space="preserve"> IF( '2.3 Selskabsspecifikke input'!V$298 = 0, 0, '2.3 Selskabsspecifikke input'!V235 / '2.3 Selskabsspecifikke input'!V$298 )</f>
        <v>0</v>
      </c>
      <c r="W182" s="1"/>
      <c r="X182" s="1"/>
      <c r="Y182" s="1"/>
      <c r="Z182" s="1"/>
      <c r="AA182" s="1"/>
      <c r="AB182" s="1"/>
      <c r="AC182" s="1"/>
      <c r="AD182" s="1"/>
      <c r="AE182" s="1"/>
    </row>
    <row r="183" spans="1:31" customFormat="1" ht="15" customHeight="1">
      <c r="A183" s="1"/>
      <c r="B183" s="1"/>
      <c r="C183" s="2"/>
      <c r="D183" s="124" t="s">
        <v>171</v>
      </c>
      <c r="E183" s="1"/>
      <c r="F183" s="107"/>
      <c r="G183" s="107"/>
      <c r="H183" s="107"/>
      <c r="I183" s="107"/>
      <c r="J183" s="107"/>
      <c r="K183" s="114" t="s">
        <v>4</v>
      </c>
      <c r="L183" s="85"/>
      <c r="M183" s="119"/>
      <c r="N183" s="107"/>
      <c r="O183" s="370"/>
      <c r="P183" s="370"/>
      <c r="Q183" s="370"/>
      <c r="R183" s="450">
        <f xml:space="preserve"> IF( '2.3 Selskabsspecifikke input'!R$298 = 0, 0, '2.3 Selskabsspecifikke input'!R236 / '2.3 Selskabsspecifikke input'!R$298 )</f>
        <v>0</v>
      </c>
      <c r="S183" s="450">
        <f xml:space="preserve"> IF( '2.3 Selskabsspecifikke input'!S$298 = 0, 0, '2.3 Selskabsspecifikke input'!S236 / '2.3 Selskabsspecifikke input'!S$298 )</f>
        <v>0</v>
      </c>
      <c r="T183" s="450">
        <f xml:space="preserve"> IF( '2.3 Selskabsspecifikke input'!T$298 = 0, 0, '2.3 Selskabsspecifikke input'!T236 / '2.3 Selskabsspecifikke input'!T$298 )</f>
        <v>0</v>
      </c>
      <c r="U183" s="450">
        <f xml:space="preserve"> IF( '2.3 Selskabsspecifikke input'!U$298 = 0, 0, '2.3 Selskabsspecifikke input'!U236 / '2.3 Selskabsspecifikke input'!U$298 )</f>
        <v>0</v>
      </c>
      <c r="V183" s="450">
        <f xml:space="preserve"> IF( '2.3 Selskabsspecifikke input'!V$298 = 0, 0, '2.3 Selskabsspecifikke input'!V236 / '2.3 Selskabsspecifikke input'!V$298 )</f>
        <v>0</v>
      </c>
      <c r="W183" s="1"/>
      <c r="X183" s="1"/>
      <c r="Y183" s="1"/>
      <c r="Z183" s="1"/>
      <c r="AA183" s="1"/>
      <c r="AB183" s="1"/>
      <c r="AC183" s="1"/>
      <c r="AD183" s="1"/>
      <c r="AE183" s="1"/>
    </row>
    <row r="184" spans="1:31" customFormat="1" ht="15" customHeight="1">
      <c r="A184" s="1"/>
      <c r="B184" s="1"/>
      <c r="C184" s="2"/>
      <c r="D184" s="124" t="s">
        <v>172</v>
      </c>
      <c r="E184" s="1"/>
      <c r="F184" s="107"/>
      <c r="G184" s="107"/>
      <c r="H184" s="107"/>
      <c r="I184" s="107"/>
      <c r="J184" s="107"/>
      <c r="K184" s="114" t="s">
        <v>4</v>
      </c>
      <c r="L184" s="85"/>
      <c r="M184" s="119"/>
      <c r="N184" s="107"/>
      <c r="O184" s="370"/>
      <c r="P184" s="370"/>
      <c r="Q184" s="370"/>
      <c r="R184" s="450">
        <f xml:space="preserve"> IF( '2.3 Selskabsspecifikke input'!R$298 = 0, 0, '2.3 Selskabsspecifikke input'!R237 / '2.3 Selskabsspecifikke input'!R$298 )</f>
        <v>0</v>
      </c>
      <c r="S184" s="450">
        <f xml:space="preserve"> IF( '2.3 Selskabsspecifikke input'!S$298 = 0, 0, '2.3 Selskabsspecifikke input'!S237 / '2.3 Selskabsspecifikke input'!S$298 )</f>
        <v>0</v>
      </c>
      <c r="T184" s="450">
        <f xml:space="preserve"> IF( '2.3 Selskabsspecifikke input'!T$298 = 0, 0, '2.3 Selskabsspecifikke input'!T237 / '2.3 Selskabsspecifikke input'!T$298 )</f>
        <v>0</v>
      </c>
      <c r="U184" s="450">
        <f xml:space="preserve"> IF( '2.3 Selskabsspecifikke input'!U$298 = 0, 0, '2.3 Selskabsspecifikke input'!U237 / '2.3 Selskabsspecifikke input'!U$298 )</f>
        <v>0</v>
      </c>
      <c r="V184" s="450">
        <f xml:space="preserve"> IF( '2.3 Selskabsspecifikke input'!V$298 = 0, 0, '2.3 Selskabsspecifikke input'!V237 / '2.3 Selskabsspecifikke input'!V$298 )</f>
        <v>0</v>
      </c>
      <c r="W184" s="1"/>
      <c r="X184" s="1"/>
      <c r="Y184" s="1"/>
      <c r="Z184" s="1"/>
      <c r="AA184" s="1"/>
      <c r="AB184" s="1"/>
      <c r="AC184" s="1"/>
      <c r="AD184" s="1"/>
      <c r="AE184" s="1"/>
    </row>
    <row r="185" spans="1:31" customFormat="1" ht="15" customHeight="1">
      <c r="A185" s="1"/>
      <c r="B185" s="1"/>
      <c r="C185" s="2"/>
      <c r="D185" s="124" t="s">
        <v>173</v>
      </c>
      <c r="E185" s="1"/>
      <c r="F185" s="107"/>
      <c r="G185" s="107"/>
      <c r="H185" s="107"/>
      <c r="I185" s="107"/>
      <c r="J185" s="107"/>
      <c r="K185" s="114" t="s">
        <v>4</v>
      </c>
      <c r="L185" s="85"/>
      <c r="M185" s="119"/>
      <c r="N185" s="107"/>
      <c r="O185" s="370"/>
      <c r="P185" s="370"/>
      <c r="Q185" s="370"/>
      <c r="R185" s="450">
        <f xml:space="preserve"> IF( '2.3 Selskabsspecifikke input'!R$298 = 0, 0, '2.3 Selskabsspecifikke input'!R238 / '2.3 Selskabsspecifikke input'!R$298 )</f>
        <v>0</v>
      </c>
      <c r="S185" s="450">
        <f xml:space="preserve"> IF( '2.3 Selskabsspecifikke input'!S$298 = 0, 0, '2.3 Selskabsspecifikke input'!S238 / '2.3 Selskabsspecifikke input'!S$298 )</f>
        <v>0</v>
      </c>
      <c r="T185" s="450">
        <f xml:space="preserve"> IF( '2.3 Selskabsspecifikke input'!T$298 = 0, 0, '2.3 Selskabsspecifikke input'!T238 / '2.3 Selskabsspecifikke input'!T$298 )</f>
        <v>0</v>
      </c>
      <c r="U185" s="450">
        <f xml:space="preserve"> IF( '2.3 Selskabsspecifikke input'!U$298 = 0, 0, '2.3 Selskabsspecifikke input'!U238 / '2.3 Selskabsspecifikke input'!U$298 )</f>
        <v>0</v>
      </c>
      <c r="V185" s="450">
        <f xml:space="preserve"> IF( '2.3 Selskabsspecifikke input'!V$298 = 0, 0, '2.3 Selskabsspecifikke input'!V238 / '2.3 Selskabsspecifikke input'!V$298 )</f>
        <v>0</v>
      </c>
      <c r="W185" s="1"/>
      <c r="X185" s="1"/>
      <c r="Y185" s="1"/>
      <c r="Z185" s="1"/>
      <c r="AA185" s="1"/>
      <c r="AB185" s="1"/>
      <c r="AC185" s="1"/>
      <c r="AD185" s="1"/>
      <c r="AE185" s="1"/>
    </row>
    <row r="186" spans="1:31" customFormat="1" ht="15" customHeight="1">
      <c r="A186" s="1"/>
      <c r="B186" s="1"/>
      <c r="C186" s="2"/>
      <c r="D186" s="124" t="s">
        <v>174</v>
      </c>
      <c r="E186" s="1"/>
      <c r="F186" s="107"/>
      <c r="G186" s="107"/>
      <c r="H186" s="107"/>
      <c r="I186" s="107"/>
      <c r="J186" s="107"/>
      <c r="K186" s="114" t="s">
        <v>4</v>
      </c>
      <c r="L186" s="85"/>
      <c r="M186" s="119"/>
      <c r="N186" s="107"/>
      <c r="O186" s="370"/>
      <c r="P186" s="370"/>
      <c r="Q186" s="370"/>
      <c r="R186" s="450">
        <f xml:space="preserve"> IF( '2.3 Selskabsspecifikke input'!R$298 = 0, 0, '2.3 Selskabsspecifikke input'!R239 / '2.3 Selskabsspecifikke input'!R$298 )</f>
        <v>0</v>
      </c>
      <c r="S186" s="450">
        <f xml:space="preserve"> IF( '2.3 Selskabsspecifikke input'!S$298 = 0, 0, '2.3 Selskabsspecifikke input'!S239 / '2.3 Selskabsspecifikke input'!S$298 )</f>
        <v>0</v>
      </c>
      <c r="T186" s="450">
        <f xml:space="preserve"> IF( '2.3 Selskabsspecifikke input'!T$298 = 0, 0, '2.3 Selskabsspecifikke input'!T239 / '2.3 Selskabsspecifikke input'!T$298 )</f>
        <v>0</v>
      </c>
      <c r="U186" s="450">
        <f xml:space="preserve"> IF( '2.3 Selskabsspecifikke input'!U$298 = 0, 0, '2.3 Selskabsspecifikke input'!U239 / '2.3 Selskabsspecifikke input'!U$298 )</f>
        <v>0</v>
      </c>
      <c r="V186" s="450">
        <f xml:space="preserve"> IF( '2.3 Selskabsspecifikke input'!V$298 = 0, 0, '2.3 Selskabsspecifikke input'!V239 / '2.3 Selskabsspecifikke input'!V$298 )</f>
        <v>0</v>
      </c>
      <c r="W186" s="1"/>
      <c r="X186" s="1"/>
      <c r="Y186" s="1"/>
      <c r="Z186" s="1"/>
      <c r="AA186" s="1"/>
      <c r="AB186" s="1"/>
      <c r="AC186" s="1"/>
      <c r="AD186" s="1"/>
      <c r="AE186" s="1"/>
    </row>
    <row r="187" spans="1:31" customFormat="1" ht="15" customHeight="1">
      <c r="A187" s="1"/>
      <c r="B187" s="1"/>
      <c r="C187" s="2"/>
      <c r="D187" s="125" t="s">
        <v>175</v>
      </c>
      <c r="E187" s="27"/>
      <c r="F187" s="115"/>
      <c r="G187" s="115"/>
      <c r="H187" s="115"/>
      <c r="I187" s="115"/>
      <c r="J187" s="115"/>
      <c r="K187" s="127" t="s">
        <v>4</v>
      </c>
      <c r="L187" s="99"/>
      <c r="M187" s="151"/>
      <c r="N187" s="115"/>
      <c r="O187" s="368"/>
      <c r="P187" s="368"/>
      <c r="Q187" s="368"/>
      <c r="R187" s="451">
        <f xml:space="preserve"> IF( '2.3 Selskabsspecifikke input'!R$298 = 0, 0, '2.3 Selskabsspecifikke input'!R240 / '2.3 Selskabsspecifikke input'!R$298 )</f>
        <v>0</v>
      </c>
      <c r="S187" s="451">
        <f xml:space="preserve"> IF( '2.3 Selskabsspecifikke input'!S$298 = 0, 0, '2.3 Selskabsspecifikke input'!S240 / '2.3 Selskabsspecifikke input'!S$298 )</f>
        <v>0</v>
      </c>
      <c r="T187" s="451">
        <f xml:space="preserve"> IF( '2.3 Selskabsspecifikke input'!T$298 = 0, 0, '2.3 Selskabsspecifikke input'!T240 / '2.3 Selskabsspecifikke input'!T$298 )</f>
        <v>0</v>
      </c>
      <c r="U187" s="451">
        <f xml:space="preserve"> IF( '2.3 Selskabsspecifikke input'!U$298 = 0, 0, '2.3 Selskabsspecifikke input'!U240 / '2.3 Selskabsspecifikke input'!U$298 )</f>
        <v>0</v>
      </c>
      <c r="V187" s="451">
        <f xml:space="preserve"> IF( '2.3 Selskabsspecifikke input'!V$298 = 0, 0, '2.3 Selskabsspecifikke input'!V240 / '2.3 Selskabsspecifikke input'!V$298 )</f>
        <v>0</v>
      </c>
      <c r="W187" s="27"/>
      <c r="X187" s="1"/>
      <c r="Y187" s="1"/>
      <c r="Z187" s="1"/>
      <c r="AA187" s="1"/>
      <c r="AB187" s="1"/>
      <c r="AC187" s="1"/>
      <c r="AD187" s="1"/>
      <c r="AE187" s="1"/>
    </row>
    <row r="188" spans="1:31" customFormat="1" ht="15" customHeight="1">
      <c r="A188" s="1"/>
      <c r="B188" s="1"/>
      <c r="C188" s="2"/>
      <c r="D188" s="105" t="s">
        <v>16</v>
      </c>
      <c r="E188" s="186"/>
      <c r="F188" s="120"/>
      <c r="G188" s="120"/>
      <c r="H188" s="120"/>
      <c r="I188" s="120"/>
      <c r="J188" s="120"/>
      <c r="K188" s="106" t="s">
        <v>4</v>
      </c>
      <c r="L188" s="105"/>
      <c r="M188" s="105"/>
      <c r="N188" s="120"/>
      <c r="O188" s="371"/>
      <c r="P188" s="371"/>
      <c r="Q188" s="371"/>
      <c r="R188" s="199">
        <f xml:space="preserve"> SUM( R164:R187 )</f>
        <v>0</v>
      </c>
      <c r="S188" s="199">
        <f xml:space="preserve"> SUM( S164:S187 )</f>
        <v>0</v>
      </c>
      <c r="T188" s="199">
        <f xml:space="preserve"> SUM( T164:T187 )</f>
        <v>0</v>
      </c>
      <c r="U188" s="199">
        <f xml:space="preserve"> SUM( U164:U187 )</f>
        <v>0</v>
      </c>
      <c r="V188" s="199">
        <f xml:space="preserve"> SUM( V164:V187 )</f>
        <v>0</v>
      </c>
      <c r="W188" s="33"/>
      <c r="X188" s="1"/>
      <c r="Y188" s="1"/>
      <c r="Z188" s="1"/>
      <c r="AA188" s="1"/>
      <c r="AB188" s="1"/>
      <c r="AC188" s="1"/>
      <c r="AD188" s="1"/>
      <c r="AE188" s="1"/>
    </row>
    <row r="189" spans="1:31" customFormat="1" ht="15" customHeight="1">
      <c r="A189" s="1"/>
      <c r="B189" s="1"/>
      <c r="C189" s="2"/>
      <c r="D189" s="85"/>
      <c r="E189" s="1"/>
      <c r="F189" s="86"/>
      <c r="G189" s="86"/>
      <c r="H189" s="86"/>
      <c r="I189" s="86"/>
      <c r="J189" s="86"/>
      <c r="K189" s="87"/>
      <c r="L189" s="85"/>
      <c r="M189" s="85"/>
      <c r="N189" s="86"/>
      <c r="O189" s="86"/>
      <c r="P189" s="86"/>
      <c r="Q189" s="86"/>
      <c r="R189" s="1"/>
      <c r="S189" s="1"/>
      <c r="T189" s="1"/>
      <c r="U189" s="1"/>
      <c r="V189" s="1"/>
      <c r="W189" s="1"/>
      <c r="X189" s="1"/>
      <c r="Y189" s="1"/>
      <c r="Z189" s="1"/>
      <c r="AA189" s="1"/>
      <c r="AB189" s="1"/>
      <c r="AC189" s="1"/>
      <c r="AD189" s="1"/>
      <c r="AE189" s="1"/>
    </row>
    <row r="190" spans="1:31" customFormat="1" ht="15" customHeight="1">
      <c r="A190" s="1"/>
      <c r="B190" s="1"/>
      <c r="C190" s="2"/>
      <c r="D190" s="88" t="s">
        <v>188</v>
      </c>
      <c r="E190" s="1"/>
      <c r="F190" s="107"/>
      <c r="G190" s="107"/>
      <c r="H190" s="107"/>
      <c r="I190" s="107"/>
      <c r="J190" s="107"/>
      <c r="K190" s="87"/>
      <c r="L190" s="85"/>
      <c r="M190" s="85"/>
      <c r="N190" s="107"/>
      <c r="O190" s="107"/>
      <c r="P190" s="107"/>
      <c r="Q190" s="107"/>
      <c r="R190" s="1"/>
      <c r="S190" s="1"/>
      <c r="T190" s="1"/>
      <c r="U190" s="1"/>
      <c r="V190" s="1"/>
      <c r="W190" s="1"/>
      <c r="X190" s="1"/>
      <c r="Y190" s="1"/>
      <c r="Z190" s="1"/>
      <c r="AA190" s="1"/>
      <c r="AB190" s="1"/>
      <c r="AC190" s="1"/>
      <c r="AD190" s="1"/>
      <c r="AE190" s="1"/>
    </row>
    <row r="191" spans="1:31" customFormat="1" ht="15" customHeight="1">
      <c r="A191" s="1"/>
      <c r="B191" s="1"/>
      <c r="C191" s="2"/>
      <c r="D191" s="122" t="s">
        <v>152</v>
      </c>
      <c r="E191" s="15"/>
      <c r="F191" s="116"/>
      <c r="G191" s="116"/>
      <c r="H191" s="116"/>
      <c r="I191" s="116"/>
      <c r="J191" s="116"/>
      <c r="K191" s="117" t="s">
        <v>4</v>
      </c>
      <c r="L191" s="123"/>
      <c r="M191" s="142"/>
      <c r="N191" s="116"/>
      <c r="O191" s="369"/>
      <c r="P191" s="369"/>
      <c r="Q191" s="369"/>
      <c r="R191" s="449">
        <f xml:space="preserve"> IF( '2.3 Selskabsspecifikke input'!R$298= 0, 0, '2.3 Selskabsspecifikke input'!R244 / '2.3 Selskabsspecifikke input'!R$298 )</f>
        <v>0</v>
      </c>
      <c r="S191" s="449">
        <f xml:space="preserve"> IF( '2.3 Selskabsspecifikke input'!S$298= 0, 0, '2.3 Selskabsspecifikke input'!S244 / '2.3 Selskabsspecifikke input'!S$298 )</f>
        <v>0</v>
      </c>
      <c r="T191" s="449">
        <f xml:space="preserve"> IF( '2.3 Selskabsspecifikke input'!T$298= 0, 0, '2.3 Selskabsspecifikke input'!T244 / '2.3 Selskabsspecifikke input'!T$298 )</f>
        <v>0</v>
      </c>
      <c r="U191" s="449">
        <f xml:space="preserve"> IF( '2.3 Selskabsspecifikke input'!U$298= 0, 0, '2.3 Selskabsspecifikke input'!U244 / '2.3 Selskabsspecifikke input'!U$298 )</f>
        <v>0</v>
      </c>
      <c r="V191" s="449">
        <f xml:space="preserve"> IF( '2.3 Selskabsspecifikke input'!V$298= 0, 0, '2.3 Selskabsspecifikke input'!V244 / '2.3 Selskabsspecifikke input'!V$298 )</f>
        <v>0</v>
      </c>
      <c r="W191" s="15"/>
      <c r="X191" s="1"/>
      <c r="Y191" s="1"/>
      <c r="Z191" s="1"/>
      <c r="AA191" s="1"/>
      <c r="AB191" s="1"/>
      <c r="AC191" s="1"/>
      <c r="AD191" s="1"/>
      <c r="AE191" s="1"/>
    </row>
    <row r="192" spans="1:31" customFormat="1" ht="15" customHeight="1">
      <c r="A192" s="1"/>
      <c r="B192" s="1"/>
      <c r="C192" s="2"/>
      <c r="D192" s="124" t="s">
        <v>153</v>
      </c>
      <c r="E192" s="1"/>
      <c r="F192" s="107"/>
      <c r="G192" s="107"/>
      <c r="H192" s="107"/>
      <c r="I192" s="107"/>
      <c r="J192" s="107"/>
      <c r="K192" s="87" t="s">
        <v>4</v>
      </c>
      <c r="L192" s="85"/>
      <c r="M192" s="119"/>
      <c r="N192" s="107"/>
      <c r="O192" s="370"/>
      <c r="P192" s="370"/>
      <c r="Q192" s="370"/>
      <c r="R192" s="450">
        <f xml:space="preserve"> IF( '2.3 Selskabsspecifikke input'!R$298= 0, 0, '2.3 Selskabsspecifikke input'!R245 / '2.3 Selskabsspecifikke input'!R$298 )</f>
        <v>0</v>
      </c>
      <c r="S192" s="450">
        <f xml:space="preserve"> IF( '2.3 Selskabsspecifikke input'!S$298= 0, 0, '2.3 Selskabsspecifikke input'!S245 / '2.3 Selskabsspecifikke input'!S$298 )</f>
        <v>0</v>
      </c>
      <c r="T192" s="450">
        <f xml:space="preserve"> IF( '2.3 Selskabsspecifikke input'!T$298= 0, 0, '2.3 Selskabsspecifikke input'!T245 / '2.3 Selskabsspecifikke input'!T$298 )</f>
        <v>0</v>
      </c>
      <c r="U192" s="450">
        <f xml:space="preserve"> IF( '2.3 Selskabsspecifikke input'!U$298= 0, 0, '2.3 Selskabsspecifikke input'!U245 / '2.3 Selskabsspecifikke input'!U$298 )</f>
        <v>0</v>
      </c>
      <c r="V192" s="450">
        <f xml:space="preserve"> IF( '2.3 Selskabsspecifikke input'!V$298= 0, 0, '2.3 Selskabsspecifikke input'!V245 / '2.3 Selskabsspecifikke input'!V$298 )</f>
        <v>0</v>
      </c>
      <c r="W192" s="1"/>
      <c r="X192" s="1"/>
      <c r="Y192" s="1"/>
      <c r="Z192" s="1"/>
      <c r="AA192" s="1"/>
      <c r="AB192" s="1"/>
      <c r="AC192" s="1"/>
      <c r="AD192" s="1"/>
      <c r="AE192" s="1"/>
    </row>
    <row r="193" spans="1:31" customFormat="1" ht="15" customHeight="1">
      <c r="A193" s="1"/>
      <c r="B193" s="1"/>
      <c r="C193" s="2"/>
      <c r="D193" s="124" t="s">
        <v>154</v>
      </c>
      <c r="E193" s="1"/>
      <c r="F193" s="107"/>
      <c r="G193" s="107"/>
      <c r="H193" s="107"/>
      <c r="I193" s="107"/>
      <c r="J193" s="107"/>
      <c r="K193" s="87" t="s">
        <v>4</v>
      </c>
      <c r="L193" s="85"/>
      <c r="M193" s="119"/>
      <c r="N193" s="107"/>
      <c r="O193" s="370"/>
      <c r="P193" s="370"/>
      <c r="Q193" s="370"/>
      <c r="R193" s="450">
        <f xml:space="preserve"> IF( '2.3 Selskabsspecifikke input'!R$298= 0, 0, '2.3 Selskabsspecifikke input'!R246 / '2.3 Selskabsspecifikke input'!R$298 )</f>
        <v>0</v>
      </c>
      <c r="S193" s="450">
        <f xml:space="preserve"> IF( '2.3 Selskabsspecifikke input'!S$298= 0, 0, '2.3 Selskabsspecifikke input'!S246 / '2.3 Selskabsspecifikke input'!S$298 )</f>
        <v>0</v>
      </c>
      <c r="T193" s="450">
        <f xml:space="preserve"> IF( '2.3 Selskabsspecifikke input'!T$298= 0, 0, '2.3 Selskabsspecifikke input'!T246 / '2.3 Selskabsspecifikke input'!T$298 )</f>
        <v>0</v>
      </c>
      <c r="U193" s="450">
        <f xml:space="preserve"> IF( '2.3 Selskabsspecifikke input'!U$298= 0, 0, '2.3 Selskabsspecifikke input'!U246 / '2.3 Selskabsspecifikke input'!U$298 )</f>
        <v>0</v>
      </c>
      <c r="V193" s="450">
        <f xml:space="preserve"> IF( '2.3 Selskabsspecifikke input'!V$298= 0, 0, '2.3 Selskabsspecifikke input'!V246 / '2.3 Selskabsspecifikke input'!V$298 )</f>
        <v>0</v>
      </c>
      <c r="W193" s="1"/>
      <c r="X193" s="1"/>
      <c r="Y193" s="1"/>
      <c r="Z193" s="1"/>
      <c r="AA193" s="1"/>
      <c r="AB193" s="1"/>
      <c r="AC193" s="1"/>
      <c r="AD193" s="1"/>
      <c r="AE193" s="1"/>
    </row>
    <row r="194" spans="1:31" customFormat="1" ht="15" customHeight="1">
      <c r="A194" s="1"/>
      <c r="B194" s="1"/>
      <c r="C194" s="2"/>
      <c r="D194" s="124" t="s">
        <v>155</v>
      </c>
      <c r="E194" s="1"/>
      <c r="F194" s="107"/>
      <c r="G194" s="107"/>
      <c r="H194" s="107"/>
      <c r="I194" s="107"/>
      <c r="J194" s="107"/>
      <c r="K194" s="87" t="s">
        <v>4</v>
      </c>
      <c r="L194" s="85"/>
      <c r="M194" s="119"/>
      <c r="N194" s="107"/>
      <c r="O194" s="370"/>
      <c r="P194" s="370"/>
      <c r="Q194" s="370"/>
      <c r="R194" s="450">
        <f xml:space="preserve"> IF( '2.3 Selskabsspecifikke input'!R$298= 0, 0, '2.3 Selskabsspecifikke input'!R247 / '2.3 Selskabsspecifikke input'!R$298 )</f>
        <v>0</v>
      </c>
      <c r="S194" s="450">
        <f xml:space="preserve"> IF( '2.3 Selskabsspecifikke input'!S$298= 0, 0, '2.3 Selskabsspecifikke input'!S247 / '2.3 Selskabsspecifikke input'!S$298 )</f>
        <v>0</v>
      </c>
      <c r="T194" s="450">
        <f xml:space="preserve"> IF( '2.3 Selskabsspecifikke input'!T$298= 0, 0, '2.3 Selskabsspecifikke input'!T247 / '2.3 Selskabsspecifikke input'!T$298 )</f>
        <v>0</v>
      </c>
      <c r="U194" s="450">
        <f xml:space="preserve"> IF( '2.3 Selskabsspecifikke input'!U$298= 0, 0, '2.3 Selskabsspecifikke input'!U247 / '2.3 Selskabsspecifikke input'!U$298 )</f>
        <v>0</v>
      </c>
      <c r="V194" s="450">
        <f xml:space="preserve"> IF( '2.3 Selskabsspecifikke input'!V$298= 0, 0, '2.3 Selskabsspecifikke input'!V247 / '2.3 Selskabsspecifikke input'!V$298 )</f>
        <v>0</v>
      </c>
      <c r="W194" s="1"/>
      <c r="X194" s="1"/>
      <c r="Y194" s="1"/>
      <c r="Z194" s="1"/>
      <c r="AA194" s="1"/>
      <c r="AB194" s="1"/>
      <c r="AC194" s="1"/>
      <c r="AD194" s="1"/>
      <c r="AE194" s="1"/>
    </row>
    <row r="195" spans="1:31" customFormat="1" ht="15" customHeight="1">
      <c r="A195" s="1"/>
      <c r="B195" s="1"/>
      <c r="C195" s="2"/>
      <c r="D195" s="124" t="s">
        <v>156</v>
      </c>
      <c r="E195" s="1"/>
      <c r="F195" s="107"/>
      <c r="G195" s="107"/>
      <c r="H195" s="107"/>
      <c r="I195" s="107"/>
      <c r="J195" s="107"/>
      <c r="K195" s="87" t="s">
        <v>4</v>
      </c>
      <c r="L195" s="85"/>
      <c r="M195" s="119"/>
      <c r="N195" s="107"/>
      <c r="O195" s="370"/>
      <c r="P195" s="370"/>
      <c r="Q195" s="370"/>
      <c r="R195" s="450">
        <f xml:space="preserve"> IF( '2.3 Selskabsspecifikke input'!R$298= 0, 0, '2.3 Selskabsspecifikke input'!R248 / '2.3 Selskabsspecifikke input'!R$298 )</f>
        <v>0</v>
      </c>
      <c r="S195" s="450">
        <f xml:space="preserve"> IF( '2.3 Selskabsspecifikke input'!S$298= 0, 0, '2.3 Selskabsspecifikke input'!S248 / '2.3 Selskabsspecifikke input'!S$298 )</f>
        <v>0</v>
      </c>
      <c r="T195" s="450">
        <f xml:space="preserve"> IF( '2.3 Selskabsspecifikke input'!T$298= 0, 0, '2.3 Selskabsspecifikke input'!T248 / '2.3 Selskabsspecifikke input'!T$298 )</f>
        <v>0</v>
      </c>
      <c r="U195" s="450">
        <f xml:space="preserve"> IF( '2.3 Selskabsspecifikke input'!U$298= 0, 0, '2.3 Selskabsspecifikke input'!U248 / '2.3 Selskabsspecifikke input'!U$298 )</f>
        <v>0</v>
      </c>
      <c r="V195" s="450">
        <f xml:space="preserve"> IF( '2.3 Selskabsspecifikke input'!V$298= 0, 0, '2.3 Selskabsspecifikke input'!V248 / '2.3 Selskabsspecifikke input'!V$298 )</f>
        <v>0</v>
      </c>
      <c r="W195" s="1"/>
      <c r="X195" s="1"/>
      <c r="Y195" s="1"/>
      <c r="Z195" s="1"/>
      <c r="AA195" s="1"/>
      <c r="AB195" s="1"/>
      <c r="AC195" s="1"/>
      <c r="AD195" s="1"/>
      <c r="AE195" s="1"/>
    </row>
    <row r="196" spans="1:31" customFormat="1" ht="15" customHeight="1">
      <c r="A196" s="1"/>
      <c r="B196" s="1"/>
      <c r="C196" s="2"/>
      <c r="D196" s="124" t="s">
        <v>157</v>
      </c>
      <c r="E196" s="1"/>
      <c r="F196" s="107"/>
      <c r="G196" s="107"/>
      <c r="H196" s="107"/>
      <c r="I196" s="107"/>
      <c r="J196" s="107"/>
      <c r="K196" s="87" t="s">
        <v>4</v>
      </c>
      <c r="L196" s="85"/>
      <c r="M196" s="119"/>
      <c r="N196" s="107"/>
      <c r="O196" s="370"/>
      <c r="P196" s="370"/>
      <c r="Q196" s="370"/>
      <c r="R196" s="450">
        <f xml:space="preserve"> IF( '2.3 Selskabsspecifikke input'!R$298= 0, 0, '2.3 Selskabsspecifikke input'!R249 / '2.3 Selskabsspecifikke input'!R$298 )</f>
        <v>0</v>
      </c>
      <c r="S196" s="450">
        <f xml:space="preserve"> IF( '2.3 Selskabsspecifikke input'!S$298= 0, 0, '2.3 Selskabsspecifikke input'!S249 / '2.3 Selskabsspecifikke input'!S$298 )</f>
        <v>0</v>
      </c>
      <c r="T196" s="450">
        <f xml:space="preserve"> IF( '2.3 Selskabsspecifikke input'!T$298= 0, 0, '2.3 Selskabsspecifikke input'!T249 / '2.3 Selskabsspecifikke input'!T$298 )</f>
        <v>0</v>
      </c>
      <c r="U196" s="450">
        <f xml:space="preserve"> IF( '2.3 Selskabsspecifikke input'!U$298= 0, 0, '2.3 Selskabsspecifikke input'!U249 / '2.3 Selskabsspecifikke input'!U$298 )</f>
        <v>0</v>
      </c>
      <c r="V196" s="450">
        <f xml:space="preserve"> IF( '2.3 Selskabsspecifikke input'!V$298= 0, 0, '2.3 Selskabsspecifikke input'!V249 / '2.3 Selskabsspecifikke input'!V$298 )</f>
        <v>0</v>
      </c>
      <c r="W196" s="1"/>
      <c r="X196" s="1"/>
      <c r="Y196" s="1"/>
      <c r="Z196" s="1"/>
      <c r="AA196" s="1"/>
      <c r="AB196" s="1"/>
      <c r="AC196" s="1"/>
      <c r="AD196" s="1"/>
      <c r="AE196" s="1"/>
    </row>
    <row r="197" spans="1:31" customFormat="1" ht="15" customHeight="1">
      <c r="A197" s="1"/>
      <c r="B197" s="1"/>
      <c r="C197" s="2"/>
      <c r="D197" s="124" t="s">
        <v>158</v>
      </c>
      <c r="E197" s="1"/>
      <c r="F197" s="107"/>
      <c r="G197" s="107"/>
      <c r="H197" s="107"/>
      <c r="I197" s="107"/>
      <c r="J197" s="107"/>
      <c r="K197" s="87" t="s">
        <v>4</v>
      </c>
      <c r="L197" s="85"/>
      <c r="M197" s="119"/>
      <c r="N197" s="107"/>
      <c r="O197" s="370"/>
      <c r="P197" s="370"/>
      <c r="Q197" s="370"/>
      <c r="R197" s="450">
        <f xml:space="preserve"> IF( '2.3 Selskabsspecifikke input'!R$298= 0, 0, '2.3 Selskabsspecifikke input'!R250 / '2.3 Selskabsspecifikke input'!R$298 )</f>
        <v>0</v>
      </c>
      <c r="S197" s="450">
        <f xml:space="preserve"> IF( '2.3 Selskabsspecifikke input'!S$298= 0, 0, '2.3 Selskabsspecifikke input'!S250 / '2.3 Selskabsspecifikke input'!S$298 )</f>
        <v>0</v>
      </c>
      <c r="T197" s="450">
        <f xml:space="preserve"> IF( '2.3 Selskabsspecifikke input'!T$298= 0, 0, '2.3 Selskabsspecifikke input'!T250 / '2.3 Selskabsspecifikke input'!T$298 )</f>
        <v>0</v>
      </c>
      <c r="U197" s="450">
        <f xml:space="preserve"> IF( '2.3 Selskabsspecifikke input'!U$298= 0, 0, '2.3 Selskabsspecifikke input'!U250 / '2.3 Selskabsspecifikke input'!U$298 )</f>
        <v>0</v>
      </c>
      <c r="V197" s="450">
        <f xml:space="preserve"> IF( '2.3 Selskabsspecifikke input'!V$298= 0, 0, '2.3 Selskabsspecifikke input'!V250 / '2.3 Selskabsspecifikke input'!V$298 )</f>
        <v>0</v>
      </c>
      <c r="W197" s="1"/>
      <c r="X197" s="1"/>
      <c r="Y197" s="1"/>
      <c r="Z197" s="1"/>
      <c r="AA197" s="1"/>
      <c r="AB197" s="1"/>
      <c r="AC197" s="1"/>
      <c r="AD197" s="1"/>
      <c r="AE197" s="1"/>
    </row>
    <row r="198" spans="1:31" customFormat="1" ht="15" customHeight="1">
      <c r="A198" s="1"/>
      <c r="B198" s="1"/>
      <c r="C198" s="2"/>
      <c r="D198" s="124" t="s">
        <v>159</v>
      </c>
      <c r="E198" s="1"/>
      <c r="F198" s="107"/>
      <c r="G198" s="107"/>
      <c r="H198" s="107"/>
      <c r="I198" s="107"/>
      <c r="J198" s="107"/>
      <c r="K198" s="87" t="s">
        <v>4</v>
      </c>
      <c r="L198" s="85"/>
      <c r="M198" s="119"/>
      <c r="N198" s="107"/>
      <c r="O198" s="370"/>
      <c r="P198" s="370"/>
      <c r="Q198" s="370"/>
      <c r="R198" s="450">
        <f xml:space="preserve"> IF( '2.3 Selskabsspecifikke input'!R$298= 0, 0, '2.3 Selskabsspecifikke input'!R251 / '2.3 Selskabsspecifikke input'!R$298 )</f>
        <v>0</v>
      </c>
      <c r="S198" s="450">
        <f xml:space="preserve"> IF( '2.3 Selskabsspecifikke input'!S$298= 0, 0, '2.3 Selskabsspecifikke input'!S251 / '2.3 Selskabsspecifikke input'!S$298 )</f>
        <v>0</v>
      </c>
      <c r="T198" s="450">
        <f xml:space="preserve"> IF( '2.3 Selskabsspecifikke input'!T$298= 0, 0, '2.3 Selskabsspecifikke input'!T251 / '2.3 Selskabsspecifikke input'!T$298 )</f>
        <v>0</v>
      </c>
      <c r="U198" s="450">
        <f xml:space="preserve"> IF( '2.3 Selskabsspecifikke input'!U$298= 0, 0, '2.3 Selskabsspecifikke input'!U251 / '2.3 Selskabsspecifikke input'!U$298 )</f>
        <v>0</v>
      </c>
      <c r="V198" s="450">
        <f xml:space="preserve"> IF( '2.3 Selskabsspecifikke input'!V$298= 0, 0, '2.3 Selskabsspecifikke input'!V251 / '2.3 Selskabsspecifikke input'!V$298 )</f>
        <v>0</v>
      </c>
      <c r="W198" s="1"/>
      <c r="X198" s="1"/>
      <c r="Y198" s="1"/>
      <c r="Z198" s="1"/>
      <c r="AA198" s="1"/>
      <c r="AB198" s="1"/>
      <c r="AC198" s="1"/>
      <c r="AD198" s="1"/>
      <c r="AE198" s="1"/>
    </row>
    <row r="199" spans="1:31" customFormat="1" ht="15" customHeight="1">
      <c r="A199" s="1"/>
      <c r="B199" s="1"/>
      <c r="C199" s="2"/>
      <c r="D199" s="124" t="s">
        <v>160</v>
      </c>
      <c r="E199" s="1"/>
      <c r="F199" s="107"/>
      <c r="G199" s="107"/>
      <c r="H199" s="107"/>
      <c r="I199" s="107"/>
      <c r="J199" s="107"/>
      <c r="K199" s="87" t="s">
        <v>4</v>
      </c>
      <c r="L199" s="85"/>
      <c r="M199" s="119"/>
      <c r="N199" s="107"/>
      <c r="O199" s="370"/>
      <c r="P199" s="370"/>
      <c r="Q199" s="370"/>
      <c r="R199" s="450">
        <f xml:space="preserve"> IF( '2.3 Selskabsspecifikke input'!R$298= 0, 0, '2.3 Selskabsspecifikke input'!R252 / '2.3 Selskabsspecifikke input'!R$298 )</f>
        <v>0</v>
      </c>
      <c r="S199" s="450">
        <f xml:space="preserve"> IF( '2.3 Selskabsspecifikke input'!S$298= 0, 0, '2.3 Selskabsspecifikke input'!S252 / '2.3 Selskabsspecifikke input'!S$298 )</f>
        <v>0</v>
      </c>
      <c r="T199" s="450">
        <f xml:space="preserve"> IF( '2.3 Selskabsspecifikke input'!T$298= 0, 0, '2.3 Selskabsspecifikke input'!T252 / '2.3 Selskabsspecifikke input'!T$298 )</f>
        <v>0</v>
      </c>
      <c r="U199" s="450">
        <f xml:space="preserve"> IF( '2.3 Selskabsspecifikke input'!U$298= 0, 0, '2.3 Selskabsspecifikke input'!U252 / '2.3 Selskabsspecifikke input'!U$298 )</f>
        <v>0</v>
      </c>
      <c r="V199" s="450">
        <f xml:space="preserve"> IF( '2.3 Selskabsspecifikke input'!V$298= 0, 0, '2.3 Selskabsspecifikke input'!V252 / '2.3 Selskabsspecifikke input'!V$298 )</f>
        <v>0</v>
      </c>
      <c r="W199" s="1"/>
      <c r="X199" s="1"/>
      <c r="Y199" s="1"/>
      <c r="Z199" s="1"/>
      <c r="AA199" s="1"/>
      <c r="AB199" s="1"/>
      <c r="AC199" s="1"/>
      <c r="AD199" s="1"/>
      <c r="AE199" s="1"/>
    </row>
    <row r="200" spans="1:31" customFormat="1" ht="15" customHeight="1">
      <c r="A200" s="1"/>
      <c r="B200" s="1"/>
      <c r="C200" s="2"/>
      <c r="D200" s="124" t="s">
        <v>161</v>
      </c>
      <c r="E200" s="1"/>
      <c r="F200" s="107"/>
      <c r="G200" s="107"/>
      <c r="H200" s="107"/>
      <c r="I200" s="107"/>
      <c r="J200" s="107"/>
      <c r="K200" s="87" t="s">
        <v>4</v>
      </c>
      <c r="L200" s="85"/>
      <c r="M200" s="119"/>
      <c r="N200" s="107"/>
      <c r="O200" s="370"/>
      <c r="P200" s="370"/>
      <c r="Q200" s="370"/>
      <c r="R200" s="450">
        <f xml:space="preserve"> IF( '2.3 Selskabsspecifikke input'!R$298= 0, 0, '2.3 Selskabsspecifikke input'!R253 / '2.3 Selskabsspecifikke input'!R$298 )</f>
        <v>0</v>
      </c>
      <c r="S200" s="450">
        <f xml:space="preserve"> IF( '2.3 Selskabsspecifikke input'!S$298= 0, 0, '2.3 Selskabsspecifikke input'!S253 / '2.3 Selskabsspecifikke input'!S$298 )</f>
        <v>0</v>
      </c>
      <c r="T200" s="450">
        <f xml:space="preserve"> IF( '2.3 Selskabsspecifikke input'!T$298= 0, 0, '2.3 Selskabsspecifikke input'!T253 / '2.3 Selskabsspecifikke input'!T$298 )</f>
        <v>0</v>
      </c>
      <c r="U200" s="450">
        <f xml:space="preserve"> IF( '2.3 Selskabsspecifikke input'!U$298= 0, 0, '2.3 Selskabsspecifikke input'!U253 / '2.3 Selskabsspecifikke input'!U$298 )</f>
        <v>0</v>
      </c>
      <c r="V200" s="450">
        <f xml:space="preserve"> IF( '2.3 Selskabsspecifikke input'!V$298= 0, 0, '2.3 Selskabsspecifikke input'!V253 / '2.3 Selskabsspecifikke input'!V$298 )</f>
        <v>0</v>
      </c>
      <c r="W200" s="1"/>
      <c r="X200" s="1"/>
      <c r="Y200" s="1"/>
      <c r="Z200" s="1"/>
      <c r="AA200" s="1"/>
      <c r="AB200" s="1"/>
      <c r="AC200" s="1"/>
      <c r="AD200" s="1"/>
      <c r="AE200" s="1"/>
    </row>
    <row r="201" spans="1:31" customFormat="1" ht="15" customHeight="1">
      <c r="A201" s="1"/>
      <c r="B201" s="1"/>
      <c r="C201" s="2"/>
      <c r="D201" s="124" t="s">
        <v>162</v>
      </c>
      <c r="E201" s="1"/>
      <c r="F201" s="107"/>
      <c r="G201" s="107"/>
      <c r="H201" s="107"/>
      <c r="I201" s="107"/>
      <c r="J201" s="107"/>
      <c r="K201" s="87" t="s">
        <v>4</v>
      </c>
      <c r="L201" s="85"/>
      <c r="M201" s="119"/>
      <c r="N201" s="107"/>
      <c r="O201" s="370"/>
      <c r="P201" s="370"/>
      <c r="Q201" s="370"/>
      <c r="R201" s="450">
        <f xml:space="preserve"> IF( '2.3 Selskabsspecifikke input'!R$298= 0, 0, '2.3 Selskabsspecifikke input'!R254 / '2.3 Selskabsspecifikke input'!R$298 )</f>
        <v>0</v>
      </c>
      <c r="S201" s="450">
        <f xml:space="preserve"> IF( '2.3 Selskabsspecifikke input'!S$298= 0, 0, '2.3 Selskabsspecifikke input'!S254 / '2.3 Selskabsspecifikke input'!S$298 )</f>
        <v>0</v>
      </c>
      <c r="T201" s="450">
        <f xml:space="preserve"> IF( '2.3 Selskabsspecifikke input'!T$298= 0, 0, '2.3 Selskabsspecifikke input'!T254 / '2.3 Selskabsspecifikke input'!T$298 )</f>
        <v>0</v>
      </c>
      <c r="U201" s="450">
        <f xml:space="preserve"> IF( '2.3 Selskabsspecifikke input'!U$298= 0, 0, '2.3 Selskabsspecifikke input'!U254 / '2.3 Selskabsspecifikke input'!U$298 )</f>
        <v>0</v>
      </c>
      <c r="V201" s="450">
        <f xml:space="preserve"> IF( '2.3 Selskabsspecifikke input'!V$298= 0, 0, '2.3 Selskabsspecifikke input'!V254 / '2.3 Selskabsspecifikke input'!V$298 )</f>
        <v>0</v>
      </c>
      <c r="W201" s="1"/>
      <c r="X201" s="1"/>
      <c r="Y201" s="1"/>
      <c r="Z201" s="1"/>
      <c r="AA201" s="1"/>
      <c r="AB201" s="1"/>
      <c r="AC201" s="1"/>
      <c r="AD201" s="1"/>
      <c r="AE201" s="1"/>
    </row>
    <row r="202" spans="1:31" customFormat="1" ht="15" customHeight="1">
      <c r="A202" s="1"/>
      <c r="B202" s="1"/>
      <c r="C202" s="2"/>
      <c r="D202" s="124" t="s">
        <v>163</v>
      </c>
      <c r="E202" s="1"/>
      <c r="F202" s="107"/>
      <c r="G202" s="107"/>
      <c r="H202" s="107"/>
      <c r="I202" s="107"/>
      <c r="J202" s="107"/>
      <c r="K202" s="87" t="s">
        <v>4</v>
      </c>
      <c r="L202" s="85"/>
      <c r="M202" s="119"/>
      <c r="N202" s="107"/>
      <c r="O202" s="370"/>
      <c r="P202" s="370"/>
      <c r="Q202" s="370"/>
      <c r="R202" s="450">
        <f xml:space="preserve"> IF( '2.3 Selskabsspecifikke input'!R$298= 0, 0, '2.3 Selskabsspecifikke input'!R255 / '2.3 Selskabsspecifikke input'!R$298 )</f>
        <v>0</v>
      </c>
      <c r="S202" s="450">
        <f xml:space="preserve"> IF( '2.3 Selskabsspecifikke input'!S$298= 0, 0, '2.3 Selskabsspecifikke input'!S255 / '2.3 Selskabsspecifikke input'!S$298 )</f>
        <v>0</v>
      </c>
      <c r="T202" s="450">
        <f xml:space="preserve"> IF( '2.3 Selskabsspecifikke input'!T$298= 0, 0, '2.3 Selskabsspecifikke input'!T255 / '2.3 Selskabsspecifikke input'!T$298 )</f>
        <v>0</v>
      </c>
      <c r="U202" s="450">
        <f xml:space="preserve"> IF( '2.3 Selskabsspecifikke input'!U$298= 0, 0, '2.3 Selskabsspecifikke input'!U255 / '2.3 Selskabsspecifikke input'!U$298 )</f>
        <v>0</v>
      </c>
      <c r="V202" s="450">
        <f xml:space="preserve"> IF( '2.3 Selskabsspecifikke input'!V$298= 0, 0, '2.3 Selskabsspecifikke input'!V255 / '2.3 Selskabsspecifikke input'!V$298 )</f>
        <v>0</v>
      </c>
      <c r="W202" s="1"/>
      <c r="X202" s="1"/>
      <c r="Y202" s="1"/>
      <c r="Z202" s="1"/>
      <c r="AA202" s="1"/>
      <c r="AB202" s="1"/>
      <c r="AC202" s="1"/>
      <c r="AD202" s="1"/>
      <c r="AE202" s="1"/>
    </row>
    <row r="203" spans="1:31" customFormat="1" ht="15" customHeight="1">
      <c r="A203" s="1"/>
      <c r="B203" s="1"/>
      <c r="C203" s="2"/>
      <c r="D203" s="124" t="s">
        <v>164</v>
      </c>
      <c r="E203" s="1"/>
      <c r="F203" s="107"/>
      <c r="G203" s="107"/>
      <c r="H203" s="107"/>
      <c r="I203" s="107"/>
      <c r="J203" s="107"/>
      <c r="K203" s="87" t="s">
        <v>4</v>
      </c>
      <c r="L203" s="85"/>
      <c r="M203" s="119"/>
      <c r="N203" s="107"/>
      <c r="O203" s="370"/>
      <c r="P203" s="370"/>
      <c r="Q203" s="370"/>
      <c r="R203" s="450">
        <f xml:space="preserve"> IF( '2.3 Selskabsspecifikke input'!R$298= 0, 0, '2.3 Selskabsspecifikke input'!R256 / '2.3 Selskabsspecifikke input'!R$298 )</f>
        <v>0</v>
      </c>
      <c r="S203" s="450">
        <f xml:space="preserve"> IF( '2.3 Selskabsspecifikke input'!S$298= 0, 0, '2.3 Selskabsspecifikke input'!S256 / '2.3 Selskabsspecifikke input'!S$298 )</f>
        <v>0</v>
      </c>
      <c r="T203" s="450">
        <f xml:space="preserve"> IF( '2.3 Selskabsspecifikke input'!T$298= 0, 0, '2.3 Selskabsspecifikke input'!T256 / '2.3 Selskabsspecifikke input'!T$298 )</f>
        <v>0</v>
      </c>
      <c r="U203" s="450">
        <f xml:space="preserve"> IF( '2.3 Selskabsspecifikke input'!U$298= 0, 0, '2.3 Selskabsspecifikke input'!U256 / '2.3 Selskabsspecifikke input'!U$298 )</f>
        <v>0</v>
      </c>
      <c r="V203" s="450">
        <f xml:space="preserve"> IF( '2.3 Selskabsspecifikke input'!V$298= 0, 0, '2.3 Selskabsspecifikke input'!V256 / '2.3 Selskabsspecifikke input'!V$298 )</f>
        <v>0</v>
      </c>
      <c r="W203" s="1"/>
      <c r="X203" s="1"/>
      <c r="Y203" s="1"/>
      <c r="Z203" s="1"/>
      <c r="AA203" s="1"/>
      <c r="AB203" s="1"/>
      <c r="AC203" s="1"/>
      <c r="AD203" s="1"/>
      <c r="AE203" s="1"/>
    </row>
    <row r="204" spans="1:31" customFormat="1" ht="15" customHeight="1">
      <c r="A204" s="1"/>
      <c r="B204" s="1"/>
      <c r="C204" s="2"/>
      <c r="D204" s="124" t="s">
        <v>165</v>
      </c>
      <c r="E204" s="1"/>
      <c r="F204" s="107"/>
      <c r="G204" s="107"/>
      <c r="H204" s="107"/>
      <c r="I204" s="107"/>
      <c r="J204" s="107"/>
      <c r="K204" s="87" t="s">
        <v>4</v>
      </c>
      <c r="L204" s="85"/>
      <c r="M204" s="119"/>
      <c r="N204" s="107"/>
      <c r="O204" s="370"/>
      <c r="P204" s="370"/>
      <c r="Q204" s="370"/>
      <c r="R204" s="450">
        <f xml:space="preserve"> IF( '2.3 Selskabsspecifikke input'!R$298= 0, 0, '2.3 Selskabsspecifikke input'!R257 / '2.3 Selskabsspecifikke input'!R$298 )</f>
        <v>0</v>
      </c>
      <c r="S204" s="450">
        <f xml:space="preserve"> IF( '2.3 Selskabsspecifikke input'!S$298= 0, 0, '2.3 Selskabsspecifikke input'!S257 / '2.3 Selskabsspecifikke input'!S$298 )</f>
        <v>0</v>
      </c>
      <c r="T204" s="450">
        <f xml:space="preserve"> IF( '2.3 Selskabsspecifikke input'!T$298= 0, 0, '2.3 Selskabsspecifikke input'!T257 / '2.3 Selskabsspecifikke input'!T$298 )</f>
        <v>0</v>
      </c>
      <c r="U204" s="450">
        <f xml:space="preserve"> IF( '2.3 Selskabsspecifikke input'!U$298= 0, 0, '2.3 Selskabsspecifikke input'!U257 / '2.3 Selskabsspecifikke input'!U$298 )</f>
        <v>0</v>
      </c>
      <c r="V204" s="450">
        <f xml:space="preserve"> IF( '2.3 Selskabsspecifikke input'!V$298= 0, 0, '2.3 Selskabsspecifikke input'!V257 / '2.3 Selskabsspecifikke input'!V$298 )</f>
        <v>0</v>
      </c>
      <c r="W204" s="1"/>
      <c r="X204" s="1"/>
      <c r="Y204" s="1"/>
      <c r="Z204" s="1"/>
      <c r="AA204" s="1"/>
      <c r="AB204" s="1"/>
      <c r="AC204" s="1"/>
      <c r="AD204" s="1"/>
      <c r="AE204" s="1"/>
    </row>
    <row r="205" spans="1:31" customFormat="1" ht="15" customHeight="1">
      <c r="A205" s="1"/>
      <c r="B205" s="1"/>
      <c r="C205" s="2"/>
      <c r="D205" s="124" t="s">
        <v>166</v>
      </c>
      <c r="E205" s="1"/>
      <c r="F205" s="107"/>
      <c r="G205" s="107"/>
      <c r="H205" s="107"/>
      <c r="I205" s="107"/>
      <c r="J205" s="107"/>
      <c r="K205" s="87" t="s">
        <v>4</v>
      </c>
      <c r="L205" s="85"/>
      <c r="M205" s="119"/>
      <c r="N205" s="107"/>
      <c r="O205" s="370"/>
      <c r="P205" s="370"/>
      <c r="Q205" s="370"/>
      <c r="R205" s="450">
        <f xml:space="preserve"> IF( '2.3 Selskabsspecifikke input'!R$298= 0, 0, '2.3 Selskabsspecifikke input'!R258 / '2.3 Selskabsspecifikke input'!R$298 )</f>
        <v>0</v>
      </c>
      <c r="S205" s="450">
        <f xml:space="preserve"> IF( '2.3 Selskabsspecifikke input'!S$298= 0, 0, '2.3 Selskabsspecifikke input'!S258 / '2.3 Selskabsspecifikke input'!S$298 )</f>
        <v>0</v>
      </c>
      <c r="T205" s="450">
        <f xml:space="preserve"> IF( '2.3 Selskabsspecifikke input'!T$298= 0, 0, '2.3 Selskabsspecifikke input'!T258 / '2.3 Selskabsspecifikke input'!T$298 )</f>
        <v>0</v>
      </c>
      <c r="U205" s="450">
        <f xml:space="preserve"> IF( '2.3 Selskabsspecifikke input'!U$298= 0, 0, '2.3 Selskabsspecifikke input'!U258 / '2.3 Selskabsspecifikke input'!U$298 )</f>
        <v>0</v>
      </c>
      <c r="V205" s="450">
        <f xml:space="preserve"> IF( '2.3 Selskabsspecifikke input'!V$298= 0, 0, '2.3 Selskabsspecifikke input'!V258 / '2.3 Selskabsspecifikke input'!V$298 )</f>
        <v>0</v>
      </c>
      <c r="W205" s="1"/>
      <c r="X205" s="1"/>
      <c r="Y205" s="1"/>
      <c r="Z205" s="1"/>
      <c r="AA205" s="1"/>
      <c r="AB205" s="1"/>
      <c r="AC205" s="1"/>
      <c r="AD205" s="1"/>
      <c r="AE205" s="1"/>
    </row>
    <row r="206" spans="1:31" customFormat="1" ht="15" customHeight="1">
      <c r="A206" s="1"/>
      <c r="B206" s="1"/>
      <c r="C206" s="2"/>
      <c r="D206" s="124" t="s">
        <v>167</v>
      </c>
      <c r="E206" s="1"/>
      <c r="F206" s="107"/>
      <c r="G206" s="107"/>
      <c r="H206" s="107"/>
      <c r="I206" s="107"/>
      <c r="J206" s="107"/>
      <c r="K206" s="87" t="s">
        <v>4</v>
      </c>
      <c r="L206" s="85"/>
      <c r="M206" s="119"/>
      <c r="N206" s="107"/>
      <c r="O206" s="370"/>
      <c r="P206" s="370"/>
      <c r="Q206" s="370"/>
      <c r="R206" s="450">
        <f xml:space="preserve"> IF( '2.3 Selskabsspecifikke input'!R$298= 0, 0, '2.3 Selskabsspecifikke input'!R259 / '2.3 Selskabsspecifikke input'!R$298 )</f>
        <v>0</v>
      </c>
      <c r="S206" s="450">
        <f xml:space="preserve"> IF( '2.3 Selskabsspecifikke input'!S$298= 0, 0, '2.3 Selskabsspecifikke input'!S259 / '2.3 Selskabsspecifikke input'!S$298 )</f>
        <v>0</v>
      </c>
      <c r="T206" s="450">
        <f xml:space="preserve"> IF( '2.3 Selskabsspecifikke input'!T$298= 0, 0, '2.3 Selskabsspecifikke input'!T259 / '2.3 Selskabsspecifikke input'!T$298 )</f>
        <v>0</v>
      </c>
      <c r="U206" s="450">
        <f xml:space="preserve"> IF( '2.3 Selskabsspecifikke input'!U$298= 0, 0, '2.3 Selskabsspecifikke input'!U259 / '2.3 Selskabsspecifikke input'!U$298 )</f>
        <v>0</v>
      </c>
      <c r="V206" s="450">
        <f xml:space="preserve"> IF( '2.3 Selskabsspecifikke input'!V$298= 0, 0, '2.3 Selskabsspecifikke input'!V259 / '2.3 Selskabsspecifikke input'!V$298 )</f>
        <v>0</v>
      </c>
      <c r="W206" s="1"/>
      <c r="X206" s="1"/>
      <c r="Y206" s="1"/>
      <c r="Z206" s="1"/>
      <c r="AA206" s="1"/>
      <c r="AB206" s="1"/>
      <c r="AC206" s="1"/>
      <c r="AD206" s="1"/>
      <c r="AE206" s="1"/>
    </row>
    <row r="207" spans="1:31" customFormat="1" ht="15" customHeight="1">
      <c r="A207" s="1"/>
      <c r="B207" s="1"/>
      <c r="C207" s="2"/>
      <c r="D207" s="124" t="s">
        <v>168</v>
      </c>
      <c r="E207" s="1"/>
      <c r="F207" s="107"/>
      <c r="G207" s="107"/>
      <c r="H207" s="107"/>
      <c r="I207" s="107"/>
      <c r="J207" s="107"/>
      <c r="K207" s="87" t="s">
        <v>4</v>
      </c>
      <c r="L207" s="85"/>
      <c r="M207" s="119"/>
      <c r="N207" s="107"/>
      <c r="O207" s="370"/>
      <c r="P207" s="370"/>
      <c r="Q207" s="370"/>
      <c r="R207" s="450">
        <f xml:space="preserve"> IF( '2.3 Selskabsspecifikke input'!R$298= 0, 0, '2.3 Selskabsspecifikke input'!R260 / '2.3 Selskabsspecifikke input'!R$298 )</f>
        <v>0</v>
      </c>
      <c r="S207" s="450">
        <f xml:space="preserve"> IF( '2.3 Selskabsspecifikke input'!S$298= 0, 0, '2.3 Selskabsspecifikke input'!S260 / '2.3 Selskabsspecifikke input'!S$298 )</f>
        <v>0</v>
      </c>
      <c r="T207" s="450">
        <f xml:space="preserve"> IF( '2.3 Selskabsspecifikke input'!T$298= 0, 0, '2.3 Selskabsspecifikke input'!T260 / '2.3 Selskabsspecifikke input'!T$298 )</f>
        <v>0</v>
      </c>
      <c r="U207" s="450">
        <f xml:space="preserve"> IF( '2.3 Selskabsspecifikke input'!U$298= 0, 0, '2.3 Selskabsspecifikke input'!U260 / '2.3 Selskabsspecifikke input'!U$298 )</f>
        <v>0</v>
      </c>
      <c r="V207" s="450">
        <f xml:space="preserve"> IF( '2.3 Selskabsspecifikke input'!V$298= 0, 0, '2.3 Selskabsspecifikke input'!V260 / '2.3 Selskabsspecifikke input'!V$298 )</f>
        <v>0</v>
      </c>
      <c r="W207" s="1"/>
      <c r="X207" s="1"/>
      <c r="Y207" s="1"/>
      <c r="Z207" s="1"/>
      <c r="AA207" s="1"/>
      <c r="AB207" s="1"/>
      <c r="AC207" s="1"/>
      <c r="AD207" s="1"/>
      <c r="AE207" s="1"/>
    </row>
    <row r="208" spans="1:31" customFormat="1" ht="15" customHeight="1">
      <c r="A208" s="1"/>
      <c r="B208" s="1"/>
      <c r="C208" s="2"/>
      <c r="D208" s="124" t="s">
        <v>169</v>
      </c>
      <c r="E208" s="1"/>
      <c r="F208" s="107"/>
      <c r="G208" s="107"/>
      <c r="H208" s="107"/>
      <c r="I208" s="107"/>
      <c r="J208" s="107"/>
      <c r="K208" s="87" t="s">
        <v>4</v>
      </c>
      <c r="L208" s="85"/>
      <c r="M208" s="119"/>
      <c r="N208" s="107"/>
      <c r="O208" s="370"/>
      <c r="P208" s="370"/>
      <c r="Q208" s="370"/>
      <c r="R208" s="450">
        <f xml:space="preserve"> IF( '2.3 Selskabsspecifikke input'!R$298= 0, 0, '2.3 Selskabsspecifikke input'!R261 / '2.3 Selskabsspecifikke input'!R$298 )</f>
        <v>0</v>
      </c>
      <c r="S208" s="450">
        <f xml:space="preserve"> IF( '2.3 Selskabsspecifikke input'!S$298= 0, 0, '2.3 Selskabsspecifikke input'!S261 / '2.3 Selskabsspecifikke input'!S$298 )</f>
        <v>0</v>
      </c>
      <c r="T208" s="450">
        <f xml:space="preserve"> IF( '2.3 Selskabsspecifikke input'!T$298= 0, 0, '2.3 Selskabsspecifikke input'!T261 / '2.3 Selskabsspecifikke input'!T$298 )</f>
        <v>0</v>
      </c>
      <c r="U208" s="450">
        <f xml:space="preserve"> IF( '2.3 Selskabsspecifikke input'!U$298= 0, 0, '2.3 Selskabsspecifikke input'!U261 / '2.3 Selskabsspecifikke input'!U$298 )</f>
        <v>0</v>
      </c>
      <c r="V208" s="450">
        <f xml:space="preserve"> IF( '2.3 Selskabsspecifikke input'!V$298= 0, 0, '2.3 Selskabsspecifikke input'!V261 / '2.3 Selskabsspecifikke input'!V$298 )</f>
        <v>0</v>
      </c>
      <c r="W208" s="1"/>
      <c r="X208" s="1"/>
      <c r="Y208" s="1"/>
      <c r="Z208" s="1"/>
      <c r="AA208" s="1"/>
      <c r="AB208" s="1"/>
      <c r="AC208" s="1"/>
      <c r="AD208" s="1"/>
      <c r="AE208" s="1"/>
    </row>
    <row r="209" spans="1:31" customFormat="1" ht="15" customHeight="1">
      <c r="A209" s="1"/>
      <c r="B209" s="1"/>
      <c r="C209" s="2"/>
      <c r="D209" s="124" t="s">
        <v>170</v>
      </c>
      <c r="E209" s="1"/>
      <c r="F209" s="107"/>
      <c r="G209" s="107"/>
      <c r="H209" s="107"/>
      <c r="I209" s="107"/>
      <c r="J209" s="107"/>
      <c r="K209" s="87" t="s">
        <v>4</v>
      </c>
      <c r="L209" s="85"/>
      <c r="M209" s="119"/>
      <c r="N209" s="107"/>
      <c r="O209" s="370"/>
      <c r="P209" s="370"/>
      <c r="Q209" s="370"/>
      <c r="R209" s="450">
        <f xml:space="preserve"> IF( '2.3 Selskabsspecifikke input'!R$298= 0, 0, '2.3 Selskabsspecifikke input'!R262 / '2.3 Selskabsspecifikke input'!R$298 )</f>
        <v>0</v>
      </c>
      <c r="S209" s="450">
        <f xml:space="preserve"> IF( '2.3 Selskabsspecifikke input'!S$298= 0, 0, '2.3 Selskabsspecifikke input'!S262 / '2.3 Selskabsspecifikke input'!S$298 )</f>
        <v>0</v>
      </c>
      <c r="T209" s="450">
        <f xml:space="preserve"> IF( '2.3 Selskabsspecifikke input'!T$298= 0, 0, '2.3 Selskabsspecifikke input'!T262 / '2.3 Selskabsspecifikke input'!T$298 )</f>
        <v>0</v>
      </c>
      <c r="U209" s="450">
        <f xml:space="preserve"> IF( '2.3 Selskabsspecifikke input'!U$298= 0, 0, '2.3 Selskabsspecifikke input'!U262 / '2.3 Selskabsspecifikke input'!U$298 )</f>
        <v>0</v>
      </c>
      <c r="V209" s="450">
        <f xml:space="preserve"> IF( '2.3 Selskabsspecifikke input'!V$298= 0, 0, '2.3 Selskabsspecifikke input'!V262 / '2.3 Selskabsspecifikke input'!V$298 )</f>
        <v>0</v>
      </c>
      <c r="W209" s="1"/>
      <c r="X209" s="1"/>
      <c r="Y209" s="1"/>
      <c r="Z209" s="1"/>
      <c r="AA209" s="1"/>
      <c r="AB209" s="1"/>
      <c r="AC209" s="1"/>
      <c r="AD209" s="1"/>
      <c r="AE209" s="1"/>
    </row>
    <row r="210" spans="1:31" customFormat="1" ht="15" customHeight="1">
      <c r="A210" s="1"/>
      <c r="B210" s="1"/>
      <c r="C210" s="2"/>
      <c r="D210" s="124" t="s">
        <v>171</v>
      </c>
      <c r="E210" s="1"/>
      <c r="F210" s="107"/>
      <c r="G210" s="107"/>
      <c r="H210" s="107"/>
      <c r="I210" s="107"/>
      <c r="J210" s="107"/>
      <c r="K210" s="87" t="s">
        <v>4</v>
      </c>
      <c r="L210" s="85"/>
      <c r="M210" s="119"/>
      <c r="N210" s="107"/>
      <c r="O210" s="370"/>
      <c r="P210" s="370"/>
      <c r="Q210" s="370"/>
      <c r="R210" s="450">
        <f xml:space="preserve"> IF( '2.3 Selskabsspecifikke input'!R$298= 0, 0, '2.3 Selskabsspecifikke input'!R263 / '2.3 Selskabsspecifikke input'!R$298 )</f>
        <v>0</v>
      </c>
      <c r="S210" s="450">
        <f xml:space="preserve"> IF( '2.3 Selskabsspecifikke input'!S$298= 0, 0, '2.3 Selskabsspecifikke input'!S263 / '2.3 Selskabsspecifikke input'!S$298 )</f>
        <v>0</v>
      </c>
      <c r="T210" s="450">
        <f xml:space="preserve"> IF( '2.3 Selskabsspecifikke input'!T$298= 0, 0, '2.3 Selskabsspecifikke input'!T263 / '2.3 Selskabsspecifikke input'!T$298 )</f>
        <v>0</v>
      </c>
      <c r="U210" s="450">
        <f xml:space="preserve"> IF( '2.3 Selskabsspecifikke input'!U$298= 0, 0, '2.3 Selskabsspecifikke input'!U263 / '2.3 Selskabsspecifikke input'!U$298 )</f>
        <v>0</v>
      </c>
      <c r="V210" s="450">
        <f xml:space="preserve"> IF( '2.3 Selskabsspecifikke input'!V$298= 0, 0, '2.3 Selskabsspecifikke input'!V263 / '2.3 Selskabsspecifikke input'!V$298 )</f>
        <v>0</v>
      </c>
      <c r="W210" s="1"/>
      <c r="X210" s="1"/>
      <c r="Y210" s="1"/>
      <c r="Z210" s="1"/>
      <c r="AA210" s="1"/>
      <c r="AB210" s="1"/>
      <c r="AC210" s="1"/>
      <c r="AD210" s="1"/>
      <c r="AE210" s="1"/>
    </row>
    <row r="211" spans="1:31" customFormat="1" ht="15" customHeight="1">
      <c r="A211" s="1"/>
      <c r="B211" s="1"/>
      <c r="C211" s="2"/>
      <c r="D211" s="124" t="s">
        <v>172</v>
      </c>
      <c r="E211" s="1"/>
      <c r="F211" s="107"/>
      <c r="G211" s="107"/>
      <c r="H211" s="107"/>
      <c r="I211" s="107"/>
      <c r="J211" s="107"/>
      <c r="K211" s="87" t="s">
        <v>4</v>
      </c>
      <c r="L211" s="85"/>
      <c r="M211" s="119"/>
      <c r="N211" s="107"/>
      <c r="O211" s="370"/>
      <c r="P211" s="370"/>
      <c r="Q211" s="370"/>
      <c r="R211" s="450">
        <f xml:space="preserve"> IF( '2.3 Selskabsspecifikke input'!R$298= 0, 0, '2.3 Selskabsspecifikke input'!R264 / '2.3 Selskabsspecifikke input'!R$298 )</f>
        <v>0</v>
      </c>
      <c r="S211" s="450">
        <f xml:space="preserve"> IF( '2.3 Selskabsspecifikke input'!S$298= 0, 0, '2.3 Selskabsspecifikke input'!S264 / '2.3 Selskabsspecifikke input'!S$298 )</f>
        <v>0</v>
      </c>
      <c r="T211" s="450">
        <f xml:space="preserve"> IF( '2.3 Selskabsspecifikke input'!T$298= 0, 0, '2.3 Selskabsspecifikke input'!T264 / '2.3 Selskabsspecifikke input'!T$298 )</f>
        <v>0</v>
      </c>
      <c r="U211" s="450">
        <f xml:space="preserve"> IF( '2.3 Selskabsspecifikke input'!U$298= 0, 0, '2.3 Selskabsspecifikke input'!U264 / '2.3 Selskabsspecifikke input'!U$298 )</f>
        <v>0</v>
      </c>
      <c r="V211" s="450">
        <f xml:space="preserve"> IF( '2.3 Selskabsspecifikke input'!V$298= 0, 0, '2.3 Selskabsspecifikke input'!V264 / '2.3 Selskabsspecifikke input'!V$298 )</f>
        <v>0</v>
      </c>
      <c r="W211" s="1"/>
      <c r="X211" s="1"/>
      <c r="Y211" s="1"/>
      <c r="Z211" s="1"/>
      <c r="AA211" s="1"/>
      <c r="AB211" s="1"/>
      <c r="AC211" s="1"/>
      <c r="AD211" s="1"/>
      <c r="AE211" s="1"/>
    </row>
    <row r="212" spans="1:31" customFormat="1" ht="15" customHeight="1">
      <c r="A212" s="1"/>
      <c r="B212" s="1"/>
      <c r="C212" s="2"/>
      <c r="D212" s="124" t="s">
        <v>173</v>
      </c>
      <c r="E212" s="1"/>
      <c r="F212" s="107"/>
      <c r="G212" s="107"/>
      <c r="H212" s="107"/>
      <c r="I212" s="107"/>
      <c r="J212" s="107"/>
      <c r="K212" s="87" t="s">
        <v>4</v>
      </c>
      <c r="L212" s="85"/>
      <c r="M212" s="119"/>
      <c r="N212" s="107"/>
      <c r="O212" s="370"/>
      <c r="P212" s="370"/>
      <c r="Q212" s="370"/>
      <c r="R212" s="450">
        <f xml:space="preserve"> IF( '2.3 Selskabsspecifikke input'!R$298= 0, 0, '2.3 Selskabsspecifikke input'!R265 / '2.3 Selskabsspecifikke input'!R$298 )</f>
        <v>0</v>
      </c>
      <c r="S212" s="450">
        <f xml:space="preserve"> IF( '2.3 Selskabsspecifikke input'!S$298= 0, 0, '2.3 Selskabsspecifikke input'!S265 / '2.3 Selskabsspecifikke input'!S$298 )</f>
        <v>0</v>
      </c>
      <c r="T212" s="450">
        <f xml:space="preserve"> IF( '2.3 Selskabsspecifikke input'!T$298= 0, 0, '2.3 Selskabsspecifikke input'!T265 / '2.3 Selskabsspecifikke input'!T$298 )</f>
        <v>0</v>
      </c>
      <c r="U212" s="450">
        <f xml:space="preserve"> IF( '2.3 Selskabsspecifikke input'!U$298= 0, 0, '2.3 Selskabsspecifikke input'!U265 / '2.3 Selskabsspecifikke input'!U$298 )</f>
        <v>0</v>
      </c>
      <c r="V212" s="450">
        <f xml:space="preserve"> IF( '2.3 Selskabsspecifikke input'!V$298= 0, 0, '2.3 Selskabsspecifikke input'!V265 / '2.3 Selskabsspecifikke input'!V$298 )</f>
        <v>0</v>
      </c>
      <c r="W212" s="1"/>
      <c r="X212" s="1"/>
      <c r="Y212" s="1"/>
      <c r="Z212" s="1"/>
      <c r="AA212" s="1"/>
      <c r="AB212" s="1"/>
      <c r="AC212" s="1"/>
      <c r="AD212" s="1"/>
      <c r="AE212" s="1"/>
    </row>
    <row r="213" spans="1:31" customFormat="1" ht="15" customHeight="1">
      <c r="A213" s="1"/>
      <c r="B213" s="1"/>
      <c r="C213" s="2"/>
      <c r="D213" s="124" t="s">
        <v>174</v>
      </c>
      <c r="E213" s="1"/>
      <c r="F213" s="107"/>
      <c r="G213" s="107"/>
      <c r="H213" s="107"/>
      <c r="I213" s="107"/>
      <c r="J213" s="107"/>
      <c r="K213" s="87" t="s">
        <v>4</v>
      </c>
      <c r="L213" s="85"/>
      <c r="M213" s="119"/>
      <c r="N213" s="107"/>
      <c r="O213" s="370"/>
      <c r="P213" s="370"/>
      <c r="Q213" s="370"/>
      <c r="R213" s="450">
        <f xml:space="preserve"> IF( '2.3 Selskabsspecifikke input'!R$298= 0, 0, '2.3 Selskabsspecifikke input'!R266 / '2.3 Selskabsspecifikke input'!R$298 )</f>
        <v>0</v>
      </c>
      <c r="S213" s="450">
        <f xml:space="preserve"> IF( '2.3 Selskabsspecifikke input'!S$298= 0, 0, '2.3 Selskabsspecifikke input'!S266 / '2.3 Selskabsspecifikke input'!S$298 )</f>
        <v>0</v>
      </c>
      <c r="T213" s="450">
        <f xml:space="preserve"> IF( '2.3 Selskabsspecifikke input'!T$298= 0, 0, '2.3 Selskabsspecifikke input'!T266 / '2.3 Selskabsspecifikke input'!T$298 )</f>
        <v>0</v>
      </c>
      <c r="U213" s="450">
        <f xml:space="preserve"> IF( '2.3 Selskabsspecifikke input'!U$298= 0, 0, '2.3 Selskabsspecifikke input'!U266 / '2.3 Selskabsspecifikke input'!U$298 )</f>
        <v>0</v>
      </c>
      <c r="V213" s="450">
        <f xml:space="preserve"> IF( '2.3 Selskabsspecifikke input'!V$298= 0, 0, '2.3 Selskabsspecifikke input'!V266 / '2.3 Selskabsspecifikke input'!V$298 )</f>
        <v>0</v>
      </c>
      <c r="W213" s="1"/>
      <c r="X213" s="1"/>
      <c r="Y213" s="1"/>
      <c r="Z213" s="1"/>
      <c r="AA213" s="1"/>
      <c r="AB213" s="1"/>
      <c r="AC213" s="1"/>
      <c r="AD213" s="1"/>
      <c r="AE213" s="1"/>
    </row>
    <row r="214" spans="1:31" customFormat="1" ht="15" customHeight="1">
      <c r="A214" s="1"/>
      <c r="B214" s="1"/>
      <c r="C214" s="2"/>
      <c r="D214" s="125" t="s">
        <v>175</v>
      </c>
      <c r="E214" s="27"/>
      <c r="F214" s="115"/>
      <c r="G214" s="115"/>
      <c r="H214" s="115"/>
      <c r="I214" s="115"/>
      <c r="J214" s="115"/>
      <c r="K214" s="98" t="s">
        <v>4</v>
      </c>
      <c r="L214" s="99"/>
      <c r="M214" s="151"/>
      <c r="N214" s="115"/>
      <c r="O214" s="368"/>
      <c r="P214" s="368"/>
      <c r="Q214" s="368"/>
      <c r="R214" s="451">
        <f xml:space="preserve"> IF( '2.3 Selskabsspecifikke input'!R$298= 0, 0, '2.3 Selskabsspecifikke input'!R267 / '2.3 Selskabsspecifikke input'!R$298 )</f>
        <v>0</v>
      </c>
      <c r="S214" s="451">
        <f xml:space="preserve"> IF( '2.3 Selskabsspecifikke input'!S$298= 0, 0, '2.3 Selskabsspecifikke input'!S267 / '2.3 Selskabsspecifikke input'!S$298 )</f>
        <v>0</v>
      </c>
      <c r="T214" s="451">
        <f xml:space="preserve"> IF( '2.3 Selskabsspecifikke input'!T$298= 0, 0, '2.3 Selskabsspecifikke input'!T267 / '2.3 Selskabsspecifikke input'!T$298 )</f>
        <v>0</v>
      </c>
      <c r="U214" s="451">
        <f xml:space="preserve"> IF( '2.3 Selskabsspecifikke input'!U$298= 0, 0, '2.3 Selskabsspecifikke input'!U267 / '2.3 Selskabsspecifikke input'!U$298 )</f>
        <v>0</v>
      </c>
      <c r="V214" s="451">
        <f xml:space="preserve"> IF( '2.3 Selskabsspecifikke input'!V$298= 0, 0, '2.3 Selskabsspecifikke input'!V267 / '2.3 Selskabsspecifikke input'!V$298 )</f>
        <v>0</v>
      </c>
      <c r="W214" s="27"/>
      <c r="X214" s="1"/>
      <c r="Y214" s="1"/>
      <c r="Z214" s="1"/>
      <c r="AA214" s="1"/>
      <c r="AB214" s="1"/>
      <c r="AC214" s="1"/>
      <c r="AD214" s="1"/>
      <c r="AE214" s="1"/>
    </row>
    <row r="215" spans="1:31" customFormat="1" ht="15" customHeight="1">
      <c r="A215" s="1"/>
      <c r="B215" s="1"/>
      <c r="C215" s="2"/>
      <c r="D215" s="105" t="s">
        <v>16</v>
      </c>
      <c r="E215" s="186"/>
      <c r="F215" s="120"/>
      <c r="G215" s="120"/>
      <c r="H215" s="120"/>
      <c r="I215" s="120"/>
      <c r="J215" s="120"/>
      <c r="K215" s="92" t="s">
        <v>4</v>
      </c>
      <c r="L215" s="105"/>
      <c r="M215" s="105"/>
      <c r="N215" s="120"/>
      <c r="O215" s="371"/>
      <c r="P215" s="371"/>
      <c r="Q215" s="371"/>
      <c r="R215" s="199">
        <f xml:space="preserve"> SUM( R191:R214 )</f>
        <v>0</v>
      </c>
      <c r="S215" s="199">
        <f xml:space="preserve"> SUM( S191:S214 )</f>
        <v>0</v>
      </c>
      <c r="T215" s="199">
        <f xml:space="preserve"> SUM( T191:T214 )</f>
        <v>0</v>
      </c>
      <c r="U215" s="199">
        <f xml:space="preserve"> SUM( U191:U214 )</f>
        <v>0</v>
      </c>
      <c r="V215" s="199">
        <f xml:space="preserve"> SUM( V191:V214 )</f>
        <v>0</v>
      </c>
      <c r="W215" s="33"/>
      <c r="X215" s="1"/>
      <c r="Y215" s="1"/>
      <c r="Z215" s="1"/>
      <c r="AA215" s="1"/>
      <c r="AB215" s="1"/>
      <c r="AC215" s="1"/>
      <c r="AD215" s="1"/>
      <c r="AE215" s="1"/>
    </row>
    <row r="216" spans="1:31" customFormat="1" ht="15" customHeight="1">
      <c r="A216" s="1"/>
      <c r="B216" s="1"/>
      <c r="C216" s="2"/>
      <c r="D216" s="85"/>
      <c r="E216" s="1"/>
      <c r="F216" s="86"/>
      <c r="G216" s="86"/>
      <c r="H216" s="86"/>
      <c r="I216" s="86"/>
      <c r="J216" s="86"/>
      <c r="K216" s="87"/>
      <c r="L216" s="85"/>
      <c r="M216" s="85"/>
      <c r="N216" s="86"/>
      <c r="O216" s="86"/>
      <c r="P216" s="86"/>
      <c r="Q216" s="86"/>
      <c r="R216" s="1"/>
      <c r="S216" s="1"/>
      <c r="T216" s="1"/>
      <c r="U216" s="1"/>
      <c r="V216" s="1"/>
      <c r="W216" s="1"/>
      <c r="X216" s="1"/>
      <c r="Y216" s="1"/>
      <c r="Z216" s="1"/>
      <c r="AA216" s="1"/>
      <c r="AB216" s="1"/>
      <c r="AC216" s="1"/>
      <c r="AD216" s="1"/>
      <c r="AE216" s="1"/>
    </row>
    <row r="217" spans="1:31" customFormat="1" ht="15" customHeight="1">
      <c r="A217" s="1"/>
      <c r="B217" s="1"/>
      <c r="C217" s="2"/>
      <c r="D217" s="88" t="s">
        <v>189</v>
      </c>
      <c r="E217" s="1"/>
      <c r="F217" s="107"/>
      <c r="G217" s="107"/>
      <c r="H217" s="107"/>
      <c r="I217" s="107"/>
      <c r="J217" s="107"/>
      <c r="K217" s="87"/>
      <c r="L217" s="85"/>
      <c r="M217" s="85"/>
      <c r="N217" s="107"/>
      <c r="O217" s="107"/>
      <c r="P217" s="107"/>
      <c r="Q217" s="107"/>
      <c r="R217" s="1"/>
      <c r="S217" s="1"/>
      <c r="T217" s="1"/>
      <c r="U217" s="1"/>
      <c r="V217" s="1"/>
      <c r="W217" s="1"/>
      <c r="X217" s="1"/>
      <c r="Y217" s="1"/>
      <c r="Z217" s="1"/>
      <c r="AA217" s="1"/>
      <c r="AB217" s="1"/>
      <c r="AC217" s="1"/>
      <c r="AD217" s="1"/>
      <c r="AE217" s="1"/>
    </row>
    <row r="218" spans="1:31" customFormat="1" ht="15" customHeight="1">
      <c r="A218" s="1"/>
      <c r="B218" s="1"/>
      <c r="C218" s="2"/>
      <c r="D218" s="122" t="s">
        <v>152</v>
      </c>
      <c r="E218" s="15"/>
      <c r="F218" s="116"/>
      <c r="G218" s="116"/>
      <c r="H218" s="116"/>
      <c r="I218" s="116"/>
      <c r="J218" s="116"/>
      <c r="K218" s="117" t="s">
        <v>4</v>
      </c>
      <c r="L218" s="123"/>
      <c r="M218" s="142"/>
      <c r="N218" s="116"/>
      <c r="O218" s="369"/>
      <c r="P218" s="369"/>
      <c r="Q218" s="369"/>
      <c r="R218" s="449">
        <f xml:space="preserve"> IF( '2.3 Selskabsspecifikke input'!R$298 = 0, 0, '2.3 Selskabsspecifikke input'!R271 / '2.3 Selskabsspecifikke input'!R$298 )</f>
        <v>0</v>
      </c>
      <c r="S218" s="449">
        <f xml:space="preserve"> IF( '2.3 Selskabsspecifikke input'!S$298 = 0, 0, '2.3 Selskabsspecifikke input'!S271 / '2.3 Selskabsspecifikke input'!S$298 )</f>
        <v>0</v>
      </c>
      <c r="T218" s="449">
        <f xml:space="preserve"> IF( '2.3 Selskabsspecifikke input'!T$298 = 0, 0, '2.3 Selskabsspecifikke input'!T271 / '2.3 Selskabsspecifikke input'!T$298 )</f>
        <v>0</v>
      </c>
      <c r="U218" s="449">
        <f xml:space="preserve"> IF( '2.3 Selskabsspecifikke input'!U$298 = 0, 0, '2.3 Selskabsspecifikke input'!U271 / '2.3 Selskabsspecifikke input'!U$298 )</f>
        <v>0</v>
      </c>
      <c r="V218" s="449">
        <f xml:space="preserve"> IF( '2.3 Selskabsspecifikke input'!V$298 = 0, 0, '2.3 Selskabsspecifikke input'!V271 / '2.3 Selskabsspecifikke input'!V$298 )</f>
        <v>0</v>
      </c>
      <c r="W218" s="15"/>
      <c r="X218" s="1"/>
      <c r="Y218" s="1"/>
      <c r="Z218" s="1"/>
      <c r="AA218" s="1"/>
      <c r="AB218" s="1"/>
      <c r="AC218" s="1"/>
      <c r="AD218" s="1"/>
      <c r="AE218" s="1"/>
    </row>
    <row r="219" spans="1:31" customFormat="1" ht="15" customHeight="1">
      <c r="A219" s="1"/>
      <c r="B219" s="1"/>
      <c r="C219" s="2"/>
      <c r="D219" s="124" t="s">
        <v>153</v>
      </c>
      <c r="E219" s="1"/>
      <c r="F219" s="107"/>
      <c r="G219" s="107"/>
      <c r="H219" s="107"/>
      <c r="I219" s="107"/>
      <c r="J219" s="107"/>
      <c r="K219" s="87" t="s">
        <v>4</v>
      </c>
      <c r="L219" s="85"/>
      <c r="M219" s="119"/>
      <c r="N219" s="107"/>
      <c r="O219" s="370"/>
      <c r="P219" s="370"/>
      <c r="Q219" s="370"/>
      <c r="R219" s="450">
        <f xml:space="preserve"> IF( '2.3 Selskabsspecifikke input'!R$298 = 0, 0, '2.3 Selskabsspecifikke input'!R272 / '2.3 Selskabsspecifikke input'!R$298 )</f>
        <v>0</v>
      </c>
      <c r="S219" s="450">
        <f xml:space="preserve"> IF( '2.3 Selskabsspecifikke input'!S$298 = 0, 0, '2.3 Selskabsspecifikke input'!S272 / '2.3 Selskabsspecifikke input'!S$298 )</f>
        <v>0</v>
      </c>
      <c r="T219" s="450">
        <f xml:space="preserve"> IF( '2.3 Selskabsspecifikke input'!T$298 = 0, 0, '2.3 Selskabsspecifikke input'!T272 / '2.3 Selskabsspecifikke input'!T$298 )</f>
        <v>0</v>
      </c>
      <c r="U219" s="450">
        <f xml:space="preserve"> IF( '2.3 Selskabsspecifikke input'!U$298 = 0, 0, '2.3 Selskabsspecifikke input'!U272 / '2.3 Selskabsspecifikke input'!U$298 )</f>
        <v>0</v>
      </c>
      <c r="V219" s="450">
        <f xml:space="preserve"> IF( '2.3 Selskabsspecifikke input'!V$298 = 0, 0, '2.3 Selskabsspecifikke input'!V272 / '2.3 Selskabsspecifikke input'!V$298 )</f>
        <v>0</v>
      </c>
      <c r="W219" s="1"/>
      <c r="X219" s="1"/>
      <c r="Y219" s="1"/>
      <c r="Z219" s="1"/>
      <c r="AA219" s="1"/>
      <c r="AB219" s="1"/>
      <c r="AC219" s="1"/>
      <c r="AD219" s="1"/>
      <c r="AE219" s="1"/>
    </row>
    <row r="220" spans="1:31" customFormat="1" ht="15" customHeight="1">
      <c r="A220" s="1"/>
      <c r="B220" s="1"/>
      <c r="C220" s="2"/>
      <c r="D220" s="124" t="s">
        <v>154</v>
      </c>
      <c r="E220" s="1"/>
      <c r="F220" s="107"/>
      <c r="G220" s="107"/>
      <c r="H220" s="107"/>
      <c r="I220" s="107"/>
      <c r="J220" s="107"/>
      <c r="K220" s="87" t="s">
        <v>4</v>
      </c>
      <c r="L220" s="85"/>
      <c r="M220" s="119"/>
      <c r="N220" s="107"/>
      <c r="O220" s="370"/>
      <c r="P220" s="370"/>
      <c r="Q220" s="370"/>
      <c r="R220" s="450">
        <f xml:space="preserve"> IF( '2.3 Selskabsspecifikke input'!R$298 = 0, 0, '2.3 Selskabsspecifikke input'!R273 / '2.3 Selskabsspecifikke input'!R$298 )</f>
        <v>0</v>
      </c>
      <c r="S220" s="450">
        <f xml:space="preserve"> IF( '2.3 Selskabsspecifikke input'!S$298 = 0, 0, '2.3 Selskabsspecifikke input'!S273 / '2.3 Selskabsspecifikke input'!S$298 )</f>
        <v>0</v>
      </c>
      <c r="T220" s="450">
        <f xml:space="preserve"> IF( '2.3 Selskabsspecifikke input'!T$298 = 0, 0, '2.3 Selskabsspecifikke input'!T273 / '2.3 Selskabsspecifikke input'!T$298 )</f>
        <v>0</v>
      </c>
      <c r="U220" s="450">
        <f xml:space="preserve"> IF( '2.3 Selskabsspecifikke input'!U$298 = 0, 0, '2.3 Selskabsspecifikke input'!U273 / '2.3 Selskabsspecifikke input'!U$298 )</f>
        <v>0</v>
      </c>
      <c r="V220" s="450">
        <f xml:space="preserve"> IF( '2.3 Selskabsspecifikke input'!V$298 = 0, 0, '2.3 Selskabsspecifikke input'!V273 / '2.3 Selskabsspecifikke input'!V$298 )</f>
        <v>0</v>
      </c>
      <c r="W220" s="1"/>
      <c r="X220" s="1"/>
      <c r="Y220" s="1"/>
      <c r="Z220" s="1"/>
      <c r="AA220" s="1"/>
      <c r="AB220" s="1"/>
      <c r="AC220" s="1"/>
      <c r="AD220" s="1"/>
      <c r="AE220" s="1"/>
    </row>
    <row r="221" spans="1:31" customFormat="1" ht="15" customHeight="1">
      <c r="A221" s="1"/>
      <c r="B221" s="1"/>
      <c r="C221" s="2"/>
      <c r="D221" s="124" t="s">
        <v>155</v>
      </c>
      <c r="E221" s="1"/>
      <c r="F221" s="107"/>
      <c r="G221" s="107"/>
      <c r="H221" s="107"/>
      <c r="I221" s="107"/>
      <c r="J221" s="107"/>
      <c r="K221" s="87" t="s">
        <v>4</v>
      </c>
      <c r="L221" s="85"/>
      <c r="M221" s="119"/>
      <c r="N221" s="107"/>
      <c r="O221" s="370"/>
      <c r="P221" s="370"/>
      <c r="Q221" s="370"/>
      <c r="R221" s="450">
        <f xml:space="preserve"> IF( '2.3 Selskabsspecifikke input'!R$298 = 0, 0, '2.3 Selskabsspecifikke input'!R274 / '2.3 Selskabsspecifikke input'!R$298 )</f>
        <v>0</v>
      </c>
      <c r="S221" s="450">
        <f xml:space="preserve"> IF( '2.3 Selskabsspecifikke input'!S$298 = 0, 0, '2.3 Selskabsspecifikke input'!S274 / '2.3 Selskabsspecifikke input'!S$298 )</f>
        <v>0</v>
      </c>
      <c r="T221" s="450">
        <f xml:space="preserve"> IF( '2.3 Selskabsspecifikke input'!T$298 = 0, 0, '2.3 Selskabsspecifikke input'!T274 / '2.3 Selskabsspecifikke input'!T$298 )</f>
        <v>0</v>
      </c>
      <c r="U221" s="450">
        <f xml:space="preserve"> IF( '2.3 Selskabsspecifikke input'!U$298 = 0, 0, '2.3 Selskabsspecifikke input'!U274 / '2.3 Selskabsspecifikke input'!U$298 )</f>
        <v>0</v>
      </c>
      <c r="V221" s="450">
        <f xml:space="preserve"> IF( '2.3 Selskabsspecifikke input'!V$298 = 0, 0, '2.3 Selskabsspecifikke input'!V274 / '2.3 Selskabsspecifikke input'!V$298 )</f>
        <v>0</v>
      </c>
      <c r="W221" s="1"/>
      <c r="X221" s="1"/>
      <c r="Y221" s="1"/>
      <c r="Z221" s="1"/>
      <c r="AA221" s="1"/>
      <c r="AB221" s="1"/>
      <c r="AC221" s="1"/>
      <c r="AD221" s="1"/>
      <c r="AE221" s="1"/>
    </row>
    <row r="222" spans="1:31" customFormat="1" ht="15" customHeight="1">
      <c r="A222" s="1"/>
      <c r="B222" s="1"/>
      <c r="C222" s="2"/>
      <c r="D222" s="124" t="s">
        <v>156</v>
      </c>
      <c r="E222" s="1"/>
      <c r="F222" s="107"/>
      <c r="G222" s="107"/>
      <c r="H222" s="107"/>
      <c r="I222" s="107"/>
      <c r="J222" s="107"/>
      <c r="K222" s="87" t="s">
        <v>4</v>
      </c>
      <c r="L222" s="85"/>
      <c r="M222" s="119"/>
      <c r="N222" s="107"/>
      <c r="O222" s="370"/>
      <c r="P222" s="370"/>
      <c r="Q222" s="370"/>
      <c r="R222" s="450">
        <f xml:space="preserve"> IF( '2.3 Selskabsspecifikke input'!R$298 = 0, 0, '2.3 Selskabsspecifikke input'!R275 / '2.3 Selskabsspecifikke input'!R$298 )</f>
        <v>0</v>
      </c>
      <c r="S222" s="450">
        <f xml:space="preserve"> IF( '2.3 Selskabsspecifikke input'!S$298 = 0, 0, '2.3 Selskabsspecifikke input'!S275 / '2.3 Selskabsspecifikke input'!S$298 )</f>
        <v>0</v>
      </c>
      <c r="T222" s="450">
        <f xml:space="preserve"> IF( '2.3 Selskabsspecifikke input'!T$298 = 0, 0, '2.3 Selskabsspecifikke input'!T275 / '2.3 Selskabsspecifikke input'!T$298 )</f>
        <v>0</v>
      </c>
      <c r="U222" s="450">
        <f xml:space="preserve"> IF( '2.3 Selskabsspecifikke input'!U$298 = 0, 0, '2.3 Selskabsspecifikke input'!U275 / '2.3 Selskabsspecifikke input'!U$298 )</f>
        <v>0</v>
      </c>
      <c r="V222" s="450">
        <f xml:space="preserve"> IF( '2.3 Selskabsspecifikke input'!V$298 = 0, 0, '2.3 Selskabsspecifikke input'!V275 / '2.3 Selskabsspecifikke input'!V$298 )</f>
        <v>0</v>
      </c>
      <c r="W222" s="1"/>
      <c r="X222" s="1"/>
      <c r="Y222" s="1"/>
      <c r="Z222" s="1"/>
      <c r="AA222" s="1"/>
      <c r="AB222" s="1"/>
      <c r="AC222" s="1"/>
      <c r="AD222" s="1"/>
      <c r="AE222" s="1"/>
    </row>
    <row r="223" spans="1:31" customFormat="1" ht="15" customHeight="1">
      <c r="A223" s="1"/>
      <c r="B223" s="1"/>
      <c r="C223" s="2"/>
      <c r="D223" s="124" t="s">
        <v>157</v>
      </c>
      <c r="E223" s="1"/>
      <c r="F223" s="107"/>
      <c r="G223" s="107"/>
      <c r="H223" s="107"/>
      <c r="I223" s="107"/>
      <c r="J223" s="107"/>
      <c r="K223" s="87" t="s">
        <v>4</v>
      </c>
      <c r="L223" s="85"/>
      <c r="M223" s="119"/>
      <c r="N223" s="107"/>
      <c r="O223" s="370"/>
      <c r="P223" s="370"/>
      <c r="Q223" s="370"/>
      <c r="R223" s="450">
        <f xml:space="preserve"> IF( '2.3 Selskabsspecifikke input'!R$298 = 0, 0, '2.3 Selskabsspecifikke input'!R276 / '2.3 Selskabsspecifikke input'!R$298 )</f>
        <v>0</v>
      </c>
      <c r="S223" s="450">
        <f xml:space="preserve"> IF( '2.3 Selskabsspecifikke input'!S$298 = 0, 0, '2.3 Selskabsspecifikke input'!S276 / '2.3 Selskabsspecifikke input'!S$298 )</f>
        <v>0</v>
      </c>
      <c r="T223" s="450">
        <f xml:space="preserve"> IF( '2.3 Selskabsspecifikke input'!T$298 = 0, 0, '2.3 Selskabsspecifikke input'!T276 / '2.3 Selskabsspecifikke input'!T$298 )</f>
        <v>0</v>
      </c>
      <c r="U223" s="450">
        <f xml:space="preserve"> IF( '2.3 Selskabsspecifikke input'!U$298 = 0, 0, '2.3 Selskabsspecifikke input'!U276 / '2.3 Selskabsspecifikke input'!U$298 )</f>
        <v>0</v>
      </c>
      <c r="V223" s="450">
        <f xml:space="preserve"> IF( '2.3 Selskabsspecifikke input'!V$298 = 0, 0, '2.3 Selskabsspecifikke input'!V276 / '2.3 Selskabsspecifikke input'!V$298 )</f>
        <v>0</v>
      </c>
      <c r="W223" s="1"/>
      <c r="X223" s="1"/>
      <c r="Y223" s="1"/>
      <c r="Z223" s="1"/>
      <c r="AA223" s="1"/>
      <c r="AB223" s="1"/>
      <c r="AC223" s="1"/>
      <c r="AD223" s="1"/>
      <c r="AE223" s="1"/>
    </row>
    <row r="224" spans="1:31" customFormat="1" ht="15" customHeight="1">
      <c r="A224" s="1"/>
      <c r="B224" s="1"/>
      <c r="C224" s="2"/>
      <c r="D224" s="124" t="s">
        <v>158</v>
      </c>
      <c r="E224" s="1"/>
      <c r="F224" s="107"/>
      <c r="G224" s="107"/>
      <c r="H224" s="107"/>
      <c r="I224" s="107"/>
      <c r="J224" s="107"/>
      <c r="K224" s="87" t="s">
        <v>4</v>
      </c>
      <c r="L224" s="85"/>
      <c r="M224" s="119"/>
      <c r="N224" s="107"/>
      <c r="O224" s="370"/>
      <c r="P224" s="370"/>
      <c r="Q224" s="370"/>
      <c r="R224" s="450">
        <f xml:space="preserve"> IF( '2.3 Selskabsspecifikke input'!R$298 = 0, 0, '2.3 Selskabsspecifikke input'!R277 / '2.3 Selskabsspecifikke input'!R$298 )</f>
        <v>0</v>
      </c>
      <c r="S224" s="450">
        <f xml:space="preserve"> IF( '2.3 Selskabsspecifikke input'!S$298 = 0, 0, '2.3 Selskabsspecifikke input'!S277 / '2.3 Selskabsspecifikke input'!S$298 )</f>
        <v>0</v>
      </c>
      <c r="T224" s="450">
        <f xml:space="preserve"> IF( '2.3 Selskabsspecifikke input'!T$298 = 0, 0, '2.3 Selskabsspecifikke input'!T277 / '2.3 Selskabsspecifikke input'!T$298 )</f>
        <v>0</v>
      </c>
      <c r="U224" s="450">
        <f xml:space="preserve"> IF( '2.3 Selskabsspecifikke input'!U$298 = 0, 0, '2.3 Selskabsspecifikke input'!U277 / '2.3 Selskabsspecifikke input'!U$298 )</f>
        <v>0</v>
      </c>
      <c r="V224" s="450">
        <f xml:space="preserve"> IF( '2.3 Selskabsspecifikke input'!V$298 = 0, 0, '2.3 Selskabsspecifikke input'!V277 / '2.3 Selskabsspecifikke input'!V$298 )</f>
        <v>0</v>
      </c>
      <c r="W224" s="1"/>
      <c r="X224" s="1"/>
      <c r="Y224" s="1"/>
      <c r="Z224" s="1"/>
      <c r="AA224" s="1"/>
      <c r="AB224" s="1"/>
      <c r="AC224" s="1"/>
      <c r="AD224" s="1"/>
      <c r="AE224" s="1"/>
    </row>
    <row r="225" spans="1:31" customFormat="1" ht="15" customHeight="1">
      <c r="A225" s="1"/>
      <c r="B225" s="1"/>
      <c r="C225" s="2"/>
      <c r="D225" s="124" t="s">
        <v>159</v>
      </c>
      <c r="E225" s="1"/>
      <c r="F225" s="107"/>
      <c r="G225" s="107"/>
      <c r="H225" s="107"/>
      <c r="I225" s="107"/>
      <c r="J225" s="107"/>
      <c r="K225" s="87" t="s">
        <v>4</v>
      </c>
      <c r="L225" s="85"/>
      <c r="M225" s="119"/>
      <c r="N225" s="107"/>
      <c r="O225" s="370"/>
      <c r="P225" s="370"/>
      <c r="Q225" s="370"/>
      <c r="R225" s="450">
        <f xml:space="preserve"> IF( '2.3 Selskabsspecifikke input'!R$298 = 0, 0, '2.3 Selskabsspecifikke input'!R278 / '2.3 Selskabsspecifikke input'!R$298 )</f>
        <v>0</v>
      </c>
      <c r="S225" s="450">
        <f xml:space="preserve"> IF( '2.3 Selskabsspecifikke input'!S$298 = 0, 0, '2.3 Selskabsspecifikke input'!S278 / '2.3 Selskabsspecifikke input'!S$298 )</f>
        <v>0</v>
      </c>
      <c r="T225" s="450">
        <f xml:space="preserve"> IF( '2.3 Selskabsspecifikke input'!T$298 = 0, 0, '2.3 Selskabsspecifikke input'!T278 / '2.3 Selskabsspecifikke input'!T$298 )</f>
        <v>0</v>
      </c>
      <c r="U225" s="450">
        <f xml:space="preserve"> IF( '2.3 Selskabsspecifikke input'!U$298 = 0, 0, '2.3 Selskabsspecifikke input'!U278 / '2.3 Selskabsspecifikke input'!U$298 )</f>
        <v>0</v>
      </c>
      <c r="V225" s="450">
        <f xml:space="preserve"> IF( '2.3 Selskabsspecifikke input'!V$298 = 0, 0, '2.3 Selskabsspecifikke input'!V278 / '2.3 Selskabsspecifikke input'!V$298 )</f>
        <v>0</v>
      </c>
      <c r="W225" s="1"/>
      <c r="X225" s="1"/>
      <c r="Y225" s="1"/>
      <c r="Z225" s="1"/>
      <c r="AA225" s="1"/>
      <c r="AB225" s="1"/>
      <c r="AC225" s="1"/>
      <c r="AD225" s="1"/>
      <c r="AE225" s="1"/>
    </row>
    <row r="226" spans="1:31" customFormat="1" ht="15" customHeight="1">
      <c r="A226" s="1"/>
      <c r="B226" s="1"/>
      <c r="C226" s="2"/>
      <c r="D226" s="124" t="s">
        <v>160</v>
      </c>
      <c r="E226" s="1"/>
      <c r="F226" s="107"/>
      <c r="G226" s="107"/>
      <c r="H226" s="107"/>
      <c r="I226" s="107"/>
      <c r="J226" s="107"/>
      <c r="K226" s="87" t="s">
        <v>4</v>
      </c>
      <c r="L226" s="85"/>
      <c r="M226" s="119"/>
      <c r="N226" s="107"/>
      <c r="O226" s="370"/>
      <c r="P226" s="370"/>
      <c r="Q226" s="370"/>
      <c r="R226" s="450">
        <f xml:space="preserve"> IF( '2.3 Selskabsspecifikke input'!R$298 = 0, 0, '2.3 Selskabsspecifikke input'!R279 / '2.3 Selskabsspecifikke input'!R$298 )</f>
        <v>0</v>
      </c>
      <c r="S226" s="450">
        <f xml:space="preserve"> IF( '2.3 Selskabsspecifikke input'!S$298 = 0, 0, '2.3 Selskabsspecifikke input'!S279 / '2.3 Selskabsspecifikke input'!S$298 )</f>
        <v>0</v>
      </c>
      <c r="T226" s="450">
        <f xml:space="preserve"> IF( '2.3 Selskabsspecifikke input'!T$298 = 0, 0, '2.3 Selskabsspecifikke input'!T279 / '2.3 Selskabsspecifikke input'!T$298 )</f>
        <v>0</v>
      </c>
      <c r="U226" s="450">
        <f xml:space="preserve"> IF( '2.3 Selskabsspecifikke input'!U$298 = 0, 0, '2.3 Selskabsspecifikke input'!U279 / '2.3 Selskabsspecifikke input'!U$298 )</f>
        <v>0</v>
      </c>
      <c r="V226" s="450">
        <f xml:space="preserve"> IF( '2.3 Selskabsspecifikke input'!V$298 = 0, 0, '2.3 Selskabsspecifikke input'!V279 / '2.3 Selskabsspecifikke input'!V$298 )</f>
        <v>0</v>
      </c>
      <c r="W226" s="1"/>
      <c r="X226" s="1"/>
      <c r="Y226" s="1"/>
      <c r="Z226" s="1"/>
      <c r="AA226" s="1"/>
      <c r="AB226" s="1"/>
      <c r="AC226" s="1"/>
      <c r="AD226" s="1"/>
      <c r="AE226" s="1"/>
    </row>
    <row r="227" spans="1:31" customFormat="1" ht="15" customHeight="1">
      <c r="A227" s="1"/>
      <c r="B227" s="1"/>
      <c r="C227" s="2"/>
      <c r="D227" s="124" t="s">
        <v>161</v>
      </c>
      <c r="E227" s="1"/>
      <c r="F227" s="107"/>
      <c r="G227" s="107"/>
      <c r="H227" s="107"/>
      <c r="I227" s="107"/>
      <c r="J227" s="107"/>
      <c r="K227" s="87" t="s">
        <v>4</v>
      </c>
      <c r="L227" s="85"/>
      <c r="M227" s="119"/>
      <c r="N227" s="107"/>
      <c r="O227" s="370"/>
      <c r="P227" s="370"/>
      <c r="Q227" s="370"/>
      <c r="R227" s="450">
        <f xml:space="preserve"> IF( '2.3 Selskabsspecifikke input'!R$298 = 0, 0, '2.3 Selskabsspecifikke input'!R280 / '2.3 Selskabsspecifikke input'!R$298 )</f>
        <v>0</v>
      </c>
      <c r="S227" s="450">
        <f xml:space="preserve"> IF( '2.3 Selskabsspecifikke input'!S$298 = 0, 0, '2.3 Selskabsspecifikke input'!S280 / '2.3 Selskabsspecifikke input'!S$298 )</f>
        <v>0</v>
      </c>
      <c r="T227" s="450">
        <f xml:space="preserve"> IF( '2.3 Selskabsspecifikke input'!T$298 = 0, 0, '2.3 Selskabsspecifikke input'!T280 / '2.3 Selskabsspecifikke input'!T$298 )</f>
        <v>0</v>
      </c>
      <c r="U227" s="450">
        <f xml:space="preserve"> IF( '2.3 Selskabsspecifikke input'!U$298 = 0, 0, '2.3 Selskabsspecifikke input'!U280 / '2.3 Selskabsspecifikke input'!U$298 )</f>
        <v>0</v>
      </c>
      <c r="V227" s="450">
        <f xml:space="preserve"> IF( '2.3 Selskabsspecifikke input'!V$298 = 0, 0, '2.3 Selskabsspecifikke input'!V280 / '2.3 Selskabsspecifikke input'!V$298 )</f>
        <v>0</v>
      </c>
      <c r="W227" s="1"/>
      <c r="X227" s="1"/>
      <c r="Y227" s="1"/>
      <c r="Z227" s="1"/>
      <c r="AA227" s="1"/>
      <c r="AB227" s="1"/>
      <c r="AC227" s="1"/>
      <c r="AD227" s="1"/>
      <c r="AE227" s="1"/>
    </row>
    <row r="228" spans="1:31" customFormat="1" ht="15" customHeight="1">
      <c r="A228" s="1"/>
      <c r="B228" s="1"/>
      <c r="C228" s="2"/>
      <c r="D228" s="124" t="s">
        <v>162</v>
      </c>
      <c r="E228" s="1"/>
      <c r="F228" s="107"/>
      <c r="G228" s="107"/>
      <c r="H228" s="107"/>
      <c r="I228" s="107"/>
      <c r="J228" s="107"/>
      <c r="K228" s="87" t="s">
        <v>4</v>
      </c>
      <c r="L228" s="85"/>
      <c r="M228" s="119"/>
      <c r="N228" s="107"/>
      <c r="O228" s="370"/>
      <c r="P228" s="370"/>
      <c r="Q228" s="370"/>
      <c r="R228" s="450">
        <f xml:space="preserve"> IF( '2.3 Selskabsspecifikke input'!R$298 = 0, 0, '2.3 Selskabsspecifikke input'!R281 / '2.3 Selskabsspecifikke input'!R$298 )</f>
        <v>0</v>
      </c>
      <c r="S228" s="450">
        <f xml:space="preserve"> IF( '2.3 Selskabsspecifikke input'!S$298 = 0, 0, '2.3 Selskabsspecifikke input'!S281 / '2.3 Selskabsspecifikke input'!S$298 )</f>
        <v>0</v>
      </c>
      <c r="T228" s="450">
        <f xml:space="preserve"> IF( '2.3 Selskabsspecifikke input'!T$298 = 0, 0, '2.3 Selskabsspecifikke input'!T281 / '2.3 Selskabsspecifikke input'!T$298 )</f>
        <v>0</v>
      </c>
      <c r="U228" s="450">
        <f xml:space="preserve"> IF( '2.3 Selskabsspecifikke input'!U$298 = 0, 0, '2.3 Selskabsspecifikke input'!U281 / '2.3 Selskabsspecifikke input'!U$298 )</f>
        <v>0</v>
      </c>
      <c r="V228" s="450">
        <f xml:space="preserve"> IF( '2.3 Selskabsspecifikke input'!V$298 = 0, 0, '2.3 Selskabsspecifikke input'!V281 / '2.3 Selskabsspecifikke input'!V$298 )</f>
        <v>0</v>
      </c>
      <c r="W228" s="1"/>
      <c r="X228" s="1"/>
      <c r="Y228" s="1"/>
      <c r="Z228" s="1"/>
      <c r="AA228" s="1"/>
      <c r="AB228" s="1"/>
      <c r="AC228" s="1"/>
      <c r="AD228" s="1"/>
      <c r="AE228" s="1"/>
    </row>
    <row r="229" spans="1:31" customFormat="1" ht="15" customHeight="1">
      <c r="A229" s="1"/>
      <c r="B229" s="1"/>
      <c r="C229" s="2"/>
      <c r="D229" s="124" t="s">
        <v>163</v>
      </c>
      <c r="E229" s="1"/>
      <c r="F229" s="107"/>
      <c r="G229" s="107"/>
      <c r="H229" s="107"/>
      <c r="I229" s="107"/>
      <c r="J229" s="107"/>
      <c r="K229" s="87" t="s">
        <v>4</v>
      </c>
      <c r="L229" s="85"/>
      <c r="M229" s="119"/>
      <c r="N229" s="107"/>
      <c r="O229" s="370"/>
      <c r="P229" s="370"/>
      <c r="Q229" s="370"/>
      <c r="R229" s="450">
        <f xml:space="preserve"> IF( '2.3 Selskabsspecifikke input'!R$298 = 0, 0, '2.3 Selskabsspecifikke input'!R282 / '2.3 Selskabsspecifikke input'!R$298 )</f>
        <v>0</v>
      </c>
      <c r="S229" s="450">
        <f xml:space="preserve"> IF( '2.3 Selskabsspecifikke input'!S$298 = 0, 0, '2.3 Selskabsspecifikke input'!S282 / '2.3 Selskabsspecifikke input'!S$298 )</f>
        <v>0</v>
      </c>
      <c r="T229" s="450">
        <f xml:space="preserve"> IF( '2.3 Selskabsspecifikke input'!T$298 = 0, 0, '2.3 Selskabsspecifikke input'!T282 / '2.3 Selskabsspecifikke input'!T$298 )</f>
        <v>0</v>
      </c>
      <c r="U229" s="450">
        <f xml:space="preserve"> IF( '2.3 Selskabsspecifikke input'!U$298 = 0, 0, '2.3 Selskabsspecifikke input'!U282 / '2.3 Selskabsspecifikke input'!U$298 )</f>
        <v>0</v>
      </c>
      <c r="V229" s="450">
        <f xml:space="preserve"> IF( '2.3 Selskabsspecifikke input'!V$298 = 0, 0, '2.3 Selskabsspecifikke input'!V282 / '2.3 Selskabsspecifikke input'!V$298 )</f>
        <v>0</v>
      </c>
      <c r="W229" s="1"/>
      <c r="X229" s="1"/>
      <c r="Y229" s="1"/>
      <c r="Z229" s="1"/>
      <c r="AA229" s="1"/>
      <c r="AB229" s="1"/>
      <c r="AC229" s="1"/>
      <c r="AD229" s="1"/>
      <c r="AE229" s="1"/>
    </row>
    <row r="230" spans="1:31" customFormat="1" ht="15" customHeight="1">
      <c r="A230" s="1"/>
      <c r="B230" s="1"/>
      <c r="C230" s="2"/>
      <c r="D230" s="124" t="s">
        <v>164</v>
      </c>
      <c r="E230" s="1"/>
      <c r="F230" s="107"/>
      <c r="G230" s="107"/>
      <c r="H230" s="107"/>
      <c r="I230" s="107"/>
      <c r="J230" s="107"/>
      <c r="K230" s="87" t="s">
        <v>4</v>
      </c>
      <c r="L230" s="85"/>
      <c r="M230" s="119"/>
      <c r="N230" s="107"/>
      <c r="O230" s="370"/>
      <c r="P230" s="370"/>
      <c r="Q230" s="370"/>
      <c r="R230" s="450">
        <f xml:space="preserve"> IF( '2.3 Selskabsspecifikke input'!R$298 = 0, 0, '2.3 Selskabsspecifikke input'!R283 / '2.3 Selskabsspecifikke input'!R$298 )</f>
        <v>0</v>
      </c>
      <c r="S230" s="450">
        <f xml:space="preserve"> IF( '2.3 Selskabsspecifikke input'!S$298 = 0, 0, '2.3 Selskabsspecifikke input'!S283 / '2.3 Selskabsspecifikke input'!S$298 )</f>
        <v>0</v>
      </c>
      <c r="T230" s="450">
        <f xml:space="preserve"> IF( '2.3 Selskabsspecifikke input'!T$298 = 0, 0, '2.3 Selskabsspecifikke input'!T283 / '2.3 Selskabsspecifikke input'!T$298 )</f>
        <v>0</v>
      </c>
      <c r="U230" s="450">
        <f xml:space="preserve"> IF( '2.3 Selskabsspecifikke input'!U$298 = 0, 0, '2.3 Selskabsspecifikke input'!U283 / '2.3 Selskabsspecifikke input'!U$298 )</f>
        <v>0</v>
      </c>
      <c r="V230" s="450">
        <f xml:space="preserve"> IF( '2.3 Selskabsspecifikke input'!V$298 = 0, 0, '2.3 Selskabsspecifikke input'!V283 / '2.3 Selskabsspecifikke input'!V$298 )</f>
        <v>0</v>
      </c>
      <c r="W230" s="1"/>
      <c r="X230" s="1"/>
      <c r="Y230" s="1"/>
      <c r="Z230" s="1"/>
      <c r="AA230" s="1"/>
      <c r="AB230" s="1"/>
      <c r="AC230" s="1"/>
      <c r="AD230" s="1"/>
      <c r="AE230" s="1"/>
    </row>
    <row r="231" spans="1:31" customFormat="1" ht="15" customHeight="1">
      <c r="A231" s="1"/>
      <c r="B231" s="1"/>
      <c r="C231" s="2"/>
      <c r="D231" s="124" t="s">
        <v>165</v>
      </c>
      <c r="E231" s="1"/>
      <c r="F231" s="107"/>
      <c r="G231" s="107"/>
      <c r="H231" s="107"/>
      <c r="I231" s="107"/>
      <c r="J231" s="107"/>
      <c r="K231" s="87" t="s">
        <v>4</v>
      </c>
      <c r="L231" s="85"/>
      <c r="M231" s="119"/>
      <c r="N231" s="107"/>
      <c r="O231" s="370"/>
      <c r="P231" s="370"/>
      <c r="Q231" s="370"/>
      <c r="R231" s="450">
        <f xml:space="preserve"> IF( '2.3 Selskabsspecifikke input'!R$298 = 0, 0, '2.3 Selskabsspecifikke input'!R284 / '2.3 Selskabsspecifikke input'!R$298 )</f>
        <v>0</v>
      </c>
      <c r="S231" s="450">
        <f xml:space="preserve"> IF( '2.3 Selskabsspecifikke input'!S$298 = 0, 0, '2.3 Selskabsspecifikke input'!S284 / '2.3 Selskabsspecifikke input'!S$298 )</f>
        <v>0</v>
      </c>
      <c r="T231" s="450">
        <f xml:space="preserve"> IF( '2.3 Selskabsspecifikke input'!T$298 = 0, 0, '2.3 Selskabsspecifikke input'!T284 / '2.3 Selskabsspecifikke input'!T$298 )</f>
        <v>0</v>
      </c>
      <c r="U231" s="450">
        <f xml:space="preserve"> IF( '2.3 Selskabsspecifikke input'!U$298 = 0, 0, '2.3 Selskabsspecifikke input'!U284 / '2.3 Selskabsspecifikke input'!U$298 )</f>
        <v>0</v>
      </c>
      <c r="V231" s="450">
        <f xml:space="preserve"> IF( '2.3 Selskabsspecifikke input'!V$298 = 0, 0, '2.3 Selskabsspecifikke input'!V284 / '2.3 Selskabsspecifikke input'!V$298 )</f>
        <v>0</v>
      </c>
      <c r="W231" s="1"/>
      <c r="X231" s="1"/>
      <c r="Y231" s="1"/>
      <c r="Z231" s="1"/>
      <c r="AA231" s="1"/>
      <c r="AB231" s="1"/>
      <c r="AC231" s="1"/>
      <c r="AD231" s="1"/>
      <c r="AE231" s="1"/>
    </row>
    <row r="232" spans="1:31" customFormat="1" ht="15" customHeight="1">
      <c r="A232" s="1"/>
      <c r="B232" s="1"/>
      <c r="C232" s="2"/>
      <c r="D232" s="124" t="s">
        <v>166</v>
      </c>
      <c r="E232" s="1"/>
      <c r="F232" s="107"/>
      <c r="G232" s="107"/>
      <c r="H232" s="107"/>
      <c r="I232" s="107"/>
      <c r="J232" s="107"/>
      <c r="K232" s="87" t="s">
        <v>4</v>
      </c>
      <c r="L232" s="85"/>
      <c r="M232" s="119"/>
      <c r="N232" s="107"/>
      <c r="O232" s="370"/>
      <c r="P232" s="370"/>
      <c r="Q232" s="370"/>
      <c r="R232" s="450">
        <f xml:space="preserve"> IF( '2.3 Selskabsspecifikke input'!R$298 = 0, 0, '2.3 Selskabsspecifikke input'!R285 / '2.3 Selskabsspecifikke input'!R$298 )</f>
        <v>0</v>
      </c>
      <c r="S232" s="450">
        <f xml:space="preserve"> IF( '2.3 Selskabsspecifikke input'!S$298 = 0, 0, '2.3 Selskabsspecifikke input'!S285 / '2.3 Selskabsspecifikke input'!S$298 )</f>
        <v>0</v>
      </c>
      <c r="T232" s="450">
        <f xml:space="preserve"> IF( '2.3 Selskabsspecifikke input'!T$298 = 0, 0, '2.3 Selskabsspecifikke input'!T285 / '2.3 Selskabsspecifikke input'!T$298 )</f>
        <v>0</v>
      </c>
      <c r="U232" s="450">
        <f xml:space="preserve"> IF( '2.3 Selskabsspecifikke input'!U$298 = 0, 0, '2.3 Selskabsspecifikke input'!U285 / '2.3 Selskabsspecifikke input'!U$298 )</f>
        <v>0</v>
      </c>
      <c r="V232" s="450">
        <f xml:space="preserve"> IF( '2.3 Selskabsspecifikke input'!V$298 = 0, 0, '2.3 Selskabsspecifikke input'!V285 / '2.3 Selskabsspecifikke input'!V$298 )</f>
        <v>0</v>
      </c>
      <c r="W232" s="1"/>
      <c r="X232" s="1"/>
      <c r="Y232" s="1"/>
      <c r="Z232" s="1"/>
      <c r="AA232" s="1"/>
      <c r="AB232" s="1"/>
      <c r="AC232" s="1"/>
      <c r="AD232" s="1"/>
      <c r="AE232" s="1"/>
    </row>
    <row r="233" spans="1:31" customFormat="1" ht="15" customHeight="1">
      <c r="A233" s="1"/>
      <c r="B233" s="1"/>
      <c r="C233" s="2"/>
      <c r="D233" s="124" t="s">
        <v>167</v>
      </c>
      <c r="E233" s="1"/>
      <c r="F233" s="107"/>
      <c r="G233" s="107"/>
      <c r="H233" s="107"/>
      <c r="I233" s="107"/>
      <c r="J233" s="107"/>
      <c r="K233" s="87" t="s">
        <v>4</v>
      </c>
      <c r="L233" s="85"/>
      <c r="M233" s="119"/>
      <c r="N233" s="107"/>
      <c r="O233" s="370"/>
      <c r="P233" s="370"/>
      <c r="Q233" s="370"/>
      <c r="R233" s="450">
        <f xml:space="preserve"> IF( '2.3 Selskabsspecifikke input'!R$298 = 0, 0, '2.3 Selskabsspecifikke input'!R286 / '2.3 Selskabsspecifikke input'!R$298 )</f>
        <v>0</v>
      </c>
      <c r="S233" s="450">
        <f xml:space="preserve"> IF( '2.3 Selskabsspecifikke input'!S$298 = 0, 0, '2.3 Selskabsspecifikke input'!S286 / '2.3 Selskabsspecifikke input'!S$298 )</f>
        <v>0</v>
      </c>
      <c r="T233" s="450">
        <f xml:space="preserve"> IF( '2.3 Selskabsspecifikke input'!T$298 = 0, 0, '2.3 Selskabsspecifikke input'!T286 / '2.3 Selskabsspecifikke input'!T$298 )</f>
        <v>0</v>
      </c>
      <c r="U233" s="450">
        <f xml:space="preserve"> IF( '2.3 Selskabsspecifikke input'!U$298 = 0, 0, '2.3 Selskabsspecifikke input'!U286 / '2.3 Selskabsspecifikke input'!U$298 )</f>
        <v>0</v>
      </c>
      <c r="V233" s="450">
        <f xml:space="preserve"> IF( '2.3 Selskabsspecifikke input'!V$298 = 0, 0, '2.3 Selskabsspecifikke input'!V286 / '2.3 Selskabsspecifikke input'!V$298 )</f>
        <v>0</v>
      </c>
      <c r="W233" s="1"/>
      <c r="X233" s="1"/>
      <c r="Y233" s="1"/>
      <c r="Z233" s="1"/>
      <c r="AA233" s="1"/>
      <c r="AB233" s="1"/>
      <c r="AC233" s="1"/>
      <c r="AD233" s="1"/>
      <c r="AE233" s="1"/>
    </row>
    <row r="234" spans="1:31" customFormat="1" ht="15" customHeight="1">
      <c r="A234" s="1"/>
      <c r="B234" s="1"/>
      <c r="C234" s="2"/>
      <c r="D234" s="124" t="s">
        <v>168</v>
      </c>
      <c r="E234" s="1"/>
      <c r="F234" s="107"/>
      <c r="G234" s="107"/>
      <c r="H234" s="107"/>
      <c r="I234" s="107"/>
      <c r="J234" s="107"/>
      <c r="K234" s="87" t="s">
        <v>4</v>
      </c>
      <c r="L234" s="85"/>
      <c r="M234" s="119"/>
      <c r="N234" s="107"/>
      <c r="O234" s="370"/>
      <c r="P234" s="370"/>
      <c r="Q234" s="370"/>
      <c r="R234" s="450">
        <f xml:space="preserve"> IF( '2.3 Selskabsspecifikke input'!R$298 = 0, 0, '2.3 Selskabsspecifikke input'!R287 / '2.3 Selskabsspecifikke input'!R$298 )</f>
        <v>0</v>
      </c>
      <c r="S234" s="450">
        <f xml:space="preserve"> IF( '2.3 Selskabsspecifikke input'!S$298 = 0, 0, '2.3 Selskabsspecifikke input'!S287 / '2.3 Selskabsspecifikke input'!S$298 )</f>
        <v>0</v>
      </c>
      <c r="T234" s="450">
        <f xml:space="preserve"> IF( '2.3 Selskabsspecifikke input'!T$298 = 0, 0, '2.3 Selskabsspecifikke input'!T287 / '2.3 Selskabsspecifikke input'!T$298 )</f>
        <v>0</v>
      </c>
      <c r="U234" s="450">
        <f xml:space="preserve"> IF( '2.3 Selskabsspecifikke input'!U$298 = 0, 0, '2.3 Selskabsspecifikke input'!U287 / '2.3 Selskabsspecifikke input'!U$298 )</f>
        <v>0</v>
      </c>
      <c r="V234" s="450">
        <f xml:space="preserve"> IF( '2.3 Selskabsspecifikke input'!V$298 = 0, 0, '2.3 Selskabsspecifikke input'!V287 / '2.3 Selskabsspecifikke input'!V$298 )</f>
        <v>0</v>
      </c>
      <c r="W234" s="1"/>
      <c r="X234" s="1"/>
      <c r="Y234" s="1"/>
      <c r="Z234" s="1"/>
      <c r="AA234" s="1"/>
      <c r="AB234" s="1"/>
      <c r="AC234" s="1"/>
      <c r="AD234" s="1"/>
      <c r="AE234" s="1"/>
    </row>
    <row r="235" spans="1:31" customFormat="1" ht="15" customHeight="1">
      <c r="A235" s="1"/>
      <c r="B235" s="1"/>
      <c r="C235" s="2"/>
      <c r="D235" s="124" t="s">
        <v>169</v>
      </c>
      <c r="E235" s="1"/>
      <c r="F235" s="107"/>
      <c r="G235" s="107"/>
      <c r="H235" s="107"/>
      <c r="I235" s="107"/>
      <c r="J235" s="107"/>
      <c r="K235" s="87" t="s">
        <v>4</v>
      </c>
      <c r="L235" s="85"/>
      <c r="M235" s="119"/>
      <c r="N235" s="107"/>
      <c r="O235" s="370"/>
      <c r="P235" s="370"/>
      <c r="Q235" s="370"/>
      <c r="R235" s="450">
        <f xml:space="preserve"> IF( '2.3 Selskabsspecifikke input'!R$298 = 0, 0, '2.3 Selskabsspecifikke input'!R288 / '2.3 Selskabsspecifikke input'!R$298 )</f>
        <v>0</v>
      </c>
      <c r="S235" s="450">
        <f xml:space="preserve"> IF( '2.3 Selskabsspecifikke input'!S$298 = 0, 0, '2.3 Selskabsspecifikke input'!S288 / '2.3 Selskabsspecifikke input'!S$298 )</f>
        <v>0</v>
      </c>
      <c r="T235" s="450">
        <f xml:space="preserve"> IF( '2.3 Selskabsspecifikke input'!T$298 = 0, 0, '2.3 Selskabsspecifikke input'!T288 / '2.3 Selskabsspecifikke input'!T$298 )</f>
        <v>0</v>
      </c>
      <c r="U235" s="450">
        <f xml:space="preserve"> IF( '2.3 Selskabsspecifikke input'!U$298 = 0, 0, '2.3 Selskabsspecifikke input'!U288 / '2.3 Selskabsspecifikke input'!U$298 )</f>
        <v>0</v>
      </c>
      <c r="V235" s="450">
        <f xml:space="preserve"> IF( '2.3 Selskabsspecifikke input'!V$298 = 0, 0, '2.3 Selskabsspecifikke input'!V288 / '2.3 Selskabsspecifikke input'!V$298 )</f>
        <v>0</v>
      </c>
      <c r="W235" s="1"/>
      <c r="X235" s="1"/>
      <c r="Y235" s="1"/>
      <c r="Z235" s="1"/>
      <c r="AA235" s="1"/>
      <c r="AB235" s="1"/>
      <c r="AC235" s="1"/>
      <c r="AD235" s="1"/>
      <c r="AE235" s="1"/>
    </row>
    <row r="236" spans="1:31" customFormat="1" ht="15" customHeight="1">
      <c r="A236" s="1"/>
      <c r="B236" s="1"/>
      <c r="C236" s="2"/>
      <c r="D236" s="124" t="s">
        <v>170</v>
      </c>
      <c r="E236" s="1"/>
      <c r="F236" s="107"/>
      <c r="G236" s="107"/>
      <c r="H236" s="107"/>
      <c r="I236" s="107"/>
      <c r="J236" s="107"/>
      <c r="K236" s="87" t="s">
        <v>4</v>
      </c>
      <c r="L236" s="85"/>
      <c r="M236" s="119"/>
      <c r="N236" s="107"/>
      <c r="O236" s="370"/>
      <c r="P236" s="370"/>
      <c r="Q236" s="370"/>
      <c r="R236" s="450">
        <f xml:space="preserve"> IF( '2.3 Selskabsspecifikke input'!R$298 = 0, 0, '2.3 Selskabsspecifikke input'!R289 / '2.3 Selskabsspecifikke input'!R$298 )</f>
        <v>0</v>
      </c>
      <c r="S236" s="450">
        <f xml:space="preserve"> IF( '2.3 Selskabsspecifikke input'!S$298 = 0, 0, '2.3 Selskabsspecifikke input'!S289 / '2.3 Selskabsspecifikke input'!S$298 )</f>
        <v>0</v>
      </c>
      <c r="T236" s="450">
        <f xml:space="preserve"> IF( '2.3 Selskabsspecifikke input'!T$298 = 0, 0, '2.3 Selskabsspecifikke input'!T289 / '2.3 Selskabsspecifikke input'!T$298 )</f>
        <v>0</v>
      </c>
      <c r="U236" s="450">
        <f xml:space="preserve"> IF( '2.3 Selskabsspecifikke input'!U$298 = 0, 0, '2.3 Selskabsspecifikke input'!U289 / '2.3 Selskabsspecifikke input'!U$298 )</f>
        <v>0</v>
      </c>
      <c r="V236" s="450">
        <f xml:space="preserve"> IF( '2.3 Selskabsspecifikke input'!V$298 = 0, 0, '2.3 Selskabsspecifikke input'!V289 / '2.3 Selskabsspecifikke input'!V$298 )</f>
        <v>0</v>
      </c>
      <c r="W236" s="1"/>
      <c r="X236" s="1"/>
      <c r="Y236" s="1"/>
      <c r="Z236" s="1"/>
      <c r="AA236" s="1"/>
      <c r="AB236" s="1"/>
      <c r="AC236" s="1"/>
      <c r="AD236" s="1"/>
      <c r="AE236" s="1"/>
    </row>
    <row r="237" spans="1:31" customFormat="1" ht="15" customHeight="1">
      <c r="A237" s="1"/>
      <c r="B237" s="1"/>
      <c r="C237" s="2"/>
      <c r="D237" s="124" t="s">
        <v>171</v>
      </c>
      <c r="E237" s="1"/>
      <c r="F237" s="107"/>
      <c r="G237" s="107"/>
      <c r="H237" s="107"/>
      <c r="I237" s="107"/>
      <c r="J237" s="107"/>
      <c r="K237" s="87" t="s">
        <v>4</v>
      </c>
      <c r="L237" s="85"/>
      <c r="M237" s="119"/>
      <c r="N237" s="107"/>
      <c r="O237" s="370"/>
      <c r="P237" s="370"/>
      <c r="Q237" s="370"/>
      <c r="R237" s="450">
        <f xml:space="preserve"> IF( '2.3 Selskabsspecifikke input'!R$298 = 0, 0, '2.3 Selskabsspecifikke input'!R290 / '2.3 Selskabsspecifikke input'!R$298 )</f>
        <v>0</v>
      </c>
      <c r="S237" s="450">
        <f xml:space="preserve"> IF( '2.3 Selskabsspecifikke input'!S$298 = 0, 0, '2.3 Selskabsspecifikke input'!S290 / '2.3 Selskabsspecifikke input'!S$298 )</f>
        <v>0</v>
      </c>
      <c r="T237" s="450">
        <f xml:space="preserve"> IF( '2.3 Selskabsspecifikke input'!T$298 = 0, 0, '2.3 Selskabsspecifikke input'!T290 / '2.3 Selskabsspecifikke input'!T$298 )</f>
        <v>0</v>
      </c>
      <c r="U237" s="450">
        <f xml:space="preserve"> IF( '2.3 Selskabsspecifikke input'!U$298 = 0, 0, '2.3 Selskabsspecifikke input'!U290 / '2.3 Selskabsspecifikke input'!U$298 )</f>
        <v>0</v>
      </c>
      <c r="V237" s="450">
        <f xml:space="preserve"> IF( '2.3 Selskabsspecifikke input'!V$298 = 0, 0, '2.3 Selskabsspecifikke input'!V290 / '2.3 Selskabsspecifikke input'!V$298 )</f>
        <v>0</v>
      </c>
      <c r="W237" s="1"/>
      <c r="X237" s="1"/>
      <c r="Y237" s="1"/>
      <c r="Z237" s="1"/>
      <c r="AA237" s="1"/>
      <c r="AB237" s="1"/>
      <c r="AC237" s="1"/>
      <c r="AD237" s="1"/>
      <c r="AE237" s="1"/>
    </row>
    <row r="238" spans="1:31" customFormat="1" ht="15" customHeight="1">
      <c r="A238" s="1"/>
      <c r="B238" s="1"/>
      <c r="C238" s="2"/>
      <c r="D238" s="124" t="s">
        <v>172</v>
      </c>
      <c r="E238" s="1"/>
      <c r="F238" s="107"/>
      <c r="G238" s="107"/>
      <c r="H238" s="107"/>
      <c r="I238" s="107"/>
      <c r="J238" s="107"/>
      <c r="K238" s="87" t="s">
        <v>4</v>
      </c>
      <c r="L238" s="85"/>
      <c r="M238" s="119"/>
      <c r="N238" s="107"/>
      <c r="O238" s="370"/>
      <c r="P238" s="370"/>
      <c r="Q238" s="370"/>
      <c r="R238" s="450">
        <f xml:space="preserve"> IF( '2.3 Selskabsspecifikke input'!R$298 = 0, 0, '2.3 Selskabsspecifikke input'!R291 / '2.3 Selskabsspecifikke input'!R$298 )</f>
        <v>0</v>
      </c>
      <c r="S238" s="450">
        <f xml:space="preserve"> IF( '2.3 Selskabsspecifikke input'!S$298 = 0, 0, '2.3 Selskabsspecifikke input'!S291 / '2.3 Selskabsspecifikke input'!S$298 )</f>
        <v>0</v>
      </c>
      <c r="T238" s="450">
        <f xml:space="preserve"> IF( '2.3 Selskabsspecifikke input'!T$298 = 0, 0, '2.3 Selskabsspecifikke input'!T291 / '2.3 Selskabsspecifikke input'!T$298 )</f>
        <v>0</v>
      </c>
      <c r="U238" s="450">
        <f xml:space="preserve"> IF( '2.3 Selskabsspecifikke input'!U$298 = 0, 0, '2.3 Selskabsspecifikke input'!U291 / '2.3 Selskabsspecifikke input'!U$298 )</f>
        <v>0</v>
      </c>
      <c r="V238" s="450">
        <f xml:space="preserve"> IF( '2.3 Selskabsspecifikke input'!V$298 = 0, 0, '2.3 Selskabsspecifikke input'!V291 / '2.3 Selskabsspecifikke input'!V$298 )</f>
        <v>0</v>
      </c>
      <c r="W238" s="1"/>
      <c r="X238" s="1"/>
      <c r="Y238" s="1"/>
      <c r="Z238" s="1"/>
      <c r="AA238" s="1"/>
      <c r="AB238" s="1"/>
      <c r="AC238" s="1"/>
      <c r="AD238" s="1"/>
      <c r="AE238" s="1"/>
    </row>
    <row r="239" spans="1:31" customFormat="1" ht="15" customHeight="1">
      <c r="A239" s="1"/>
      <c r="B239" s="1"/>
      <c r="C239" s="2"/>
      <c r="D239" s="124" t="s">
        <v>173</v>
      </c>
      <c r="E239" s="1"/>
      <c r="F239" s="107"/>
      <c r="G239" s="107"/>
      <c r="H239" s="107"/>
      <c r="I239" s="107"/>
      <c r="J239" s="107"/>
      <c r="K239" s="87" t="s">
        <v>4</v>
      </c>
      <c r="L239" s="85"/>
      <c r="M239" s="119"/>
      <c r="N239" s="107"/>
      <c r="O239" s="370"/>
      <c r="P239" s="370"/>
      <c r="Q239" s="370"/>
      <c r="R239" s="450">
        <f xml:space="preserve"> IF( '2.3 Selskabsspecifikke input'!R$298 = 0, 0, '2.3 Selskabsspecifikke input'!R292 / '2.3 Selskabsspecifikke input'!R$298 )</f>
        <v>0</v>
      </c>
      <c r="S239" s="450">
        <f xml:space="preserve"> IF( '2.3 Selskabsspecifikke input'!S$298 = 0, 0, '2.3 Selskabsspecifikke input'!S292 / '2.3 Selskabsspecifikke input'!S$298 )</f>
        <v>0</v>
      </c>
      <c r="T239" s="450">
        <f xml:space="preserve"> IF( '2.3 Selskabsspecifikke input'!T$298 = 0, 0, '2.3 Selskabsspecifikke input'!T292 / '2.3 Selskabsspecifikke input'!T$298 )</f>
        <v>0</v>
      </c>
      <c r="U239" s="450">
        <f xml:space="preserve"> IF( '2.3 Selskabsspecifikke input'!U$298 = 0, 0, '2.3 Selskabsspecifikke input'!U292 / '2.3 Selskabsspecifikke input'!U$298 )</f>
        <v>0</v>
      </c>
      <c r="V239" s="450">
        <f xml:space="preserve"> IF( '2.3 Selskabsspecifikke input'!V$298 = 0, 0, '2.3 Selskabsspecifikke input'!V292 / '2.3 Selskabsspecifikke input'!V$298 )</f>
        <v>0</v>
      </c>
      <c r="W239" s="1"/>
      <c r="X239" s="1"/>
      <c r="Y239" s="1"/>
      <c r="Z239" s="1"/>
      <c r="AA239" s="1"/>
      <c r="AB239" s="1"/>
      <c r="AC239" s="1"/>
      <c r="AD239" s="1"/>
      <c r="AE239" s="1"/>
    </row>
    <row r="240" spans="1:31" customFormat="1" ht="15" customHeight="1">
      <c r="A240" s="1"/>
      <c r="B240" s="1"/>
      <c r="C240" s="2"/>
      <c r="D240" s="124" t="s">
        <v>174</v>
      </c>
      <c r="E240" s="1"/>
      <c r="F240" s="107"/>
      <c r="G240" s="107"/>
      <c r="H240" s="107"/>
      <c r="I240" s="107"/>
      <c r="J240" s="107"/>
      <c r="K240" s="87" t="s">
        <v>4</v>
      </c>
      <c r="L240" s="85"/>
      <c r="M240" s="119"/>
      <c r="N240" s="107"/>
      <c r="O240" s="370"/>
      <c r="P240" s="370"/>
      <c r="Q240" s="370"/>
      <c r="R240" s="450">
        <f xml:space="preserve"> IF( '2.3 Selskabsspecifikke input'!R$298 = 0, 0, '2.3 Selskabsspecifikke input'!R293 / '2.3 Selskabsspecifikke input'!R$298 )</f>
        <v>0</v>
      </c>
      <c r="S240" s="450">
        <f xml:space="preserve"> IF( '2.3 Selskabsspecifikke input'!S$298 = 0, 0, '2.3 Selskabsspecifikke input'!S293 / '2.3 Selskabsspecifikke input'!S$298 )</f>
        <v>0</v>
      </c>
      <c r="T240" s="450">
        <f xml:space="preserve"> IF( '2.3 Selskabsspecifikke input'!T$298 = 0, 0, '2.3 Selskabsspecifikke input'!T293 / '2.3 Selskabsspecifikke input'!T$298 )</f>
        <v>0</v>
      </c>
      <c r="U240" s="450">
        <f xml:space="preserve"> IF( '2.3 Selskabsspecifikke input'!U$298 = 0, 0, '2.3 Selskabsspecifikke input'!U293 / '2.3 Selskabsspecifikke input'!U$298 )</f>
        <v>0</v>
      </c>
      <c r="V240" s="450">
        <f xml:space="preserve"> IF( '2.3 Selskabsspecifikke input'!V$298 = 0, 0, '2.3 Selskabsspecifikke input'!V293 / '2.3 Selskabsspecifikke input'!V$298 )</f>
        <v>0</v>
      </c>
      <c r="W240" s="1"/>
      <c r="X240" s="1"/>
      <c r="Y240" s="1"/>
      <c r="Z240" s="1"/>
      <c r="AA240" s="1"/>
      <c r="AB240" s="1"/>
      <c r="AC240" s="1"/>
      <c r="AD240" s="1"/>
      <c r="AE240" s="1"/>
    </row>
    <row r="241" spans="1:31" customFormat="1" ht="15" customHeight="1">
      <c r="A241" s="1"/>
      <c r="B241" s="1"/>
      <c r="C241" s="2"/>
      <c r="D241" s="125" t="s">
        <v>175</v>
      </c>
      <c r="E241" s="27"/>
      <c r="F241" s="115"/>
      <c r="G241" s="115"/>
      <c r="H241" s="115"/>
      <c r="I241" s="115"/>
      <c r="J241" s="115"/>
      <c r="K241" s="98" t="s">
        <v>4</v>
      </c>
      <c r="L241" s="99"/>
      <c r="M241" s="151"/>
      <c r="N241" s="115"/>
      <c r="O241" s="368"/>
      <c r="P241" s="368"/>
      <c r="Q241" s="368"/>
      <c r="R241" s="451">
        <f xml:space="preserve"> IF( '2.3 Selskabsspecifikke input'!R$298 = 0, 0, '2.3 Selskabsspecifikke input'!R294 / '2.3 Selskabsspecifikke input'!R$298 )</f>
        <v>0</v>
      </c>
      <c r="S241" s="451">
        <f xml:space="preserve"> IF( '2.3 Selskabsspecifikke input'!S$298 = 0, 0, '2.3 Selskabsspecifikke input'!S294 / '2.3 Selskabsspecifikke input'!S$298 )</f>
        <v>0</v>
      </c>
      <c r="T241" s="451">
        <f xml:space="preserve"> IF( '2.3 Selskabsspecifikke input'!T$298 = 0, 0, '2.3 Selskabsspecifikke input'!T294 / '2.3 Selskabsspecifikke input'!T$298 )</f>
        <v>0</v>
      </c>
      <c r="U241" s="451">
        <f xml:space="preserve"> IF( '2.3 Selskabsspecifikke input'!U$298 = 0, 0, '2.3 Selskabsspecifikke input'!U294 / '2.3 Selskabsspecifikke input'!U$298 )</f>
        <v>0</v>
      </c>
      <c r="V241" s="451">
        <f xml:space="preserve"> IF( '2.3 Selskabsspecifikke input'!V$298 = 0, 0, '2.3 Selskabsspecifikke input'!V294 / '2.3 Selskabsspecifikke input'!V$298 )</f>
        <v>0</v>
      </c>
      <c r="W241" s="27"/>
      <c r="X241" s="1"/>
      <c r="Y241" s="1"/>
      <c r="Z241" s="1"/>
      <c r="AA241" s="1"/>
      <c r="AB241" s="1"/>
      <c r="AC241" s="1"/>
      <c r="AD241" s="1"/>
      <c r="AE241" s="1"/>
    </row>
    <row r="242" spans="1:31" customFormat="1" ht="15" customHeight="1">
      <c r="A242" s="1"/>
      <c r="B242" s="1"/>
      <c r="C242" s="2"/>
      <c r="D242" s="105" t="s">
        <v>16</v>
      </c>
      <c r="E242" s="186"/>
      <c r="F242" s="120"/>
      <c r="G242" s="120"/>
      <c r="H242" s="120"/>
      <c r="I242" s="120"/>
      <c r="J242" s="120"/>
      <c r="K242" s="106" t="s">
        <v>4</v>
      </c>
      <c r="L242" s="105"/>
      <c r="M242" s="105"/>
      <c r="N242" s="120"/>
      <c r="O242" s="371"/>
      <c r="P242" s="371"/>
      <c r="Q242" s="371"/>
      <c r="R242" s="199">
        <f xml:space="preserve"> SUM( R218:R241 )</f>
        <v>0</v>
      </c>
      <c r="S242" s="199">
        <f xml:space="preserve"> SUM( S218:S241 )</f>
        <v>0</v>
      </c>
      <c r="T242" s="199">
        <f xml:space="preserve"> SUM( T218:T241 )</f>
        <v>0</v>
      </c>
      <c r="U242" s="199">
        <f xml:space="preserve"> SUM( U218:U241 )</f>
        <v>0</v>
      </c>
      <c r="V242" s="199">
        <f xml:space="preserve"> SUM( V218:V241 )</f>
        <v>0</v>
      </c>
      <c r="W242" s="33"/>
      <c r="X242" s="1"/>
      <c r="Y242" s="1"/>
      <c r="Z242" s="1"/>
      <c r="AA242" s="1"/>
      <c r="AB242" s="1"/>
      <c r="AC242" s="1"/>
      <c r="AD242" s="1"/>
      <c r="AE242" s="1"/>
    </row>
    <row r="243" spans="1:31" customFormat="1" ht="15" customHeight="1">
      <c r="A243" s="1"/>
      <c r="B243" s="1"/>
      <c r="C243" s="2"/>
      <c r="D243" s="85"/>
      <c r="E243" s="1"/>
      <c r="F243" s="86"/>
      <c r="G243" s="86"/>
      <c r="H243" s="86"/>
      <c r="I243" s="86"/>
      <c r="J243" s="86"/>
      <c r="K243" s="87"/>
      <c r="L243" s="85"/>
      <c r="M243" s="85"/>
      <c r="N243" s="86"/>
      <c r="O243" s="86"/>
      <c r="P243" s="86"/>
      <c r="Q243" s="86"/>
      <c r="R243" s="1"/>
      <c r="S243" s="1"/>
      <c r="T243" s="1"/>
      <c r="U243" s="1"/>
      <c r="V243" s="1"/>
      <c r="W243" s="1"/>
      <c r="X243" s="1"/>
      <c r="Y243" s="1"/>
      <c r="Z243" s="1"/>
      <c r="AA243" s="1"/>
      <c r="AB243" s="1"/>
      <c r="AC243" s="1"/>
      <c r="AD243" s="1"/>
      <c r="AE243" s="1"/>
    </row>
    <row r="244" spans="1:31" customFormat="1" ht="15" customHeight="1">
      <c r="A244" s="1"/>
      <c r="B244" s="1"/>
      <c r="C244" s="2"/>
      <c r="D244" s="85"/>
      <c r="E244" s="1"/>
      <c r="F244" s="86"/>
      <c r="G244" s="86"/>
      <c r="H244" s="86"/>
      <c r="I244" s="86"/>
      <c r="J244" s="86"/>
      <c r="K244" s="87"/>
      <c r="L244" s="85"/>
      <c r="M244" s="85"/>
      <c r="N244" s="86"/>
      <c r="O244" s="86"/>
      <c r="P244" s="86"/>
      <c r="Q244" s="86"/>
      <c r="R244" s="1"/>
      <c r="S244" s="1"/>
      <c r="T244" s="1"/>
      <c r="U244" s="1"/>
      <c r="V244" s="1"/>
      <c r="W244" s="1"/>
      <c r="X244" s="1"/>
      <c r="Y244" s="1"/>
      <c r="Z244" s="1"/>
      <c r="AA244" s="1"/>
      <c r="AB244" s="1"/>
      <c r="AC244" s="1"/>
      <c r="AD244" s="1"/>
      <c r="AE244" s="1"/>
    </row>
    <row r="245" spans="1:31" customFormat="1" ht="15" customHeight="1">
      <c r="A245" s="1"/>
      <c r="B245" s="1"/>
      <c r="C245" s="2"/>
      <c r="D245" s="85"/>
      <c r="E245" s="1"/>
      <c r="F245" s="86"/>
      <c r="G245" s="86"/>
      <c r="H245" s="86"/>
      <c r="I245" s="86"/>
      <c r="J245" s="86"/>
      <c r="K245" s="87"/>
      <c r="L245" s="85"/>
      <c r="M245" s="85"/>
      <c r="N245" s="86"/>
      <c r="O245" s="86"/>
      <c r="P245" s="86"/>
      <c r="Q245" s="86"/>
      <c r="R245" s="1"/>
      <c r="S245" s="1"/>
      <c r="T245" s="1"/>
      <c r="U245" s="1"/>
      <c r="V245" s="1"/>
      <c r="W245" s="1"/>
      <c r="X245" s="1"/>
      <c r="Y245" s="1"/>
      <c r="Z245" s="1"/>
      <c r="AA245" s="1"/>
      <c r="AB245" s="1"/>
      <c r="AC245" s="1"/>
      <c r="AD245" s="1"/>
      <c r="AE245" s="1"/>
    </row>
    <row r="246" spans="1:31" customFormat="1" ht="15" customHeight="1">
      <c r="A246" s="1"/>
      <c r="B246" s="1"/>
      <c r="C246" s="2"/>
      <c r="D246" s="88" t="s">
        <v>537</v>
      </c>
      <c r="E246" s="1"/>
      <c r="F246" s="107"/>
      <c r="G246" s="107"/>
      <c r="H246" s="107"/>
      <c r="I246" s="107"/>
      <c r="J246" s="107"/>
      <c r="K246" s="87"/>
      <c r="L246" s="85"/>
      <c r="M246" s="85"/>
      <c r="N246" s="107"/>
      <c r="O246" s="107"/>
      <c r="P246" s="107"/>
      <c r="Q246" s="107"/>
      <c r="R246" s="1"/>
      <c r="S246" s="1"/>
      <c r="T246" s="1"/>
      <c r="U246" s="1"/>
      <c r="V246" s="1"/>
      <c r="W246" s="1"/>
      <c r="X246" s="1"/>
      <c r="Y246" s="1"/>
      <c r="Z246" s="1"/>
      <c r="AA246" s="1"/>
      <c r="AB246" s="1"/>
      <c r="AC246" s="1"/>
      <c r="AD246" s="1"/>
      <c r="AE246" s="1"/>
    </row>
    <row r="247" spans="1:31" customFormat="1" ht="15" customHeight="1">
      <c r="A247" s="1"/>
      <c r="B247" s="1"/>
      <c r="C247" s="2"/>
      <c r="D247" s="122" t="str">
        <f xml:space="preserve"> '2.1 Model setup'!$K$65</f>
        <v>Lavlast</v>
      </c>
      <c r="E247" s="15"/>
      <c r="F247" s="116"/>
      <c r="G247" s="116"/>
      <c r="H247" s="116"/>
      <c r="I247" s="116"/>
      <c r="J247" s="116"/>
      <c r="K247" s="117" t="s">
        <v>4</v>
      </c>
      <c r="L247" s="123"/>
      <c r="M247" s="142"/>
      <c r="N247" s="116"/>
      <c r="O247" s="369"/>
      <c r="P247" s="369"/>
      <c r="Q247" s="369"/>
      <c r="R247" s="180" cm="1">
        <f t="array" ref="R247" xml:space="preserve"> SUMPRODUCT( -- ( '2.2 Generelle input'!R$360:R$383 = $D247 ), R$137:R$160 )</f>
        <v>0</v>
      </c>
      <c r="S247" s="180" cm="1">
        <f t="array" ref="S247" xml:space="preserve"> SUMPRODUCT( -- ( '2.2 Generelle input'!S$360:S$383 = $D247 ), S$137:S$160 )</f>
        <v>0</v>
      </c>
      <c r="T247" s="180" cm="1">
        <f t="array" ref="T247" xml:space="preserve"> SUMPRODUCT( -- ( '2.2 Generelle input'!T$360:T$383 = $D247 ), T$137:T$160 )</f>
        <v>0</v>
      </c>
      <c r="U247" s="180" cm="1">
        <f t="array" ref="U247" xml:space="preserve"> SUMPRODUCT( -- ( '2.2 Generelle input'!U$360:U$383 = $D247 ), U$137:U$160 )</f>
        <v>0</v>
      </c>
      <c r="V247" s="180" cm="1">
        <f t="array" ref="V247" xml:space="preserve"> SUMPRODUCT( -- ( '2.2 Generelle input'!V$360:V$383 = $D247 ), V$137:V$160 )</f>
        <v>0</v>
      </c>
      <c r="W247" s="15"/>
      <c r="X247" s="1"/>
      <c r="Y247" s="1"/>
      <c r="Z247" s="1"/>
      <c r="AA247" s="1"/>
      <c r="AB247" s="1"/>
      <c r="AC247" s="1"/>
      <c r="AD247" s="1"/>
      <c r="AE247" s="1"/>
    </row>
    <row r="248" spans="1:31" customFormat="1" ht="15" customHeight="1">
      <c r="A248" s="1"/>
      <c r="B248" s="1"/>
      <c r="C248" s="2"/>
      <c r="D248" s="124" t="str">
        <f xml:space="preserve"> '2.1 Model setup'!$K$66</f>
        <v>Højlast</v>
      </c>
      <c r="E248" s="1"/>
      <c r="F248" s="107"/>
      <c r="G248" s="107"/>
      <c r="H248" s="107"/>
      <c r="I248" s="107"/>
      <c r="J248" s="107"/>
      <c r="K248" s="87" t="s">
        <v>4</v>
      </c>
      <c r="L248" s="85"/>
      <c r="M248" s="119"/>
      <c r="N248" s="107"/>
      <c r="O248" s="370"/>
      <c r="P248" s="370"/>
      <c r="Q248" s="370"/>
      <c r="R248" s="181" cm="1">
        <f t="array" ref="R248" xml:space="preserve"> SUMPRODUCT( -- ( '2.2 Generelle input'!R$360:R$383 = $D248 ), R$137:R$160 )</f>
        <v>0</v>
      </c>
      <c r="S248" s="181" cm="1">
        <f t="array" ref="S248" xml:space="preserve"> SUMPRODUCT( -- ( '2.2 Generelle input'!S$360:S$383 = $D248 ), S$137:S$160 )</f>
        <v>0</v>
      </c>
      <c r="T248" s="181" cm="1">
        <f t="array" ref="T248" xml:space="preserve"> SUMPRODUCT( -- ( '2.2 Generelle input'!T$360:T$383 = $D248 ), T$137:T$160 )</f>
        <v>0</v>
      </c>
      <c r="U248" s="181" cm="1">
        <f t="array" ref="U248" xml:space="preserve"> SUMPRODUCT( -- ( '2.2 Generelle input'!U$360:U$383 = $D248 ), U$137:U$160 )</f>
        <v>0</v>
      </c>
      <c r="V248" s="181" cm="1">
        <f t="array" ref="V248" xml:space="preserve"> SUMPRODUCT( -- ( '2.2 Generelle input'!V$360:V$383 = $D248 ), V$137:V$160 )</f>
        <v>0</v>
      </c>
      <c r="W248" s="1"/>
      <c r="X248" s="1"/>
      <c r="Y248" s="1"/>
      <c r="Z248" s="1"/>
      <c r="AA248" s="1"/>
      <c r="AB248" s="1"/>
      <c r="AC248" s="1"/>
      <c r="AD248" s="1"/>
      <c r="AE248" s="1"/>
    </row>
    <row r="249" spans="1:31" customFormat="1" ht="15" customHeight="1">
      <c r="A249" s="1"/>
      <c r="B249" s="1"/>
      <c r="C249" s="2"/>
      <c r="D249" s="125" t="str">
        <f xml:space="preserve"> '2.1 Model setup'!$K$67</f>
        <v>Spidslast</v>
      </c>
      <c r="E249" s="27"/>
      <c r="F249" s="115"/>
      <c r="G249" s="115"/>
      <c r="H249" s="115"/>
      <c r="I249" s="115"/>
      <c r="J249" s="115"/>
      <c r="K249" s="98" t="s">
        <v>4</v>
      </c>
      <c r="L249" s="99" cm="1">
        <f t="array" ref="L249" xml:space="preserve"> -- ( SUMPRODUCT( -- ( ROUND( R247:V247 + R248:V248 + R249:V249, 5 ) &lt;&gt; ROUND( R161:V161, 5 ) ) ) &gt; 0 )</f>
        <v>0</v>
      </c>
      <c r="M249" s="151"/>
      <c r="N249" s="115"/>
      <c r="O249" s="368"/>
      <c r="P249" s="368"/>
      <c r="Q249" s="368"/>
      <c r="R249" s="182" cm="1">
        <f t="array" ref="R249" xml:space="preserve"> SUMPRODUCT( -- ( '2.2 Generelle input'!R$360:R$383 = $D249 ), R$137:R$160 )</f>
        <v>0</v>
      </c>
      <c r="S249" s="182" cm="1">
        <f t="array" ref="S249" xml:space="preserve"> SUMPRODUCT( -- ( '2.2 Generelle input'!S$360:S$383 = $D249 ), S$137:S$160 )</f>
        <v>0</v>
      </c>
      <c r="T249" s="182" cm="1">
        <f t="array" ref="T249" xml:space="preserve"> SUMPRODUCT( -- ( '2.2 Generelle input'!T$360:T$383 = $D249 ), T$137:T$160 )</f>
        <v>0</v>
      </c>
      <c r="U249" s="182" cm="1">
        <f t="array" ref="U249" xml:space="preserve"> SUMPRODUCT( -- ( '2.2 Generelle input'!U$360:U$383 = $D249 ), U$137:U$160 )</f>
        <v>0</v>
      </c>
      <c r="V249" s="182" cm="1">
        <f t="array" ref="V249" xml:space="preserve"> SUMPRODUCT( -- ( '2.2 Generelle input'!V$360:V$383 = $D249 ), V$137:V$160 )</f>
        <v>0</v>
      </c>
      <c r="W249" s="27"/>
      <c r="X249" s="1"/>
      <c r="Y249" s="1"/>
      <c r="Z249" s="1"/>
      <c r="AA249" s="1"/>
      <c r="AB249" s="1"/>
      <c r="AC249" s="1"/>
      <c r="AD249" s="1"/>
      <c r="AE249" s="1"/>
    </row>
    <row r="250" spans="1:31" customFormat="1" ht="15" customHeight="1">
      <c r="A250" s="1"/>
      <c r="B250" s="1"/>
      <c r="C250" s="2"/>
      <c r="D250" s="124"/>
      <c r="E250" s="1"/>
      <c r="F250" s="107"/>
      <c r="G250" s="107"/>
      <c r="H250" s="107"/>
      <c r="I250" s="107"/>
      <c r="J250" s="107"/>
      <c r="K250" s="87"/>
      <c r="L250" s="85"/>
      <c r="M250" s="119"/>
      <c r="N250" s="107"/>
      <c r="O250" s="181"/>
      <c r="P250" s="181"/>
      <c r="Q250" s="181"/>
      <c r="R250" s="181"/>
      <c r="S250" s="181"/>
      <c r="T250" s="181"/>
      <c r="U250" s="181"/>
      <c r="V250" s="181"/>
      <c r="W250" s="1"/>
      <c r="X250" s="1"/>
      <c r="Y250" s="1"/>
      <c r="Z250" s="1"/>
      <c r="AA250" s="1"/>
      <c r="AB250" s="1"/>
      <c r="AC250" s="1"/>
      <c r="AD250" s="1"/>
      <c r="AE250" s="1"/>
    </row>
    <row r="251" spans="1:31" customFormat="1" ht="15" customHeight="1">
      <c r="A251" s="1"/>
      <c r="B251" s="1"/>
      <c r="C251" s="2"/>
      <c r="D251" s="88" t="s">
        <v>538</v>
      </c>
      <c r="E251" s="1"/>
      <c r="F251" s="107"/>
      <c r="G251" s="107"/>
      <c r="H251" s="107"/>
      <c r="I251" s="107"/>
      <c r="J251" s="107"/>
      <c r="K251" s="87"/>
      <c r="L251" s="85"/>
      <c r="M251" s="85"/>
      <c r="N251" s="107"/>
      <c r="O251" s="107"/>
      <c r="P251" s="107"/>
      <c r="Q251" s="107"/>
      <c r="R251" s="1"/>
      <c r="S251" s="1"/>
      <c r="T251" s="1"/>
      <c r="U251" s="1"/>
      <c r="V251" s="1"/>
      <c r="W251" s="1"/>
      <c r="X251" s="1"/>
      <c r="Y251" s="1"/>
      <c r="Z251" s="1"/>
      <c r="AA251" s="1"/>
      <c r="AB251" s="1"/>
      <c r="AC251" s="1"/>
      <c r="AD251" s="1"/>
      <c r="AE251" s="1"/>
    </row>
    <row r="252" spans="1:31" customFormat="1" ht="15" customHeight="1">
      <c r="A252" s="1"/>
      <c r="B252" s="1"/>
      <c r="C252" s="2"/>
      <c r="D252" s="122" t="str">
        <f xml:space="preserve"> '2.1 Model setup'!$K$65</f>
        <v>Lavlast</v>
      </c>
      <c r="E252" s="15"/>
      <c r="F252" s="116"/>
      <c r="G252" s="116"/>
      <c r="H252" s="116"/>
      <c r="I252" s="116"/>
      <c r="J252" s="116"/>
      <c r="K252" s="117" t="s">
        <v>4</v>
      </c>
      <c r="L252" s="123"/>
      <c r="M252" s="142"/>
      <c r="N252" s="116"/>
      <c r="O252" s="369"/>
      <c r="P252" s="369"/>
      <c r="Q252" s="369"/>
      <c r="R252" s="180" cm="1">
        <f t="array" ref="R252" xml:space="preserve"> SUMPRODUCT( -- ( '2.2 Generelle input'!R$386:R$409 = $D252 ), R$164:R$187 )</f>
        <v>0</v>
      </c>
      <c r="S252" s="180" cm="1">
        <f t="array" ref="S252" xml:space="preserve"> SUMPRODUCT( -- ( '2.2 Generelle input'!S$386:S$409 = $D252 ), S$164:S$187 )</f>
        <v>0</v>
      </c>
      <c r="T252" s="180" cm="1">
        <f t="array" ref="T252" xml:space="preserve"> SUMPRODUCT( -- ( '2.2 Generelle input'!T$386:T$409 = $D252 ), T$164:T$187 )</f>
        <v>0</v>
      </c>
      <c r="U252" s="180" cm="1">
        <f t="array" ref="U252" xml:space="preserve"> SUMPRODUCT( -- ( '2.2 Generelle input'!U$386:U$409 = $D252 ), U$164:U$187 )</f>
        <v>0</v>
      </c>
      <c r="V252" s="180" cm="1">
        <f t="array" ref="V252" xml:space="preserve"> SUMPRODUCT( -- ( '2.2 Generelle input'!V$386:V$409 = $D252 ), V$164:V$187 )</f>
        <v>0</v>
      </c>
      <c r="W252" s="15"/>
      <c r="X252" s="1"/>
      <c r="Y252" s="1"/>
      <c r="Z252" s="1"/>
      <c r="AA252" s="1"/>
      <c r="AB252" s="1"/>
      <c r="AC252" s="1"/>
      <c r="AD252" s="1"/>
      <c r="AE252" s="1"/>
    </row>
    <row r="253" spans="1:31" customFormat="1" ht="15" customHeight="1">
      <c r="A253" s="1"/>
      <c r="B253" s="1"/>
      <c r="C253" s="2"/>
      <c r="D253" s="124" t="str">
        <f xml:space="preserve"> '2.1 Model setup'!$K$66</f>
        <v>Højlast</v>
      </c>
      <c r="E253" s="1"/>
      <c r="F253" s="107"/>
      <c r="G253" s="107"/>
      <c r="H253" s="107"/>
      <c r="I253" s="107"/>
      <c r="J253" s="107"/>
      <c r="K253" s="87" t="s">
        <v>4</v>
      </c>
      <c r="L253" s="85"/>
      <c r="M253" s="119"/>
      <c r="N253" s="107"/>
      <c r="O253" s="370"/>
      <c r="P253" s="370"/>
      <c r="Q253" s="370"/>
      <c r="R253" s="181" cm="1">
        <f t="array" ref="R253" xml:space="preserve"> SUMPRODUCT( -- ( '2.2 Generelle input'!R$386:R$409 = $D253 ), R$164:R$187 )</f>
        <v>0</v>
      </c>
      <c r="S253" s="181" cm="1">
        <f t="array" ref="S253" xml:space="preserve"> SUMPRODUCT( -- ( '2.2 Generelle input'!S$386:S$409 = $D253 ), S$164:S$187 )</f>
        <v>0</v>
      </c>
      <c r="T253" s="181" cm="1">
        <f t="array" ref="T253" xml:space="preserve"> SUMPRODUCT( -- ( '2.2 Generelle input'!T$386:T$409 = $D253 ), T$164:T$187 )</f>
        <v>0</v>
      </c>
      <c r="U253" s="181" cm="1">
        <f t="array" ref="U253" xml:space="preserve"> SUMPRODUCT( -- ( '2.2 Generelle input'!U$386:U$409 = $D253 ), U$164:U$187 )</f>
        <v>0</v>
      </c>
      <c r="V253" s="181" cm="1">
        <f t="array" ref="V253" xml:space="preserve"> SUMPRODUCT( -- ( '2.2 Generelle input'!V$386:V$409 = $D253 ), V$164:V$187 )</f>
        <v>0</v>
      </c>
      <c r="W253" s="1"/>
      <c r="X253" s="1"/>
      <c r="Y253" s="1"/>
      <c r="Z253" s="1"/>
      <c r="AA253" s="1"/>
      <c r="AB253" s="1"/>
      <c r="AC253" s="1"/>
      <c r="AD253" s="1"/>
      <c r="AE253" s="1"/>
    </row>
    <row r="254" spans="1:31" customFormat="1" ht="15" customHeight="1">
      <c r="A254" s="1"/>
      <c r="B254" s="1"/>
      <c r="C254" s="2"/>
      <c r="D254" s="125" t="str">
        <f xml:space="preserve"> '2.1 Model setup'!$K$67</f>
        <v>Spidslast</v>
      </c>
      <c r="E254" s="27"/>
      <c r="F254" s="115"/>
      <c r="G254" s="115"/>
      <c r="H254" s="115"/>
      <c r="I254" s="115"/>
      <c r="J254" s="115"/>
      <c r="K254" s="98" t="s">
        <v>4</v>
      </c>
      <c r="L254" s="99" cm="1">
        <f t="array" ref="L254" xml:space="preserve"> -- ( SUMPRODUCT( -- ( ROUND( R252:V252 + R253:V253 + R254:V254, 5 ) &lt;&gt; ROUND( R188:V188, 5 ) ) ) &gt; 0 )</f>
        <v>0</v>
      </c>
      <c r="M254" s="151"/>
      <c r="N254" s="115"/>
      <c r="O254" s="368"/>
      <c r="P254" s="368"/>
      <c r="Q254" s="368"/>
      <c r="R254" s="182" cm="1">
        <f t="array" ref="R254" xml:space="preserve"> SUMPRODUCT( -- ( '2.2 Generelle input'!R$386:R$409 = $D254 ), R$164:R$187 )</f>
        <v>0</v>
      </c>
      <c r="S254" s="182" cm="1">
        <f t="array" ref="S254" xml:space="preserve"> SUMPRODUCT( -- ( '2.2 Generelle input'!S$386:S$409 = $D254 ), S$164:S$187 )</f>
        <v>0</v>
      </c>
      <c r="T254" s="182" cm="1">
        <f t="array" ref="T254" xml:space="preserve"> SUMPRODUCT( -- ( '2.2 Generelle input'!T$386:T$409 = $D254 ), T$164:T$187 )</f>
        <v>0</v>
      </c>
      <c r="U254" s="182" cm="1">
        <f t="array" ref="U254" xml:space="preserve"> SUMPRODUCT( -- ( '2.2 Generelle input'!U$386:U$409 = $D254 ), U$164:U$187 )</f>
        <v>0</v>
      </c>
      <c r="V254" s="182" cm="1">
        <f t="array" ref="V254" xml:space="preserve"> SUMPRODUCT( -- ( '2.2 Generelle input'!V$386:V$409 = $D254 ), V$164:V$187 )</f>
        <v>0</v>
      </c>
      <c r="W254" s="27"/>
      <c r="X254" s="1"/>
      <c r="Y254" s="1"/>
      <c r="Z254" s="1"/>
      <c r="AA254" s="1"/>
      <c r="AB254" s="1"/>
      <c r="AC254" s="1"/>
      <c r="AD254" s="1"/>
      <c r="AE254" s="1"/>
    </row>
    <row r="255" spans="1:31" customFormat="1" ht="15" customHeight="1">
      <c r="A255" s="1"/>
      <c r="B255" s="1"/>
      <c r="C255" s="2"/>
      <c r="D255" s="124"/>
      <c r="E255" s="1"/>
      <c r="F255" s="107"/>
      <c r="G255" s="107"/>
      <c r="H255" s="107"/>
      <c r="I255" s="107"/>
      <c r="J255" s="107"/>
      <c r="K255" s="87"/>
      <c r="L255" s="85"/>
      <c r="M255" s="119"/>
      <c r="N255" s="107"/>
      <c r="O255" s="181"/>
      <c r="P255" s="181"/>
      <c r="Q255" s="181"/>
      <c r="R255" s="181"/>
      <c r="S255" s="181"/>
      <c r="T255" s="181"/>
      <c r="U255" s="181"/>
      <c r="V255" s="181"/>
      <c r="W255" s="1"/>
      <c r="X255" s="1"/>
      <c r="Y255" s="1"/>
      <c r="Z255" s="1"/>
      <c r="AA255" s="1"/>
      <c r="AB255" s="1"/>
      <c r="AC255" s="1"/>
      <c r="AD255" s="1"/>
      <c r="AE255" s="1"/>
    </row>
    <row r="256" spans="1:31" customFormat="1" ht="15" customHeight="1">
      <c r="A256" s="1"/>
      <c r="B256" s="1"/>
      <c r="C256" s="2"/>
      <c r="D256" s="88" t="s">
        <v>539</v>
      </c>
      <c r="E256" s="1"/>
      <c r="F256" s="107"/>
      <c r="G256" s="107"/>
      <c r="H256" s="107"/>
      <c r="I256" s="107"/>
      <c r="J256" s="107"/>
      <c r="K256" s="87"/>
      <c r="L256" s="85"/>
      <c r="M256" s="85"/>
      <c r="N256" s="107"/>
      <c r="O256" s="107"/>
      <c r="P256" s="107"/>
      <c r="Q256" s="107"/>
      <c r="R256" s="1"/>
      <c r="S256" s="1"/>
      <c r="T256" s="1"/>
      <c r="U256" s="1"/>
      <c r="V256" s="1"/>
      <c r="W256" s="1"/>
      <c r="X256" s="1"/>
      <c r="Y256" s="1"/>
      <c r="Z256" s="1"/>
      <c r="AA256" s="1"/>
      <c r="AB256" s="1"/>
      <c r="AC256" s="1"/>
      <c r="AD256" s="1"/>
      <c r="AE256" s="1"/>
    </row>
    <row r="257" spans="1:31" customFormat="1" ht="15" customHeight="1">
      <c r="A257" s="1"/>
      <c r="B257" s="1"/>
      <c r="C257" s="2"/>
      <c r="D257" s="122" t="str">
        <f xml:space="preserve"> '2.1 Model setup'!$K$65</f>
        <v>Lavlast</v>
      </c>
      <c r="E257" s="15"/>
      <c r="F257" s="116"/>
      <c r="G257" s="116"/>
      <c r="H257" s="116"/>
      <c r="I257" s="116"/>
      <c r="J257" s="116"/>
      <c r="K257" s="117" t="s">
        <v>4</v>
      </c>
      <c r="L257" s="123"/>
      <c r="M257" s="142"/>
      <c r="N257" s="116"/>
      <c r="O257" s="369"/>
      <c r="P257" s="369"/>
      <c r="Q257" s="369"/>
      <c r="R257" s="180" cm="1">
        <f t="array" ref="R257" xml:space="preserve"> SUMPRODUCT( -- ( '2.2 Generelle input'!R$412:R$435 = $D257 ), R$191:R$214 )</f>
        <v>0</v>
      </c>
      <c r="S257" s="180" cm="1">
        <f t="array" ref="S257" xml:space="preserve"> SUMPRODUCT( -- ( '2.2 Generelle input'!S$412:S$435 = $D257 ), S$191:S$214 )</f>
        <v>0</v>
      </c>
      <c r="T257" s="180" cm="1">
        <f t="array" ref="T257" xml:space="preserve"> SUMPRODUCT( -- ( '2.2 Generelle input'!T$412:T$435 = $D257 ), T$191:T$214 )</f>
        <v>0</v>
      </c>
      <c r="U257" s="180" cm="1">
        <f t="array" ref="U257" xml:space="preserve"> SUMPRODUCT( -- ( '2.2 Generelle input'!U$412:U$435 = $D257 ), U$191:U$214 )</f>
        <v>0</v>
      </c>
      <c r="V257" s="180" cm="1">
        <f t="array" ref="V257" xml:space="preserve"> SUMPRODUCT( -- ( '2.2 Generelle input'!V$412:V$435 = $D257 ), V$191:V$214 )</f>
        <v>0</v>
      </c>
      <c r="W257" s="15"/>
      <c r="X257" s="1"/>
      <c r="Y257" s="1"/>
      <c r="Z257" s="1"/>
      <c r="AA257" s="1"/>
      <c r="AB257" s="1"/>
      <c r="AC257" s="1"/>
      <c r="AD257" s="1"/>
      <c r="AE257" s="1"/>
    </row>
    <row r="258" spans="1:31" customFormat="1" ht="15" customHeight="1">
      <c r="A258" s="1"/>
      <c r="B258" s="1"/>
      <c r="C258" s="2"/>
      <c r="D258" s="124" t="str">
        <f xml:space="preserve"> '2.1 Model setup'!$K$66</f>
        <v>Højlast</v>
      </c>
      <c r="E258" s="1"/>
      <c r="F258" s="107"/>
      <c r="G258" s="107"/>
      <c r="H258" s="107"/>
      <c r="I258" s="107"/>
      <c r="J258" s="107"/>
      <c r="K258" s="87" t="s">
        <v>4</v>
      </c>
      <c r="L258" s="85"/>
      <c r="M258" s="119"/>
      <c r="N258" s="107"/>
      <c r="O258" s="370"/>
      <c r="P258" s="370"/>
      <c r="Q258" s="370"/>
      <c r="R258" s="181" cm="1">
        <f t="array" ref="R258" xml:space="preserve"> SUMPRODUCT( -- ( '2.2 Generelle input'!R$412:R$435 = $D258 ), R$191:R$214 )</f>
        <v>0</v>
      </c>
      <c r="S258" s="181" cm="1">
        <f t="array" ref="S258" xml:space="preserve"> SUMPRODUCT( -- ( '2.2 Generelle input'!S$412:S$435 = $D258 ), S$191:S$214 )</f>
        <v>0</v>
      </c>
      <c r="T258" s="181" cm="1">
        <f t="array" ref="T258" xml:space="preserve"> SUMPRODUCT( -- ( '2.2 Generelle input'!T$412:T$435 = $D258 ), T$191:T$214 )</f>
        <v>0</v>
      </c>
      <c r="U258" s="181" cm="1">
        <f t="array" ref="U258" xml:space="preserve"> SUMPRODUCT( -- ( '2.2 Generelle input'!U$412:U$435 = $D258 ), U$191:U$214 )</f>
        <v>0</v>
      </c>
      <c r="V258" s="181" cm="1">
        <f t="array" ref="V258" xml:space="preserve"> SUMPRODUCT( -- ( '2.2 Generelle input'!V$412:V$435 = $D258 ), V$191:V$214 )</f>
        <v>0</v>
      </c>
      <c r="W258" s="1"/>
      <c r="X258" s="1"/>
      <c r="Y258" s="1"/>
      <c r="Z258" s="1"/>
      <c r="AA258" s="1"/>
      <c r="AB258" s="1"/>
      <c r="AC258" s="1"/>
      <c r="AD258" s="1"/>
      <c r="AE258" s="1"/>
    </row>
    <row r="259" spans="1:31" customFormat="1" ht="15" customHeight="1">
      <c r="A259" s="1"/>
      <c r="B259" s="1"/>
      <c r="C259" s="2"/>
      <c r="D259" s="125" t="str">
        <f xml:space="preserve"> '2.1 Model setup'!$K$67</f>
        <v>Spidslast</v>
      </c>
      <c r="E259" s="27"/>
      <c r="F259" s="115"/>
      <c r="G259" s="115"/>
      <c r="H259" s="115"/>
      <c r="I259" s="115"/>
      <c r="J259" s="115"/>
      <c r="K259" s="98" t="s">
        <v>4</v>
      </c>
      <c r="L259" s="99" cm="1">
        <f t="array" ref="L259" xml:space="preserve"> -- ( SUMPRODUCT( -- ( ROUND( R257:V257 + R258:V258 + R259:V259, 5 ) &lt;&gt; ROUND( R215:V215, 5 ) ) ) &gt; 0 )</f>
        <v>0</v>
      </c>
      <c r="M259" s="151"/>
      <c r="N259" s="115"/>
      <c r="O259" s="368"/>
      <c r="P259" s="368"/>
      <c r="Q259" s="368"/>
      <c r="R259" s="182" cm="1">
        <f t="array" ref="R259" xml:space="preserve"> SUMPRODUCT( -- ( '2.2 Generelle input'!R$412:R$435 = $D259 ), R$191:R$214 )</f>
        <v>0</v>
      </c>
      <c r="S259" s="182" cm="1">
        <f t="array" ref="S259" xml:space="preserve"> SUMPRODUCT( -- ( '2.2 Generelle input'!S$412:S$435 = $D259 ), S$191:S$214 )</f>
        <v>0</v>
      </c>
      <c r="T259" s="182" cm="1">
        <f t="array" ref="T259" xml:space="preserve"> SUMPRODUCT( -- ( '2.2 Generelle input'!T$412:T$435 = $D259 ), T$191:T$214 )</f>
        <v>0</v>
      </c>
      <c r="U259" s="182" cm="1">
        <f t="array" ref="U259" xml:space="preserve"> SUMPRODUCT( -- ( '2.2 Generelle input'!U$412:U$435 = $D259 ), U$191:U$214 )</f>
        <v>0</v>
      </c>
      <c r="V259" s="182" cm="1">
        <f t="array" ref="V259" xml:space="preserve"> SUMPRODUCT( -- ( '2.2 Generelle input'!V$412:V$435 = $D259 ), V$191:V$214 )</f>
        <v>0</v>
      </c>
      <c r="W259" s="27"/>
      <c r="X259" s="1"/>
      <c r="Y259" s="1"/>
      <c r="Z259" s="1"/>
      <c r="AA259" s="1"/>
      <c r="AB259" s="1"/>
      <c r="AC259" s="1"/>
      <c r="AD259" s="1"/>
      <c r="AE259" s="1"/>
    </row>
    <row r="260" spans="1:31" customFormat="1" ht="15" customHeight="1">
      <c r="A260" s="1"/>
      <c r="B260" s="1"/>
      <c r="C260" s="2"/>
      <c r="D260" s="124"/>
      <c r="E260" s="1"/>
      <c r="F260" s="107"/>
      <c r="G260" s="107"/>
      <c r="H260" s="107"/>
      <c r="I260" s="107"/>
      <c r="J260" s="107"/>
      <c r="K260" s="87"/>
      <c r="L260" s="85"/>
      <c r="M260" s="119"/>
      <c r="N260" s="107"/>
      <c r="O260" s="181"/>
      <c r="P260" s="181"/>
      <c r="Q260" s="181"/>
      <c r="R260" s="181"/>
      <c r="S260" s="181"/>
      <c r="T260" s="181"/>
      <c r="U260" s="181"/>
      <c r="V260" s="181"/>
      <c r="W260" s="1"/>
      <c r="X260" s="1"/>
      <c r="Y260" s="1"/>
      <c r="Z260" s="1"/>
      <c r="AA260" s="1"/>
      <c r="AB260" s="1"/>
      <c r="AC260" s="1"/>
      <c r="AD260" s="1"/>
      <c r="AE260" s="1"/>
    </row>
    <row r="261" spans="1:31" customFormat="1" ht="15" customHeight="1">
      <c r="A261" s="1"/>
      <c r="B261" s="1"/>
      <c r="C261" s="2"/>
      <c r="D261" s="88" t="s">
        <v>540</v>
      </c>
      <c r="E261" s="1"/>
      <c r="F261" s="107"/>
      <c r="G261" s="107"/>
      <c r="H261" s="107"/>
      <c r="I261" s="107"/>
      <c r="J261" s="107"/>
      <c r="K261" s="87"/>
      <c r="L261" s="85"/>
      <c r="M261" s="85"/>
      <c r="N261" s="107"/>
      <c r="O261" s="107"/>
      <c r="P261" s="107"/>
      <c r="Q261" s="107"/>
      <c r="R261" s="1"/>
      <c r="S261" s="1"/>
      <c r="T261" s="1"/>
      <c r="U261" s="1"/>
      <c r="V261" s="1"/>
      <c r="W261" s="1"/>
      <c r="X261" s="1"/>
      <c r="Y261" s="1"/>
      <c r="Z261" s="1"/>
      <c r="AA261" s="1"/>
      <c r="AB261" s="1"/>
      <c r="AC261" s="1"/>
      <c r="AD261" s="1"/>
      <c r="AE261" s="1"/>
    </row>
    <row r="262" spans="1:31" customFormat="1" ht="15" customHeight="1">
      <c r="A262" s="1"/>
      <c r="B262" s="1"/>
      <c r="C262" s="2"/>
      <c r="D262" s="122" t="str">
        <f xml:space="preserve"> '2.1 Model setup'!$K$65</f>
        <v>Lavlast</v>
      </c>
      <c r="E262" s="15"/>
      <c r="F262" s="116"/>
      <c r="G262" s="116"/>
      <c r="H262" s="116"/>
      <c r="I262" s="116"/>
      <c r="J262" s="116"/>
      <c r="K262" s="117" t="s">
        <v>4</v>
      </c>
      <c r="L262" s="123"/>
      <c r="M262" s="142"/>
      <c r="N262" s="116"/>
      <c r="O262" s="369"/>
      <c r="P262" s="369"/>
      <c r="Q262" s="369"/>
      <c r="R262" s="180" cm="1">
        <f t="array" ref="R262" xml:space="preserve"> SUMPRODUCT( -- ( '2.2 Generelle input'!R$438:R$461 = $D262 ), R$218:R$241 )</f>
        <v>0</v>
      </c>
      <c r="S262" s="180" cm="1">
        <f t="array" ref="S262" xml:space="preserve"> SUMPRODUCT( -- ( '2.2 Generelle input'!S$438:S$461 = $D262 ), S$218:S$241 )</f>
        <v>0</v>
      </c>
      <c r="T262" s="180" cm="1">
        <f t="array" ref="T262" xml:space="preserve"> SUMPRODUCT( -- ( '2.2 Generelle input'!T$438:T$461 = $D262 ), T$218:T$241 )</f>
        <v>0</v>
      </c>
      <c r="U262" s="180" cm="1">
        <f t="array" ref="U262" xml:space="preserve"> SUMPRODUCT( -- ( '2.2 Generelle input'!U$438:U$461 = $D262 ), U$218:U$241 )</f>
        <v>0</v>
      </c>
      <c r="V262" s="180" cm="1">
        <f t="array" ref="V262" xml:space="preserve"> SUMPRODUCT( -- ( '2.2 Generelle input'!V$438:V$461 = $D262 ), V$218:V$241 )</f>
        <v>0</v>
      </c>
      <c r="W262" s="15"/>
      <c r="X262" s="1"/>
      <c r="Y262" s="1"/>
      <c r="Z262" s="1"/>
      <c r="AA262" s="1"/>
      <c r="AB262" s="1"/>
      <c r="AC262" s="1"/>
      <c r="AD262" s="1"/>
      <c r="AE262" s="1"/>
    </row>
    <row r="263" spans="1:31" customFormat="1" ht="15" customHeight="1">
      <c r="A263" s="1"/>
      <c r="B263" s="1"/>
      <c r="C263" s="2"/>
      <c r="D263" s="124" t="str">
        <f xml:space="preserve"> '2.1 Model setup'!$K$66</f>
        <v>Højlast</v>
      </c>
      <c r="E263" s="1"/>
      <c r="F263" s="107"/>
      <c r="G263" s="107"/>
      <c r="H263" s="107"/>
      <c r="I263" s="107"/>
      <c r="J263" s="107"/>
      <c r="K263" s="87" t="s">
        <v>4</v>
      </c>
      <c r="L263" s="85"/>
      <c r="M263" s="119"/>
      <c r="N263" s="107"/>
      <c r="O263" s="370"/>
      <c r="P263" s="370"/>
      <c r="Q263" s="370"/>
      <c r="R263" s="181" cm="1">
        <f t="array" ref="R263" xml:space="preserve"> SUMPRODUCT( -- ( '2.2 Generelle input'!R$438:R$461 = $D263 ), R$218:R$241 )</f>
        <v>0</v>
      </c>
      <c r="S263" s="181" cm="1">
        <f t="array" ref="S263" xml:space="preserve"> SUMPRODUCT( -- ( '2.2 Generelle input'!S$438:S$461 = $D263 ), S$218:S$241 )</f>
        <v>0</v>
      </c>
      <c r="T263" s="181" cm="1">
        <f t="array" ref="T263" xml:space="preserve"> SUMPRODUCT( -- ( '2.2 Generelle input'!T$438:T$461 = $D263 ), T$218:T$241 )</f>
        <v>0</v>
      </c>
      <c r="U263" s="181" cm="1">
        <f t="array" ref="U263" xml:space="preserve"> SUMPRODUCT( -- ( '2.2 Generelle input'!U$438:U$461 = $D263 ), U$218:U$241 )</f>
        <v>0</v>
      </c>
      <c r="V263" s="181" cm="1">
        <f t="array" ref="V263" xml:space="preserve"> SUMPRODUCT( -- ( '2.2 Generelle input'!V$438:V$461 = $D263 ), V$218:V$241 )</f>
        <v>0</v>
      </c>
      <c r="W263" s="1"/>
      <c r="X263" s="1"/>
      <c r="Y263" s="1"/>
      <c r="Z263" s="1"/>
      <c r="AA263" s="1"/>
      <c r="AB263" s="1"/>
      <c r="AC263" s="1"/>
      <c r="AD263" s="1"/>
      <c r="AE263" s="1"/>
    </row>
    <row r="264" spans="1:31" customFormat="1" ht="15" customHeight="1">
      <c r="A264" s="1"/>
      <c r="B264" s="1"/>
      <c r="C264" s="2"/>
      <c r="D264" s="125" t="str">
        <f xml:space="preserve"> '2.1 Model setup'!$K$67</f>
        <v>Spidslast</v>
      </c>
      <c r="E264" s="27"/>
      <c r="F264" s="115"/>
      <c r="G264" s="115"/>
      <c r="H264" s="115"/>
      <c r="I264" s="115"/>
      <c r="J264" s="115"/>
      <c r="K264" s="98" t="s">
        <v>4</v>
      </c>
      <c r="L264" s="99" cm="1">
        <f t="array" ref="L264" xml:space="preserve"> -- ( SUMPRODUCT( -- ( ROUND( R262:V262 + R263:V263 + R264:V264, 5 ) &lt;&gt; ROUND( R242:V242, 5 ) ) ) &gt; 0 )</f>
        <v>0</v>
      </c>
      <c r="M264" s="151"/>
      <c r="N264" s="115"/>
      <c r="O264" s="368"/>
      <c r="P264" s="368"/>
      <c r="Q264" s="368"/>
      <c r="R264" s="182" cm="1">
        <f t="array" ref="R264" xml:space="preserve"> SUMPRODUCT( -- ( '2.2 Generelle input'!R$438:R$461 = $D264 ), R$218:R$241 )</f>
        <v>0</v>
      </c>
      <c r="S264" s="182" cm="1">
        <f t="array" ref="S264" xml:space="preserve"> SUMPRODUCT( -- ( '2.2 Generelle input'!S$438:S$461 = $D264 ), S$218:S$241 )</f>
        <v>0</v>
      </c>
      <c r="T264" s="182" cm="1">
        <f t="array" ref="T264" xml:space="preserve"> SUMPRODUCT( -- ( '2.2 Generelle input'!T$438:T$461 = $D264 ), T$218:T$241 )</f>
        <v>0</v>
      </c>
      <c r="U264" s="182" cm="1">
        <f t="array" ref="U264" xml:space="preserve"> SUMPRODUCT( -- ( '2.2 Generelle input'!U$438:U$461 = $D264 ), U$218:U$241 )</f>
        <v>0</v>
      </c>
      <c r="V264" s="182" cm="1">
        <f t="array" ref="V264" xml:space="preserve"> SUMPRODUCT( -- ( '2.2 Generelle input'!V$438:V$461 = $D264 ), V$218:V$241 )</f>
        <v>0</v>
      </c>
      <c r="W264" s="27"/>
      <c r="X264" s="1"/>
      <c r="Y264" s="1"/>
      <c r="Z264" s="1"/>
      <c r="AA264" s="1"/>
      <c r="AB264" s="1"/>
      <c r="AC264" s="1"/>
      <c r="AD264" s="1"/>
      <c r="AE264" s="1"/>
    </row>
    <row r="265" spans="1:31" customFormat="1" ht="15" customHeight="1">
      <c r="A265" s="1"/>
      <c r="B265" s="1"/>
      <c r="C265" s="2"/>
      <c r="D265" s="124"/>
      <c r="E265" s="1"/>
      <c r="F265" s="107"/>
      <c r="G265" s="107"/>
      <c r="H265" s="107"/>
      <c r="I265" s="107"/>
      <c r="J265" s="107"/>
      <c r="K265" s="87"/>
      <c r="L265" s="85"/>
      <c r="M265" s="119"/>
      <c r="N265" s="107"/>
      <c r="O265" s="181"/>
      <c r="P265" s="181"/>
      <c r="Q265" s="181"/>
      <c r="R265" s="181"/>
      <c r="S265" s="181"/>
      <c r="T265" s="181"/>
      <c r="U265" s="181"/>
      <c r="V265" s="181"/>
      <c r="W265" s="1"/>
      <c r="X265" s="1"/>
      <c r="Y265" s="1"/>
      <c r="Z265" s="1"/>
      <c r="AA265" s="1"/>
      <c r="AB265" s="1"/>
      <c r="AC265" s="1"/>
      <c r="AD265" s="1"/>
      <c r="AE265" s="1"/>
    </row>
    <row r="266" spans="1:31" customFormat="1" ht="15" customHeight="1">
      <c r="A266" s="1"/>
      <c r="B266" s="1"/>
      <c r="C266" s="2"/>
      <c r="D266" s="88" t="s">
        <v>531</v>
      </c>
      <c r="E266" s="1"/>
      <c r="F266" s="107"/>
      <c r="G266" s="107"/>
      <c r="H266" s="107"/>
      <c r="I266" s="107"/>
      <c r="J266" s="107"/>
      <c r="K266" s="87"/>
      <c r="L266" s="85"/>
      <c r="M266" s="85"/>
      <c r="N266" s="107"/>
      <c r="O266" s="107"/>
      <c r="P266" s="107"/>
      <c r="Q266" s="107"/>
      <c r="R266" s="1"/>
      <c r="S266" s="1"/>
      <c r="T266" s="1"/>
      <c r="U266" s="1"/>
      <c r="V266" s="1"/>
      <c r="W266" s="1"/>
      <c r="X266" s="1"/>
      <c r="Y266" s="1"/>
      <c r="Z266" s="1"/>
      <c r="AA266" s="1"/>
      <c r="AB266" s="1"/>
      <c r="AC266" s="1"/>
      <c r="AD266" s="1"/>
      <c r="AE266" s="1"/>
    </row>
    <row r="267" spans="1:31" customFormat="1" ht="15" customHeight="1">
      <c r="A267" s="1"/>
      <c r="B267" s="1"/>
      <c r="C267" s="2"/>
      <c r="D267" s="122" t="str">
        <f xml:space="preserve"> '2.1 Model setup'!$K$65</f>
        <v>Lavlast</v>
      </c>
      <c r="E267" s="15"/>
      <c r="F267" s="116"/>
      <c r="G267" s="116"/>
      <c r="H267" s="116"/>
      <c r="I267" s="116"/>
      <c r="J267" s="116"/>
      <c r="K267" s="117" t="s">
        <v>4</v>
      </c>
      <c r="L267" s="123"/>
      <c r="M267" s="142"/>
      <c r="N267" s="116"/>
      <c r="O267" s="369"/>
      <c r="P267" s="369"/>
      <c r="Q267" s="369"/>
      <c r="R267" s="180">
        <f t="shared" ref="R267:V269" si="16" xml:space="preserve"> R247 + R252 + R257 + R262</f>
        <v>0</v>
      </c>
      <c r="S267" s="180">
        <f t="shared" si="16"/>
        <v>0</v>
      </c>
      <c r="T267" s="180">
        <f t="shared" si="16"/>
        <v>0</v>
      </c>
      <c r="U267" s="180">
        <f t="shared" si="16"/>
        <v>0</v>
      </c>
      <c r="V267" s="180">
        <f t="shared" si="16"/>
        <v>0</v>
      </c>
      <c r="W267" s="15"/>
      <c r="X267" s="1"/>
      <c r="Y267" s="1"/>
      <c r="Z267" s="1"/>
      <c r="AA267" s="1"/>
      <c r="AB267" s="1"/>
      <c r="AC267" s="1"/>
      <c r="AD267" s="1"/>
      <c r="AE267" s="1"/>
    </row>
    <row r="268" spans="1:31" customFormat="1" ht="15" customHeight="1">
      <c r="A268" s="1"/>
      <c r="B268" s="1"/>
      <c r="C268" s="2"/>
      <c r="D268" s="124" t="str">
        <f xml:space="preserve"> '2.1 Model setup'!$K$66</f>
        <v>Højlast</v>
      </c>
      <c r="E268" s="1"/>
      <c r="F268" s="107"/>
      <c r="G268" s="107"/>
      <c r="H268" s="107"/>
      <c r="I268" s="107"/>
      <c r="J268" s="107"/>
      <c r="K268" s="87" t="s">
        <v>4</v>
      </c>
      <c r="L268" s="85"/>
      <c r="M268" s="119"/>
      <c r="N268" s="107"/>
      <c r="O268" s="370"/>
      <c r="P268" s="370"/>
      <c r="Q268" s="370"/>
      <c r="R268" s="181">
        <f t="shared" si="16"/>
        <v>0</v>
      </c>
      <c r="S268" s="181">
        <f t="shared" si="16"/>
        <v>0</v>
      </c>
      <c r="T268" s="181">
        <f t="shared" si="16"/>
        <v>0</v>
      </c>
      <c r="U268" s="181">
        <f t="shared" si="16"/>
        <v>0</v>
      </c>
      <c r="V268" s="181">
        <f t="shared" si="16"/>
        <v>0</v>
      </c>
      <c r="W268" s="1"/>
      <c r="X268" s="1"/>
      <c r="Y268" s="1"/>
      <c r="Z268" s="1"/>
      <c r="AA268" s="1"/>
      <c r="AB268" s="1"/>
      <c r="AC268" s="1"/>
      <c r="AD268" s="1"/>
      <c r="AE268" s="1"/>
    </row>
    <row r="269" spans="1:31" customFormat="1" ht="15" customHeight="1">
      <c r="A269" s="1"/>
      <c r="B269" s="1"/>
      <c r="C269" s="2"/>
      <c r="D269" s="125" t="str">
        <f xml:space="preserve"> '2.1 Model setup'!$K$67</f>
        <v>Spidslast</v>
      </c>
      <c r="E269" s="27"/>
      <c r="F269" s="115"/>
      <c r="G269" s="115"/>
      <c r="H269" s="115"/>
      <c r="I269" s="115"/>
      <c r="J269" s="115"/>
      <c r="K269" s="98" t="s">
        <v>4</v>
      </c>
      <c r="L269" s="99"/>
      <c r="M269" s="151"/>
      <c r="N269" s="115"/>
      <c r="O269" s="368"/>
      <c r="P269" s="368"/>
      <c r="Q269" s="368"/>
      <c r="R269" s="182">
        <f t="shared" si="16"/>
        <v>0</v>
      </c>
      <c r="S269" s="182">
        <f t="shared" si="16"/>
        <v>0</v>
      </c>
      <c r="T269" s="182">
        <f t="shared" si="16"/>
        <v>0</v>
      </c>
      <c r="U269" s="182">
        <f t="shared" si="16"/>
        <v>0</v>
      </c>
      <c r="V269" s="182">
        <f t="shared" si="16"/>
        <v>0</v>
      </c>
      <c r="W269" s="27"/>
      <c r="X269" s="1"/>
      <c r="Y269" s="1"/>
      <c r="Z269" s="1"/>
      <c r="AA269" s="1"/>
      <c r="AB269" s="1"/>
      <c r="AC269" s="1"/>
      <c r="AD269" s="1"/>
      <c r="AE269" s="1"/>
    </row>
    <row r="270" spans="1:31" customFormat="1" ht="15" customHeight="1">
      <c r="A270" s="1"/>
      <c r="B270" s="1"/>
      <c r="C270" s="2"/>
      <c r="D270" s="85"/>
      <c r="E270" s="1"/>
      <c r="F270" s="86"/>
      <c r="G270" s="86"/>
      <c r="H270" s="86"/>
      <c r="I270" s="86"/>
      <c r="J270" s="86"/>
      <c r="K270" s="87"/>
      <c r="L270" s="85"/>
      <c r="M270" s="85"/>
      <c r="N270" s="86"/>
      <c r="O270" s="86"/>
      <c r="P270" s="86"/>
      <c r="Q270" s="86"/>
      <c r="R270" s="1"/>
      <c r="S270" s="1"/>
      <c r="T270" s="1"/>
      <c r="U270" s="1"/>
      <c r="V270" s="1"/>
      <c r="W270" s="1"/>
      <c r="X270" s="1"/>
      <c r="Y270" s="1"/>
      <c r="Z270" s="1"/>
      <c r="AA270" s="1"/>
      <c r="AB270" s="1"/>
      <c r="AC270" s="1"/>
      <c r="AD270" s="1"/>
      <c r="AE270" s="1"/>
    </row>
    <row r="271" spans="1:31" customFormat="1" ht="15" customHeight="1">
      <c r="A271" s="1"/>
      <c r="B271" s="1"/>
      <c r="C271" s="2"/>
      <c r="D271" s="85"/>
      <c r="E271" s="1"/>
      <c r="F271" s="86"/>
      <c r="G271" s="86"/>
      <c r="H271" s="86"/>
      <c r="I271" s="86"/>
      <c r="J271" s="86"/>
      <c r="K271" s="87"/>
      <c r="L271" s="85"/>
      <c r="M271" s="85"/>
      <c r="N271" s="86"/>
      <c r="O271" s="86"/>
      <c r="P271" s="86"/>
      <c r="Q271" s="86"/>
      <c r="R271" s="1"/>
      <c r="S271" s="1"/>
      <c r="T271" s="1"/>
      <c r="U271" s="1"/>
      <c r="V271" s="1"/>
      <c r="W271" s="1"/>
      <c r="X271" s="1"/>
      <c r="Y271" s="1"/>
      <c r="Z271" s="1"/>
      <c r="AA271" s="1"/>
      <c r="AB271" s="1"/>
      <c r="AC271" s="1"/>
      <c r="AD271" s="1"/>
      <c r="AE271" s="1"/>
    </row>
    <row r="272" spans="1:31" customFormat="1" ht="15" customHeight="1">
      <c r="A272" s="1"/>
      <c r="B272" s="1"/>
      <c r="C272" s="2"/>
      <c r="D272" s="85"/>
      <c r="E272" s="1"/>
      <c r="F272" s="86"/>
      <c r="G272" s="86"/>
      <c r="H272" s="86"/>
      <c r="I272" s="86"/>
      <c r="J272" s="86"/>
      <c r="K272" s="87"/>
      <c r="L272" s="85"/>
      <c r="M272" s="85"/>
      <c r="N272" s="86"/>
      <c r="O272" s="86"/>
      <c r="P272" s="86"/>
      <c r="Q272" s="86"/>
      <c r="R272" s="1"/>
      <c r="S272" s="1"/>
      <c r="T272" s="1"/>
      <c r="U272" s="1"/>
      <c r="V272" s="1"/>
      <c r="W272" s="1"/>
      <c r="X272" s="1"/>
      <c r="Y272" s="1"/>
      <c r="Z272" s="1"/>
      <c r="AA272" s="1"/>
      <c r="AB272" s="1"/>
      <c r="AC272" s="1"/>
      <c r="AD272" s="1"/>
      <c r="AE272" s="1"/>
    </row>
    <row r="273" spans="1:31" s="475" customFormat="1" ht="15" customHeight="1">
      <c r="B273" s="479" t="str">
        <f xml:space="preserve"> COUNTA(B$10:B272) &amp; ") Forbrugsnøgler (default-fordeling)"</f>
        <v>4) Forbrugsnøgler (default-fordeling)</v>
      </c>
      <c r="C273" s="477"/>
      <c r="D273" s="478"/>
      <c r="K273" s="472"/>
    </row>
    <row r="274" spans="1:31" customFormat="1" ht="15" customHeight="1">
      <c r="A274" s="1"/>
      <c r="B274" s="1"/>
      <c r="C274" s="2"/>
      <c r="D274" s="85"/>
      <c r="E274" s="1"/>
      <c r="F274" s="86"/>
      <c r="G274" s="86"/>
      <c r="H274" s="86"/>
      <c r="I274" s="86"/>
      <c r="J274" s="86"/>
      <c r="K274" s="87"/>
      <c r="L274" s="85"/>
      <c r="M274" s="85"/>
      <c r="N274" s="86"/>
      <c r="O274" s="86"/>
      <c r="P274" s="86"/>
      <c r="Q274" s="86"/>
      <c r="R274" s="1"/>
      <c r="S274" s="1"/>
      <c r="T274" s="1"/>
      <c r="U274" s="1"/>
      <c r="V274" s="1"/>
      <c r="W274" s="1"/>
      <c r="X274" s="1"/>
      <c r="Y274" s="1"/>
      <c r="Z274" s="1"/>
      <c r="AA274" s="1"/>
      <c r="AB274" s="1"/>
      <c r="AC274" s="1"/>
      <c r="AD274" s="1"/>
      <c r="AE274" s="1"/>
    </row>
    <row r="275" spans="1:31" customFormat="1" ht="15" customHeight="1">
      <c r="A275" s="1"/>
      <c r="B275" s="1"/>
      <c r="C275" s="2"/>
      <c r="D275" s="85"/>
      <c r="E275" s="1"/>
      <c r="F275" s="86"/>
      <c r="G275" s="86"/>
      <c r="H275" s="86"/>
      <c r="I275" s="86"/>
      <c r="J275" s="86"/>
      <c r="K275" s="87"/>
      <c r="L275" s="85"/>
      <c r="M275" s="85"/>
      <c r="N275" s="86"/>
      <c r="O275" s="86"/>
      <c r="P275" s="86"/>
      <c r="Q275" s="86"/>
      <c r="R275" s="1"/>
      <c r="S275" s="1"/>
      <c r="T275" s="1"/>
      <c r="U275" s="1"/>
      <c r="V275" s="1"/>
      <c r="W275" s="1"/>
      <c r="X275" s="1"/>
      <c r="Y275" s="447" t="s">
        <v>541</v>
      </c>
      <c r="Z275" s="1"/>
      <c r="AA275" s="1"/>
      <c r="AB275" s="1"/>
      <c r="AC275" s="1"/>
      <c r="AD275" s="1"/>
      <c r="AE275" s="1"/>
    </row>
    <row r="276" spans="1:31" customFormat="1" ht="15" customHeight="1">
      <c r="A276" s="1"/>
      <c r="B276" s="1"/>
      <c r="C276" s="2"/>
      <c r="D276" s="88" t="s">
        <v>186</v>
      </c>
      <c r="E276" s="1"/>
      <c r="F276" s="107"/>
      <c r="G276" s="107"/>
      <c r="H276" s="107"/>
      <c r="I276" s="107"/>
      <c r="J276" s="107"/>
      <c r="K276" s="87"/>
      <c r="L276" s="85"/>
      <c r="M276" s="85"/>
      <c r="N276" s="107"/>
      <c r="O276" s="107"/>
      <c r="P276" s="107"/>
      <c r="Q276" s="107"/>
      <c r="R276" s="1"/>
      <c r="S276" s="1"/>
      <c r="T276" s="1"/>
      <c r="U276" s="1"/>
      <c r="V276" s="1"/>
      <c r="W276" s="1"/>
      <c r="X276" s="1"/>
      <c r="Y276" s="89" t="s">
        <v>11</v>
      </c>
      <c r="Z276" s="89" t="s">
        <v>12</v>
      </c>
      <c r="AA276" s="89" t="s">
        <v>13</v>
      </c>
      <c r="AB276" s="89" t="s">
        <v>14</v>
      </c>
      <c r="AC276" s="89" t="s">
        <v>15</v>
      </c>
      <c r="AD276" s="1"/>
      <c r="AE276" s="1"/>
    </row>
    <row r="277" spans="1:31" customFormat="1" ht="15" customHeight="1">
      <c r="A277" s="1"/>
      <c r="B277" s="1"/>
      <c r="C277" s="2"/>
      <c r="D277" s="122" t="s">
        <v>152</v>
      </c>
      <c r="E277" s="15"/>
      <c r="F277" s="116"/>
      <c r="G277" s="116"/>
      <c r="H277" s="116"/>
      <c r="I277" s="116"/>
      <c r="J277" s="116"/>
      <c r="K277" s="117" t="s">
        <v>4</v>
      </c>
      <c r="L277" s="123"/>
      <c r="M277" s="142"/>
      <c r="N277" s="116"/>
      <c r="O277" s="369"/>
      <c r="P277" s="369"/>
      <c r="Q277" s="369"/>
      <c r="R277" s="152">
        <v>1.4068412021766731E-2</v>
      </c>
      <c r="S277" s="152">
        <v>1.4360924329498316E-2</v>
      </c>
      <c r="T277" s="152">
        <v>1.4490093147242972E-2</v>
      </c>
      <c r="U277" s="152">
        <v>1.2139465017117462E-2</v>
      </c>
      <c r="V277" s="381">
        <v>1.1575040456200506E-2</v>
      </c>
      <c r="W277" s="15"/>
      <c r="X277" s="1"/>
      <c r="Y277" s="180">
        <f t="shared" ref="Y277:Y300" si="17" xml:space="preserve"> R137 - R277</f>
        <v>-1.4068412021766731E-2</v>
      </c>
      <c r="Z277" s="180">
        <f t="shared" ref="Z277:Z300" si="18" xml:space="preserve"> S137 - S277</f>
        <v>-1.4360924329498316E-2</v>
      </c>
      <c r="AA277" s="180">
        <f t="shared" ref="AA277:AA300" si="19" xml:space="preserve"> T137 - T277</f>
        <v>-1.4490093147242972E-2</v>
      </c>
      <c r="AB277" s="180">
        <f t="shared" ref="AB277:AB300" si="20" xml:space="preserve"> U137 - U277</f>
        <v>-1.2139465017117462E-2</v>
      </c>
      <c r="AC277" s="180">
        <f t="shared" ref="AC277:AC300" si="21" xml:space="preserve"> V137 - V277</f>
        <v>-1.1575040456200506E-2</v>
      </c>
      <c r="AD277" s="1"/>
      <c r="AE277" s="1"/>
    </row>
    <row r="278" spans="1:31" customFormat="1" ht="15" customHeight="1">
      <c r="A278" s="1"/>
      <c r="B278" s="1"/>
      <c r="C278" s="2"/>
      <c r="D278" s="124" t="s">
        <v>153</v>
      </c>
      <c r="E278" s="1"/>
      <c r="F278" s="107"/>
      <c r="G278" s="107"/>
      <c r="H278" s="107"/>
      <c r="I278" s="107"/>
      <c r="J278" s="107"/>
      <c r="K278" s="87" t="s">
        <v>4</v>
      </c>
      <c r="L278" s="85"/>
      <c r="M278" s="119"/>
      <c r="N278" s="107"/>
      <c r="O278" s="370"/>
      <c r="P278" s="370"/>
      <c r="Q278" s="370"/>
      <c r="R278" s="153">
        <v>1.3721430916798638E-2</v>
      </c>
      <c r="S278" s="153">
        <v>1.4613535488236953E-2</v>
      </c>
      <c r="T278" s="153">
        <v>1.4297621504298984E-2</v>
      </c>
      <c r="U278" s="153">
        <v>1.1995302160018642E-2</v>
      </c>
      <c r="V278" s="382">
        <v>1.0937214398128588E-2</v>
      </c>
      <c r="W278" s="1"/>
      <c r="X278" s="1"/>
      <c r="Y278" s="181">
        <f t="shared" si="17"/>
        <v>-1.3721430916798638E-2</v>
      </c>
      <c r="Z278" s="181">
        <f t="shared" si="18"/>
        <v>-1.4613535488236953E-2</v>
      </c>
      <c r="AA278" s="181">
        <f t="shared" si="19"/>
        <v>-1.4297621504298984E-2</v>
      </c>
      <c r="AB278" s="181">
        <f t="shared" si="20"/>
        <v>-1.1995302160018642E-2</v>
      </c>
      <c r="AC278" s="181">
        <f t="shared" si="21"/>
        <v>-1.0937214398128588E-2</v>
      </c>
      <c r="AD278" s="1"/>
      <c r="AE278" s="1"/>
    </row>
    <row r="279" spans="1:31" customFormat="1" ht="15" customHeight="1">
      <c r="A279" s="1"/>
      <c r="B279" s="1"/>
      <c r="C279" s="2"/>
      <c r="D279" s="124" t="s">
        <v>154</v>
      </c>
      <c r="E279" s="1"/>
      <c r="F279" s="107"/>
      <c r="G279" s="107"/>
      <c r="H279" s="107"/>
      <c r="I279" s="107"/>
      <c r="J279" s="107"/>
      <c r="K279" s="87" t="s">
        <v>4</v>
      </c>
      <c r="L279" s="85"/>
      <c r="M279" s="119"/>
      <c r="N279" s="107"/>
      <c r="O279" s="370"/>
      <c r="P279" s="370"/>
      <c r="Q279" s="370"/>
      <c r="R279" s="153">
        <v>1.3464633493913355E-2</v>
      </c>
      <c r="S279" s="153">
        <v>1.4655637793763608E-2</v>
      </c>
      <c r="T279" s="153">
        <v>1.4109629187319393E-2</v>
      </c>
      <c r="U279" s="153">
        <v>1.1953629847983113E-2</v>
      </c>
      <c r="V279" s="382">
        <v>1.0711949198481719E-2</v>
      </c>
      <c r="W279" s="1"/>
      <c r="X279" s="1"/>
      <c r="Y279" s="181">
        <f t="shared" si="17"/>
        <v>-1.3464633493913355E-2</v>
      </c>
      <c r="Z279" s="181">
        <f t="shared" si="18"/>
        <v>-1.4655637793763608E-2</v>
      </c>
      <c r="AA279" s="181">
        <f t="shared" si="19"/>
        <v>-1.4109629187319393E-2</v>
      </c>
      <c r="AB279" s="181">
        <f t="shared" si="20"/>
        <v>-1.1953629847983113E-2</v>
      </c>
      <c r="AC279" s="181">
        <f t="shared" si="21"/>
        <v>-1.0711949198481719E-2</v>
      </c>
      <c r="AD279" s="1"/>
      <c r="AE279" s="1"/>
    </row>
    <row r="280" spans="1:31" customFormat="1" ht="15" customHeight="1">
      <c r="A280" s="1"/>
      <c r="B280" s="1"/>
      <c r="C280" s="2"/>
      <c r="D280" s="124" t="s">
        <v>155</v>
      </c>
      <c r="E280" s="1"/>
      <c r="F280" s="107"/>
      <c r="G280" s="107"/>
      <c r="H280" s="107"/>
      <c r="I280" s="107"/>
      <c r="J280" s="107"/>
      <c r="K280" s="87" t="s">
        <v>4</v>
      </c>
      <c r="L280" s="85"/>
      <c r="M280" s="119"/>
      <c r="N280" s="107"/>
      <c r="O280" s="370"/>
      <c r="P280" s="370"/>
      <c r="Q280" s="370"/>
      <c r="R280" s="153">
        <v>1.3759872574389514E-2</v>
      </c>
      <c r="S280" s="153">
        <v>1.4965147347385094E-2</v>
      </c>
      <c r="T280" s="153">
        <v>1.4227768655624256E-2</v>
      </c>
      <c r="U280" s="153">
        <v>1.2135926682668408E-2</v>
      </c>
      <c r="V280" s="382">
        <v>1.0786950632817104E-2</v>
      </c>
      <c r="W280" s="1"/>
      <c r="X280" s="1"/>
      <c r="Y280" s="181">
        <f t="shared" si="17"/>
        <v>-1.3759872574389514E-2</v>
      </c>
      <c r="Z280" s="181">
        <f t="shared" si="18"/>
        <v>-1.4965147347385094E-2</v>
      </c>
      <c r="AA280" s="181">
        <f t="shared" si="19"/>
        <v>-1.4227768655624256E-2</v>
      </c>
      <c r="AB280" s="181">
        <f t="shared" si="20"/>
        <v>-1.2135926682668408E-2</v>
      </c>
      <c r="AC280" s="181">
        <f t="shared" si="21"/>
        <v>-1.0786950632817104E-2</v>
      </c>
      <c r="AD280" s="1"/>
      <c r="AE280" s="1"/>
    </row>
    <row r="281" spans="1:31" customFormat="1" ht="15" customHeight="1">
      <c r="A281" s="1"/>
      <c r="B281" s="1"/>
      <c r="C281" s="2"/>
      <c r="D281" s="124" t="s">
        <v>156</v>
      </c>
      <c r="E281" s="1"/>
      <c r="F281" s="107"/>
      <c r="G281" s="107"/>
      <c r="H281" s="107"/>
      <c r="I281" s="107"/>
      <c r="J281" s="107"/>
      <c r="K281" s="87" t="s">
        <v>4</v>
      </c>
      <c r="L281" s="85"/>
      <c r="M281" s="119"/>
      <c r="N281" s="107"/>
      <c r="O281" s="370"/>
      <c r="P281" s="370"/>
      <c r="Q281" s="370"/>
      <c r="R281" s="153">
        <v>1.3748105308541694E-2</v>
      </c>
      <c r="S281" s="153">
        <v>1.5703289889677383E-2</v>
      </c>
      <c r="T281" s="153">
        <v>1.4284683030208351E-2</v>
      </c>
      <c r="U281" s="153">
        <v>1.2534089109807597E-2</v>
      </c>
      <c r="V281" s="382">
        <v>1.0987961588992245E-2</v>
      </c>
      <c r="W281" s="1"/>
      <c r="X281" s="1"/>
      <c r="Y281" s="181">
        <f t="shared" si="17"/>
        <v>-1.3748105308541694E-2</v>
      </c>
      <c r="Z281" s="181">
        <f t="shared" si="18"/>
        <v>-1.5703289889677383E-2</v>
      </c>
      <c r="AA281" s="181">
        <f t="shared" si="19"/>
        <v>-1.4284683030208351E-2</v>
      </c>
      <c r="AB281" s="181">
        <f t="shared" si="20"/>
        <v>-1.2534089109807597E-2</v>
      </c>
      <c r="AC281" s="181">
        <f t="shared" si="21"/>
        <v>-1.0987961588992245E-2</v>
      </c>
      <c r="AD281" s="1"/>
      <c r="AE281" s="1"/>
    </row>
    <row r="282" spans="1:31" customFormat="1" ht="15" customHeight="1">
      <c r="A282" s="1"/>
      <c r="B282" s="1"/>
      <c r="C282" s="2"/>
      <c r="D282" s="124" t="s">
        <v>157</v>
      </c>
      <c r="E282" s="1"/>
      <c r="F282" s="107"/>
      <c r="G282" s="107"/>
      <c r="H282" s="107"/>
      <c r="I282" s="107"/>
      <c r="J282" s="107"/>
      <c r="K282" s="87" t="s">
        <v>4</v>
      </c>
      <c r="L282" s="85"/>
      <c r="M282" s="119"/>
      <c r="N282" s="107"/>
      <c r="O282" s="370"/>
      <c r="P282" s="370"/>
      <c r="Q282" s="370"/>
      <c r="R282" s="153">
        <v>1.3994524895098554E-2</v>
      </c>
      <c r="S282" s="153">
        <v>1.6689802796116364E-2</v>
      </c>
      <c r="T282" s="153">
        <v>1.4520692270799574E-2</v>
      </c>
      <c r="U282" s="153">
        <v>1.3746697746708191E-2</v>
      </c>
      <c r="V282" s="382">
        <v>1.2090050055798114E-2</v>
      </c>
      <c r="W282" s="1"/>
      <c r="X282" s="1"/>
      <c r="Y282" s="181">
        <f t="shared" si="17"/>
        <v>-1.3994524895098554E-2</v>
      </c>
      <c r="Z282" s="181">
        <f t="shared" si="18"/>
        <v>-1.6689802796116364E-2</v>
      </c>
      <c r="AA282" s="181">
        <f t="shared" si="19"/>
        <v>-1.4520692270799574E-2</v>
      </c>
      <c r="AB282" s="181">
        <f t="shared" si="20"/>
        <v>-1.3746697746708191E-2</v>
      </c>
      <c r="AC282" s="181">
        <f t="shared" si="21"/>
        <v>-1.2090050055798114E-2</v>
      </c>
      <c r="AD282" s="1"/>
      <c r="AE282" s="1"/>
    </row>
    <row r="283" spans="1:31" customFormat="1" ht="15" customHeight="1">
      <c r="A283" s="1"/>
      <c r="B283" s="1"/>
      <c r="C283" s="2"/>
      <c r="D283" s="124" t="s">
        <v>158</v>
      </c>
      <c r="E283" s="1"/>
      <c r="F283" s="107"/>
      <c r="G283" s="107"/>
      <c r="H283" s="107"/>
      <c r="I283" s="107"/>
      <c r="J283" s="107"/>
      <c r="K283" s="87" t="s">
        <v>4</v>
      </c>
      <c r="L283" s="85"/>
      <c r="M283" s="119"/>
      <c r="N283" s="107"/>
      <c r="O283" s="370"/>
      <c r="P283" s="370"/>
      <c r="Q283" s="370"/>
      <c r="R283" s="153">
        <v>1.513959123789883E-2</v>
      </c>
      <c r="S283" s="153">
        <v>1.662845400918123E-2</v>
      </c>
      <c r="T283" s="153">
        <v>1.5628803854241903E-2</v>
      </c>
      <c r="U283" s="153">
        <v>1.6658308798263688E-2</v>
      </c>
      <c r="V283" s="382">
        <v>1.4819039274064829E-2</v>
      </c>
      <c r="W283" s="1"/>
      <c r="X283" s="1"/>
      <c r="Y283" s="181">
        <f t="shared" si="17"/>
        <v>-1.513959123789883E-2</v>
      </c>
      <c r="Z283" s="181">
        <f t="shared" si="18"/>
        <v>-1.662845400918123E-2</v>
      </c>
      <c r="AA283" s="181">
        <f t="shared" si="19"/>
        <v>-1.5628803854241903E-2</v>
      </c>
      <c r="AB283" s="181">
        <f t="shared" si="20"/>
        <v>-1.6658308798263688E-2</v>
      </c>
      <c r="AC283" s="181">
        <f t="shared" si="21"/>
        <v>-1.4819039274064829E-2</v>
      </c>
      <c r="AD283" s="1"/>
      <c r="AE283" s="1"/>
    </row>
    <row r="284" spans="1:31" customFormat="1" ht="15" customHeight="1">
      <c r="A284" s="1"/>
      <c r="B284" s="1"/>
      <c r="C284" s="2"/>
      <c r="D284" s="124" t="s">
        <v>159</v>
      </c>
      <c r="E284" s="1"/>
      <c r="F284" s="107"/>
      <c r="G284" s="107"/>
      <c r="H284" s="107"/>
      <c r="I284" s="107"/>
      <c r="J284" s="107"/>
      <c r="K284" s="87" t="s">
        <v>4</v>
      </c>
      <c r="L284" s="85"/>
      <c r="M284" s="119"/>
      <c r="N284" s="107"/>
      <c r="O284" s="370"/>
      <c r="P284" s="370"/>
      <c r="Q284" s="370"/>
      <c r="R284" s="153">
        <v>1.5720691655823203E-2</v>
      </c>
      <c r="S284" s="153">
        <v>1.640659802113156E-2</v>
      </c>
      <c r="T284" s="153">
        <v>1.7176955188111145E-2</v>
      </c>
      <c r="U284" s="153">
        <v>1.9680747575758405E-2</v>
      </c>
      <c r="V284" s="382">
        <v>1.7275169949350255E-2</v>
      </c>
      <c r="W284" s="1"/>
      <c r="X284" s="1"/>
      <c r="Y284" s="181">
        <f t="shared" si="17"/>
        <v>-1.5720691655823203E-2</v>
      </c>
      <c r="Z284" s="181">
        <f t="shared" si="18"/>
        <v>-1.640659802113156E-2</v>
      </c>
      <c r="AA284" s="181">
        <f t="shared" si="19"/>
        <v>-1.7176955188111145E-2</v>
      </c>
      <c r="AB284" s="181">
        <f t="shared" si="20"/>
        <v>-1.9680747575758405E-2</v>
      </c>
      <c r="AC284" s="181">
        <f t="shared" si="21"/>
        <v>-1.7275169949350255E-2</v>
      </c>
      <c r="AD284" s="1"/>
      <c r="AE284" s="1"/>
    </row>
    <row r="285" spans="1:31" customFormat="1" ht="15" customHeight="1">
      <c r="A285" s="1"/>
      <c r="B285" s="1"/>
      <c r="C285" s="2"/>
      <c r="D285" s="124" t="s">
        <v>160</v>
      </c>
      <c r="E285" s="1"/>
      <c r="F285" s="107"/>
      <c r="G285" s="107"/>
      <c r="H285" s="107"/>
      <c r="I285" s="107"/>
      <c r="J285" s="107"/>
      <c r="K285" s="87" t="s">
        <v>4</v>
      </c>
      <c r="L285" s="85"/>
      <c r="M285" s="119"/>
      <c r="N285" s="107"/>
      <c r="O285" s="370"/>
      <c r="P285" s="370"/>
      <c r="Q285" s="370"/>
      <c r="R285" s="153">
        <v>1.594743153672816E-2</v>
      </c>
      <c r="S285" s="153">
        <v>1.6352867111290893E-2</v>
      </c>
      <c r="T285" s="153">
        <v>1.7766179917933684E-2</v>
      </c>
      <c r="U285" s="153">
        <v>2.0759530566323348E-2</v>
      </c>
      <c r="V285" s="382">
        <v>1.7895324373281705E-2</v>
      </c>
      <c r="W285" s="1"/>
      <c r="X285" s="1"/>
      <c r="Y285" s="181">
        <f t="shared" si="17"/>
        <v>-1.594743153672816E-2</v>
      </c>
      <c r="Z285" s="181">
        <f t="shared" si="18"/>
        <v>-1.6352867111290893E-2</v>
      </c>
      <c r="AA285" s="181">
        <f t="shared" si="19"/>
        <v>-1.7766179917933684E-2</v>
      </c>
      <c r="AB285" s="181">
        <f t="shared" si="20"/>
        <v>-2.0759530566323348E-2</v>
      </c>
      <c r="AC285" s="181">
        <f t="shared" si="21"/>
        <v>-1.7895324373281705E-2</v>
      </c>
      <c r="AD285" s="1"/>
      <c r="AE285" s="1"/>
    </row>
    <row r="286" spans="1:31" customFormat="1" ht="15" customHeight="1">
      <c r="A286" s="1"/>
      <c r="B286" s="1"/>
      <c r="C286" s="2"/>
      <c r="D286" s="124" t="s">
        <v>161</v>
      </c>
      <c r="E286" s="1"/>
      <c r="F286" s="107"/>
      <c r="G286" s="107"/>
      <c r="H286" s="107"/>
      <c r="I286" s="107"/>
      <c r="J286" s="107"/>
      <c r="K286" s="87" t="s">
        <v>4</v>
      </c>
      <c r="L286" s="85"/>
      <c r="M286" s="119"/>
      <c r="N286" s="107"/>
      <c r="O286" s="370"/>
      <c r="P286" s="370"/>
      <c r="Q286" s="370"/>
      <c r="R286" s="153">
        <v>1.5869620467742721E-2</v>
      </c>
      <c r="S286" s="153">
        <v>1.6105447577896323E-2</v>
      </c>
      <c r="T286" s="153">
        <v>1.7876828003678985E-2</v>
      </c>
      <c r="U286" s="153">
        <v>2.0688568024469771E-2</v>
      </c>
      <c r="V286" s="382">
        <v>1.7876519009933325E-2</v>
      </c>
      <c r="W286" s="1"/>
      <c r="X286" s="1"/>
      <c r="Y286" s="181">
        <f t="shared" si="17"/>
        <v>-1.5869620467742721E-2</v>
      </c>
      <c r="Z286" s="181">
        <f t="shared" si="18"/>
        <v>-1.6105447577896323E-2</v>
      </c>
      <c r="AA286" s="181">
        <f t="shared" si="19"/>
        <v>-1.7876828003678985E-2</v>
      </c>
      <c r="AB286" s="181">
        <f t="shared" si="20"/>
        <v>-2.0688568024469771E-2</v>
      </c>
      <c r="AC286" s="181">
        <f t="shared" si="21"/>
        <v>-1.7876519009933325E-2</v>
      </c>
      <c r="AD286" s="1"/>
      <c r="AE286" s="1"/>
    </row>
    <row r="287" spans="1:31" customFormat="1" ht="15" customHeight="1">
      <c r="A287" s="1"/>
      <c r="B287" s="1"/>
      <c r="C287" s="2"/>
      <c r="D287" s="124" t="s">
        <v>162</v>
      </c>
      <c r="E287" s="1"/>
      <c r="F287" s="107"/>
      <c r="G287" s="107"/>
      <c r="H287" s="107"/>
      <c r="I287" s="107"/>
      <c r="J287" s="107"/>
      <c r="K287" s="87" t="s">
        <v>4</v>
      </c>
      <c r="L287" s="85"/>
      <c r="M287" s="119"/>
      <c r="N287" s="107"/>
      <c r="O287" s="370"/>
      <c r="P287" s="370"/>
      <c r="Q287" s="370"/>
      <c r="R287" s="153">
        <v>1.5493678798679932E-2</v>
      </c>
      <c r="S287" s="153">
        <v>1.6042930558312421E-2</v>
      </c>
      <c r="T287" s="153">
        <v>1.7993388493372283E-2</v>
      </c>
      <c r="U287" s="153">
        <v>2.1062065170323212E-2</v>
      </c>
      <c r="V287" s="382">
        <v>1.7850572746745865E-2</v>
      </c>
      <c r="W287" s="1"/>
      <c r="X287" s="1"/>
      <c r="Y287" s="181">
        <f t="shared" si="17"/>
        <v>-1.5493678798679932E-2</v>
      </c>
      <c r="Z287" s="181">
        <f t="shared" si="18"/>
        <v>-1.6042930558312421E-2</v>
      </c>
      <c r="AA287" s="181">
        <f t="shared" si="19"/>
        <v>-1.7993388493372283E-2</v>
      </c>
      <c r="AB287" s="181">
        <f t="shared" si="20"/>
        <v>-2.1062065170323212E-2</v>
      </c>
      <c r="AC287" s="181">
        <f t="shared" si="21"/>
        <v>-1.7850572746745865E-2</v>
      </c>
      <c r="AD287" s="1"/>
      <c r="AE287" s="1"/>
    </row>
    <row r="288" spans="1:31" customFormat="1" ht="15" customHeight="1">
      <c r="A288" s="1"/>
      <c r="B288" s="1"/>
      <c r="C288" s="2"/>
      <c r="D288" s="124" t="s">
        <v>163</v>
      </c>
      <c r="E288" s="1"/>
      <c r="F288" s="107"/>
      <c r="G288" s="107"/>
      <c r="H288" s="107"/>
      <c r="I288" s="107"/>
      <c r="J288" s="107"/>
      <c r="K288" s="87" t="s">
        <v>4</v>
      </c>
      <c r="L288" s="85"/>
      <c r="M288" s="119"/>
      <c r="N288" s="107"/>
      <c r="O288" s="370"/>
      <c r="P288" s="370"/>
      <c r="Q288" s="370"/>
      <c r="R288" s="153">
        <v>1.5968457480707313E-2</v>
      </c>
      <c r="S288" s="153">
        <v>1.6177344367414852E-2</v>
      </c>
      <c r="T288" s="153">
        <v>1.7881600398009286E-2</v>
      </c>
      <c r="U288" s="153">
        <v>2.0780694757012597E-2</v>
      </c>
      <c r="V288" s="382">
        <v>1.7659463719570469E-2</v>
      </c>
      <c r="W288" s="1"/>
      <c r="X288" s="1"/>
      <c r="Y288" s="181">
        <f t="shared" si="17"/>
        <v>-1.5968457480707313E-2</v>
      </c>
      <c r="Z288" s="181">
        <f t="shared" si="18"/>
        <v>-1.6177344367414852E-2</v>
      </c>
      <c r="AA288" s="181">
        <f t="shared" si="19"/>
        <v>-1.7881600398009286E-2</v>
      </c>
      <c r="AB288" s="181">
        <f t="shared" si="20"/>
        <v>-2.0780694757012597E-2</v>
      </c>
      <c r="AC288" s="181">
        <f t="shared" si="21"/>
        <v>-1.7659463719570469E-2</v>
      </c>
      <c r="AD288" s="1"/>
      <c r="AE288" s="1"/>
    </row>
    <row r="289" spans="1:31" customFormat="1" ht="15" customHeight="1">
      <c r="A289" s="1"/>
      <c r="B289" s="1"/>
      <c r="C289" s="2"/>
      <c r="D289" s="124" t="s">
        <v>164</v>
      </c>
      <c r="E289" s="1"/>
      <c r="F289" s="107"/>
      <c r="G289" s="107"/>
      <c r="H289" s="107"/>
      <c r="I289" s="107"/>
      <c r="J289" s="107"/>
      <c r="K289" s="87" t="s">
        <v>4</v>
      </c>
      <c r="L289" s="85"/>
      <c r="M289" s="119"/>
      <c r="N289" s="107"/>
      <c r="O289" s="370"/>
      <c r="P289" s="370"/>
      <c r="Q289" s="370"/>
      <c r="R289" s="153">
        <v>1.5848696834377857E-2</v>
      </c>
      <c r="S289" s="153">
        <v>1.6071324244415888E-2</v>
      </c>
      <c r="T289" s="153">
        <v>1.7702384979864334E-2</v>
      </c>
      <c r="U289" s="153">
        <v>2.0146537748157323E-2</v>
      </c>
      <c r="V289" s="382">
        <v>1.7247718391188726E-2</v>
      </c>
      <c r="W289" s="1"/>
      <c r="X289" s="1"/>
      <c r="Y289" s="181">
        <f t="shared" si="17"/>
        <v>-1.5848696834377857E-2</v>
      </c>
      <c r="Z289" s="181">
        <f t="shared" si="18"/>
        <v>-1.6071324244415888E-2</v>
      </c>
      <c r="AA289" s="181">
        <f t="shared" si="19"/>
        <v>-1.7702384979864334E-2</v>
      </c>
      <c r="AB289" s="181">
        <f t="shared" si="20"/>
        <v>-2.0146537748157323E-2</v>
      </c>
      <c r="AC289" s="181">
        <f t="shared" si="21"/>
        <v>-1.7247718391188726E-2</v>
      </c>
      <c r="AD289" s="1"/>
      <c r="AE289" s="1"/>
    </row>
    <row r="290" spans="1:31" customFormat="1" ht="15" customHeight="1">
      <c r="A290" s="1"/>
      <c r="B290" s="1"/>
      <c r="C290" s="2"/>
      <c r="D290" s="124" t="s">
        <v>165</v>
      </c>
      <c r="E290" s="1"/>
      <c r="F290" s="107"/>
      <c r="G290" s="107"/>
      <c r="H290" s="107"/>
      <c r="I290" s="107"/>
      <c r="J290" s="107"/>
      <c r="K290" s="87" t="s">
        <v>4</v>
      </c>
      <c r="L290" s="85"/>
      <c r="M290" s="119"/>
      <c r="N290" s="107"/>
      <c r="O290" s="370"/>
      <c r="P290" s="370"/>
      <c r="Q290" s="370"/>
      <c r="R290" s="153">
        <v>1.5862424105056106E-2</v>
      </c>
      <c r="S290" s="153">
        <v>1.5814424777730013E-2</v>
      </c>
      <c r="T290" s="153">
        <v>1.7670168467566121E-2</v>
      </c>
      <c r="U290" s="153">
        <v>2.0107504530728463E-2</v>
      </c>
      <c r="V290" s="382">
        <v>1.7114951575185437E-2</v>
      </c>
      <c r="W290" s="1"/>
      <c r="X290" s="1"/>
      <c r="Y290" s="181">
        <f t="shared" si="17"/>
        <v>-1.5862424105056106E-2</v>
      </c>
      <c r="Z290" s="181">
        <f t="shared" si="18"/>
        <v>-1.5814424777730013E-2</v>
      </c>
      <c r="AA290" s="181">
        <f t="shared" si="19"/>
        <v>-1.7670168467566121E-2</v>
      </c>
      <c r="AB290" s="181">
        <f t="shared" si="20"/>
        <v>-2.0107504530728463E-2</v>
      </c>
      <c r="AC290" s="181">
        <f t="shared" si="21"/>
        <v>-1.7114951575185437E-2</v>
      </c>
      <c r="AD290" s="1"/>
      <c r="AE290" s="1"/>
    </row>
    <row r="291" spans="1:31" customFormat="1" ht="15" customHeight="1">
      <c r="A291" s="1"/>
      <c r="B291" s="1"/>
      <c r="C291" s="2"/>
      <c r="D291" s="124" t="s">
        <v>166</v>
      </c>
      <c r="E291" s="1"/>
      <c r="F291" s="107"/>
      <c r="G291" s="107"/>
      <c r="H291" s="107"/>
      <c r="I291" s="107"/>
      <c r="J291" s="107"/>
      <c r="K291" s="87" t="s">
        <v>4</v>
      </c>
      <c r="L291" s="85"/>
      <c r="M291" s="119"/>
      <c r="N291" s="107"/>
      <c r="O291" s="370"/>
      <c r="P291" s="370"/>
      <c r="Q291" s="370"/>
      <c r="R291" s="153">
        <v>1.5593383493636441E-2</v>
      </c>
      <c r="S291" s="153">
        <v>1.5739888020648934E-2</v>
      </c>
      <c r="T291" s="153">
        <v>1.7302378382172981E-2</v>
      </c>
      <c r="U291" s="153">
        <v>1.9244829468088902E-2</v>
      </c>
      <c r="V291" s="382">
        <v>1.7151080664687037E-2</v>
      </c>
      <c r="W291" s="1"/>
      <c r="X291" s="1"/>
      <c r="Y291" s="181">
        <f t="shared" si="17"/>
        <v>-1.5593383493636441E-2</v>
      </c>
      <c r="Z291" s="181">
        <f t="shared" si="18"/>
        <v>-1.5739888020648934E-2</v>
      </c>
      <c r="AA291" s="181">
        <f t="shared" si="19"/>
        <v>-1.7302378382172981E-2</v>
      </c>
      <c r="AB291" s="181">
        <f t="shared" si="20"/>
        <v>-1.9244829468088902E-2</v>
      </c>
      <c r="AC291" s="181">
        <f t="shared" si="21"/>
        <v>-1.7151080664687037E-2</v>
      </c>
      <c r="AD291" s="1"/>
      <c r="AE291" s="1"/>
    </row>
    <row r="292" spans="1:31" customFormat="1" ht="15" customHeight="1">
      <c r="A292" s="1"/>
      <c r="B292" s="1"/>
      <c r="C292" s="2"/>
      <c r="D292" s="124" t="s">
        <v>167</v>
      </c>
      <c r="E292" s="1"/>
      <c r="F292" s="107"/>
      <c r="G292" s="107"/>
      <c r="H292" s="107"/>
      <c r="I292" s="107"/>
      <c r="J292" s="107"/>
      <c r="K292" s="87" t="s">
        <v>4</v>
      </c>
      <c r="L292" s="85"/>
      <c r="M292" s="119"/>
      <c r="N292" s="107"/>
      <c r="O292" s="370"/>
      <c r="P292" s="370"/>
      <c r="Q292" s="370"/>
      <c r="R292" s="153">
        <v>1.5532288919088956E-2</v>
      </c>
      <c r="S292" s="153">
        <v>1.526514904108723E-2</v>
      </c>
      <c r="T292" s="153">
        <v>1.6755466331429325E-2</v>
      </c>
      <c r="U292" s="153">
        <v>1.7949329176416142E-2</v>
      </c>
      <c r="V292" s="382">
        <v>1.7468722139806114E-2</v>
      </c>
      <c r="W292" s="1"/>
      <c r="X292" s="1"/>
      <c r="Y292" s="181">
        <f t="shared" si="17"/>
        <v>-1.5532288919088956E-2</v>
      </c>
      <c r="Z292" s="181">
        <f t="shared" si="18"/>
        <v>-1.526514904108723E-2</v>
      </c>
      <c r="AA292" s="181">
        <f t="shared" si="19"/>
        <v>-1.6755466331429325E-2</v>
      </c>
      <c r="AB292" s="181">
        <f t="shared" si="20"/>
        <v>-1.7949329176416142E-2</v>
      </c>
      <c r="AC292" s="181">
        <f t="shared" si="21"/>
        <v>-1.7468722139806114E-2</v>
      </c>
      <c r="AD292" s="1"/>
      <c r="AE292" s="1"/>
    </row>
    <row r="293" spans="1:31" customFormat="1" ht="15" customHeight="1">
      <c r="A293" s="1"/>
      <c r="B293" s="1"/>
      <c r="C293" s="2"/>
      <c r="D293" s="124" t="s">
        <v>168</v>
      </c>
      <c r="E293" s="1"/>
      <c r="F293" s="107"/>
      <c r="G293" s="107"/>
      <c r="H293" s="107"/>
      <c r="I293" s="107"/>
      <c r="J293" s="107"/>
      <c r="K293" s="87" t="s">
        <v>4</v>
      </c>
      <c r="L293" s="85"/>
      <c r="M293" s="119"/>
      <c r="N293" s="107"/>
      <c r="O293" s="370"/>
      <c r="P293" s="370"/>
      <c r="Q293" s="370"/>
      <c r="R293" s="153">
        <v>1.546269296515212E-2</v>
      </c>
      <c r="S293" s="153">
        <v>1.5181368258048604E-2</v>
      </c>
      <c r="T293" s="153">
        <v>1.6279788509712827E-2</v>
      </c>
      <c r="U293" s="153">
        <v>1.6906798999517466E-2</v>
      </c>
      <c r="V293" s="382">
        <v>1.9065407900162774E-2</v>
      </c>
      <c r="W293" s="1"/>
      <c r="X293" s="1"/>
      <c r="Y293" s="181">
        <f t="shared" si="17"/>
        <v>-1.546269296515212E-2</v>
      </c>
      <c r="Z293" s="181">
        <f t="shared" si="18"/>
        <v>-1.5181368258048604E-2</v>
      </c>
      <c r="AA293" s="181">
        <f t="shared" si="19"/>
        <v>-1.6279788509712827E-2</v>
      </c>
      <c r="AB293" s="181">
        <f t="shared" si="20"/>
        <v>-1.6906798999517466E-2</v>
      </c>
      <c r="AC293" s="181">
        <f t="shared" si="21"/>
        <v>-1.9065407900162774E-2</v>
      </c>
      <c r="AD293" s="1"/>
      <c r="AE293" s="1"/>
    </row>
    <row r="294" spans="1:31" customFormat="1" ht="15" customHeight="1">
      <c r="A294" s="1"/>
      <c r="B294" s="1"/>
      <c r="C294" s="2"/>
      <c r="D294" s="124" t="s">
        <v>169</v>
      </c>
      <c r="E294" s="1"/>
      <c r="F294" s="107"/>
      <c r="G294" s="107"/>
      <c r="H294" s="107"/>
      <c r="I294" s="107"/>
      <c r="J294" s="107"/>
      <c r="K294" s="87" t="s">
        <v>4</v>
      </c>
      <c r="L294" s="85"/>
      <c r="M294" s="119"/>
      <c r="N294" s="107"/>
      <c r="O294" s="370"/>
      <c r="P294" s="370"/>
      <c r="Q294" s="370"/>
      <c r="R294" s="153">
        <v>1.4965429151947424E-2</v>
      </c>
      <c r="S294" s="153">
        <v>1.5081817398549356E-2</v>
      </c>
      <c r="T294" s="153">
        <v>1.5738658820033832E-2</v>
      </c>
      <c r="U294" s="153">
        <v>1.6077548331402496E-2</v>
      </c>
      <c r="V294" s="382">
        <v>2.2181959850545607E-2</v>
      </c>
      <c r="W294" s="1"/>
      <c r="X294" s="1"/>
      <c r="Y294" s="181">
        <f t="shared" si="17"/>
        <v>-1.4965429151947424E-2</v>
      </c>
      <c r="Z294" s="181">
        <f t="shared" si="18"/>
        <v>-1.5081817398549356E-2</v>
      </c>
      <c r="AA294" s="181">
        <f t="shared" si="19"/>
        <v>-1.5738658820033832E-2</v>
      </c>
      <c r="AB294" s="181">
        <f t="shared" si="20"/>
        <v>-1.6077548331402496E-2</v>
      </c>
      <c r="AC294" s="181">
        <f t="shared" si="21"/>
        <v>-2.2181959850545607E-2</v>
      </c>
      <c r="AD294" s="1"/>
      <c r="AE294" s="1"/>
    </row>
    <row r="295" spans="1:31" customFormat="1" ht="15" customHeight="1">
      <c r="A295" s="1"/>
      <c r="B295" s="1"/>
      <c r="C295" s="2"/>
      <c r="D295" s="124" t="s">
        <v>170</v>
      </c>
      <c r="E295" s="1"/>
      <c r="F295" s="107"/>
      <c r="G295" s="107"/>
      <c r="H295" s="107"/>
      <c r="I295" s="107"/>
      <c r="J295" s="107"/>
      <c r="K295" s="87" t="s">
        <v>4</v>
      </c>
      <c r="L295" s="85"/>
      <c r="M295" s="119"/>
      <c r="N295" s="107"/>
      <c r="O295" s="370"/>
      <c r="P295" s="370"/>
      <c r="Q295" s="370"/>
      <c r="R295" s="153">
        <v>1.5281531790737253E-2</v>
      </c>
      <c r="S295" s="153">
        <v>1.4769448756345853E-2</v>
      </c>
      <c r="T295" s="153">
        <v>1.5366873374370727E-2</v>
      </c>
      <c r="U295" s="153">
        <v>1.5401373127167798E-2</v>
      </c>
      <c r="V295" s="382">
        <v>2.2012954863507322E-2</v>
      </c>
      <c r="W295" s="1"/>
      <c r="X295" s="1"/>
      <c r="Y295" s="181">
        <f t="shared" si="17"/>
        <v>-1.5281531790737253E-2</v>
      </c>
      <c r="Z295" s="181">
        <f t="shared" si="18"/>
        <v>-1.4769448756345853E-2</v>
      </c>
      <c r="AA295" s="181">
        <f t="shared" si="19"/>
        <v>-1.5366873374370727E-2</v>
      </c>
      <c r="AB295" s="181">
        <f t="shared" si="20"/>
        <v>-1.5401373127167798E-2</v>
      </c>
      <c r="AC295" s="181">
        <f t="shared" si="21"/>
        <v>-2.2012954863507322E-2</v>
      </c>
      <c r="AD295" s="1"/>
      <c r="AE295" s="1"/>
    </row>
    <row r="296" spans="1:31" customFormat="1" ht="15" customHeight="1">
      <c r="A296" s="1"/>
      <c r="B296" s="1"/>
      <c r="C296" s="2"/>
      <c r="D296" s="124" t="s">
        <v>171</v>
      </c>
      <c r="E296" s="1"/>
      <c r="F296" s="107"/>
      <c r="G296" s="107"/>
      <c r="H296" s="107"/>
      <c r="I296" s="107"/>
      <c r="J296" s="107"/>
      <c r="K296" s="87" t="s">
        <v>4</v>
      </c>
      <c r="L296" s="85"/>
      <c r="M296" s="119"/>
      <c r="N296" s="107"/>
      <c r="O296" s="370"/>
      <c r="P296" s="370"/>
      <c r="Q296" s="370"/>
      <c r="R296" s="153">
        <v>1.5365487142890311E-2</v>
      </c>
      <c r="S296" s="153">
        <v>1.4719389755256015E-2</v>
      </c>
      <c r="T296" s="153">
        <v>1.5188421851453096E-2</v>
      </c>
      <c r="U296" s="153">
        <v>1.48939219026669E-2</v>
      </c>
      <c r="V296" s="382">
        <v>2.0332939876517013E-2</v>
      </c>
      <c r="W296" s="1"/>
      <c r="X296" s="1"/>
      <c r="Y296" s="181">
        <f t="shared" si="17"/>
        <v>-1.5365487142890311E-2</v>
      </c>
      <c r="Z296" s="181">
        <f t="shared" si="18"/>
        <v>-1.4719389755256015E-2</v>
      </c>
      <c r="AA296" s="181">
        <f t="shared" si="19"/>
        <v>-1.5188421851453096E-2</v>
      </c>
      <c r="AB296" s="181">
        <f t="shared" si="20"/>
        <v>-1.48939219026669E-2</v>
      </c>
      <c r="AC296" s="181">
        <f t="shared" si="21"/>
        <v>-2.0332939876517013E-2</v>
      </c>
      <c r="AD296" s="1"/>
      <c r="AE296" s="1"/>
    </row>
    <row r="297" spans="1:31" customFormat="1" ht="15" customHeight="1">
      <c r="A297" s="1"/>
      <c r="B297" s="1"/>
      <c r="C297" s="2"/>
      <c r="D297" s="124" t="s">
        <v>172</v>
      </c>
      <c r="E297" s="1"/>
      <c r="F297" s="107"/>
      <c r="G297" s="107"/>
      <c r="H297" s="107"/>
      <c r="I297" s="107"/>
      <c r="J297" s="107"/>
      <c r="K297" s="87" t="s">
        <v>4</v>
      </c>
      <c r="L297" s="85"/>
      <c r="M297" s="119"/>
      <c r="N297" s="107"/>
      <c r="O297" s="370"/>
      <c r="P297" s="370"/>
      <c r="Q297" s="370"/>
      <c r="R297" s="153">
        <v>1.5213353309982133E-2</v>
      </c>
      <c r="S297" s="153">
        <v>1.4949979148340609E-2</v>
      </c>
      <c r="T297" s="153">
        <v>1.4894039724033966E-2</v>
      </c>
      <c r="U297" s="153">
        <v>1.4239789076180726E-2</v>
      </c>
      <c r="V297" s="382">
        <v>1.8475914944985589E-2</v>
      </c>
      <c r="W297" s="1"/>
      <c r="X297" s="1"/>
      <c r="Y297" s="181">
        <f t="shared" si="17"/>
        <v>-1.5213353309982133E-2</v>
      </c>
      <c r="Z297" s="181">
        <f t="shared" si="18"/>
        <v>-1.4949979148340609E-2</v>
      </c>
      <c r="AA297" s="181">
        <f t="shared" si="19"/>
        <v>-1.4894039724033966E-2</v>
      </c>
      <c r="AB297" s="181">
        <f t="shared" si="20"/>
        <v>-1.4239789076180726E-2</v>
      </c>
      <c r="AC297" s="181">
        <f t="shared" si="21"/>
        <v>-1.8475914944985589E-2</v>
      </c>
      <c r="AD297" s="1"/>
      <c r="AE297" s="1"/>
    </row>
    <row r="298" spans="1:31" customFormat="1" ht="15" customHeight="1">
      <c r="A298" s="1"/>
      <c r="B298" s="1"/>
      <c r="C298" s="2"/>
      <c r="D298" s="124" t="s">
        <v>173</v>
      </c>
      <c r="E298" s="1"/>
      <c r="F298" s="107"/>
      <c r="G298" s="107"/>
      <c r="H298" s="107"/>
      <c r="I298" s="107"/>
      <c r="J298" s="107"/>
      <c r="K298" s="87" t="s">
        <v>4</v>
      </c>
      <c r="L298" s="85"/>
      <c r="M298" s="119"/>
      <c r="N298" s="107"/>
      <c r="O298" s="370"/>
      <c r="P298" s="370"/>
      <c r="Q298" s="370"/>
      <c r="R298" s="153">
        <v>1.4726085690510433E-2</v>
      </c>
      <c r="S298" s="153">
        <v>1.4944770195001062E-2</v>
      </c>
      <c r="T298" s="153">
        <v>1.463594297986151E-2</v>
      </c>
      <c r="U298" s="153">
        <v>1.3605674989485403E-2</v>
      </c>
      <c r="V298" s="382">
        <v>1.6747670833765008E-2</v>
      </c>
      <c r="W298" s="1"/>
      <c r="X298" s="1"/>
      <c r="Y298" s="181">
        <f t="shared" si="17"/>
        <v>-1.4726085690510433E-2</v>
      </c>
      <c r="Z298" s="181">
        <f t="shared" si="18"/>
        <v>-1.4944770195001062E-2</v>
      </c>
      <c r="AA298" s="181">
        <f t="shared" si="19"/>
        <v>-1.463594297986151E-2</v>
      </c>
      <c r="AB298" s="181">
        <f t="shared" si="20"/>
        <v>-1.3605674989485403E-2</v>
      </c>
      <c r="AC298" s="181">
        <f t="shared" si="21"/>
        <v>-1.6747670833765008E-2</v>
      </c>
      <c r="AD298" s="1"/>
      <c r="AE298" s="1"/>
    </row>
    <row r="299" spans="1:31" customFormat="1" ht="15" customHeight="1">
      <c r="A299" s="1"/>
      <c r="B299" s="1"/>
      <c r="C299" s="2"/>
      <c r="D299" s="124" t="s">
        <v>174</v>
      </c>
      <c r="E299" s="1"/>
      <c r="F299" s="107"/>
      <c r="G299" s="107"/>
      <c r="H299" s="107"/>
      <c r="I299" s="107"/>
      <c r="J299" s="107"/>
      <c r="K299" s="87" t="s">
        <v>4</v>
      </c>
      <c r="L299" s="85"/>
      <c r="M299" s="119"/>
      <c r="N299" s="107"/>
      <c r="O299" s="370"/>
      <c r="P299" s="370"/>
      <c r="Q299" s="370"/>
      <c r="R299" s="153">
        <v>1.3911885392270036E-2</v>
      </c>
      <c r="S299" s="153">
        <v>1.5054588995895547E-2</v>
      </c>
      <c r="T299" s="153">
        <v>1.4471079238575548E-2</v>
      </c>
      <c r="U299" s="153">
        <v>1.2955060983328621E-2</v>
      </c>
      <c r="V299" s="382">
        <v>1.4813405166969908E-2</v>
      </c>
      <c r="W299" s="1"/>
      <c r="X299" s="1"/>
      <c r="Y299" s="181">
        <f t="shared" si="17"/>
        <v>-1.3911885392270036E-2</v>
      </c>
      <c r="Z299" s="181">
        <f t="shared" si="18"/>
        <v>-1.5054588995895547E-2</v>
      </c>
      <c r="AA299" s="181">
        <f t="shared" si="19"/>
        <v>-1.4471079238575548E-2</v>
      </c>
      <c r="AB299" s="181">
        <f t="shared" si="20"/>
        <v>-1.2955060983328621E-2</v>
      </c>
      <c r="AC299" s="181">
        <f t="shared" si="21"/>
        <v>-1.4813405166969908E-2</v>
      </c>
      <c r="AD299" s="1"/>
      <c r="AE299" s="1"/>
    </row>
    <row r="300" spans="1:31" customFormat="1" ht="15" customHeight="1">
      <c r="A300" s="1"/>
      <c r="B300" s="1"/>
      <c r="C300" s="2"/>
      <c r="D300" s="125" t="s">
        <v>175</v>
      </c>
      <c r="E300" s="27"/>
      <c r="F300" s="115"/>
      <c r="G300" s="115"/>
      <c r="H300" s="115"/>
      <c r="I300" s="115"/>
      <c r="J300" s="115"/>
      <c r="K300" s="98" t="s">
        <v>4</v>
      </c>
      <c r="L300" s="99"/>
      <c r="M300" s="151"/>
      <c r="N300" s="115"/>
      <c r="O300" s="368"/>
      <c r="P300" s="368"/>
      <c r="Q300" s="368"/>
      <c r="R300" s="154">
        <v>1.383348599271036E-2</v>
      </c>
      <c r="S300" s="154">
        <v>1.4747589680302741E-2</v>
      </c>
      <c r="T300" s="154">
        <v>1.4576983759030595E-2</v>
      </c>
      <c r="U300" s="154">
        <v>1.2523616778567016E-2</v>
      </c>
      <c r="V300" s="383">
        <v>1.3084515455554979E-2</v>
      </c>
      <c r="W300" s="27"/>
      <c r="X300" s="1"/>
      <c r="Y300" s="181">
        <f t="shared" si="17"/>
        <v>-1.383348599271036E-2</v>
      </c>
      <c r="Z300" s="181">
        <f t="shared" si="18"/>
        <v>-1.4747589680302741E-2</v>
      </c>
      <c r="AA300" s="181">
        <f t="shared" si="19"/>
        <v>-1.4576983759030595E-2</v>
      </c>
      <c r="AB300" s="181">
        <f t="shared" si="20"/>
        <v>-1.2523616778567016E-2</v>
      </c>
      <c r="AC300" s="181">
        <f t="shared" si="21"/>
        <v>-1.3084515455554979E-2</v>
      </c>
      <c r="AD300" s="1"/>
      <c r="AE300" s="1"/>
    </row>
    <row r="301" spans="1:31" customFormat="1" ht="15" customHeight="1">
      <c r="A301" s="1"/>
      <c r="B301" s="1"/>
      <c r="C301" s="2"/>
      <c r="D301" s="105" t="s">
        <v>16</v>
      </c>
      <c r="E301" s="186"/>
      <c r="F301" s="120"/>
      <c r="G301" s="120"/>
      <c r="H301" s="120"/>
      <c r="I301" s="120"/>
      <c r="J301" s="120"/>
      <c r="K301" s="106" t="s">
        <v>4</v>
      </c>
      <c r="L301" s="105"/>
      <c r="M301" s="105"/>
      <c r="N301" s="120"/>
      <c r="O301" s="371"/>
      <c r="P301" s="371"/>
      <c r="Q301" s="371"/>
      <c r="R301" s="200">
        <f xml:space="preserve"> SUM( R277:R300 )</f>
        <v>0.35849319517644812</v>
      </c>
      <c r="S301" s="200">
        <f xml:space="preserve"> SUM( S277:S300 )</f>
        <v>0.37104171756152687</v>
      </c>
      <c r="T301" s="200">
        <f xml:space="preserve"> SUM( T277:T300 )</f>
        <v>0.38083643006894569</v>
      </c>
      <c r="U301" s="200">
        <f xml:space="preserve"> SUM( U277:U300 )</f>
        <v>0.38818701056816168</v>
      </c>
      <c r="V301" s="200">
        <f xml:space="preserve"> SUM( V277:V300 )</f>
        <v>0.38616249706624023</v>
      </c>
      <c r="W301" s="33"/>
      <c r="X301" s="1"/>
      <c r="Y301" s="200">
        <f xml:space="preserve"> SUM( Y277:Y300 )</f>
        <v>-0.35849319517644812</v>
      </c>
      <c r="Z301" s="200">
        <f xml:space="preserve"> SUM( Z277:Z300 )</f>
        <v>-0.37104171756152687</v>
      </c>
      <c r="AA301" s="200">
        <f xml:space="preserve"> SUM( AA277:AA300 )</f>
        <v>-0.38083643006894569</v>
      </c>
      <c r="AB301" s="200">
        <f xml:space="preserve"> SUM( AB277:AB300 )</f>
        <v>-0.38818701056816168</v>
      </c>
      <c r="AC301" s="200">
        <f xml:space="preserve"> SUM( AC277:AC300 )</f>
        <v>-0.38616249706624023</v>
      </c>
      <c r="AD301" s="1"/>
      <c r="AE301" s="1"/>
    </row>
    <row r="302" spans="1:31" customFormat="1" ht="15" customHeight="1">
      <c r="A302" s="1"/>
      <c r="B302" s="1"/>
      <c r="C302" s="2"/>
      <c r="D302" s="85"/>
      <c r="E302" s="1"/>
      <c r="F302" s="86"/>
      <c r="G302" s="86"/>
      <c r="H302" s="86"/>
      <c r="I302" s="86"/>
      <c r="J302" s="86"/>
      <c r="K302" s="87"/>
      <c r="L302" s="85"/>
      <c r="M302" s="85"/>
      <c r="N302" s="86"/>
      <c r="O302" s="86"/>
      <c r="P302" s="86"/>
      <c r="Q302" s="86"/>
      <c r="R302" s="1"/>
      <c r="S302" s="1"/>
      <c r="T302" s="1"/>
      <c r="U302" s="1"/>
      <c r="V302" s="1"/>
      <c r="W302" s="1"/>
      <c r="X302" s="1"/>
      <c r="Y302" s="1"/>
      <c r="Z302" s="1"/>
      <c r="AA302" s="1"/>
      <c r="AB302" s="1"/>
      <c r="AC302" s="1"/>
      <c r="AD302" s="1"/>
      <c r="AE302" s="1"/>
    </row>
    <row r="303" spans="1:31" customFormat="1" ht="15" customHeight="1">
      <c r="A303" s="1"/>
      <c r="B303" s="1"/>
      <c r="C303" s="2"/>
      <c r="D303" s="85"/>
      <c r="E303" s="1"/>
      <c r="F303" s="86"/>
      <c r="G303" s="86"/>
      <c r="H303" s="86"/>
      <c r="I303" s="86"/>
      <c r="J303" s="86"/>
      <c r="K303" s="87"/>
      <c r="L303" s="85"/>
      <c r="M303" s="85"/>
      <c r="N303" s="86"/>
      <c r="O303" s="86"/>
      <c r="P303" s="86"/>
      <c r="Q303" s="86"/>
      <c r="R303" s="1"/>
      <c r="S303" s="1"/>
      <c r="T303" s="1"/>
      <c r="U303" s="1"/>
      <c r="V303" s="1"/>
      <c r="W303" s="1"/>
      <c r="X303" s="1"/>
      <c r="Y303" s="447" t="s">
        <v>541</v>
      </c>
      <c r="Z303" s="1"/>
      <c r="AA303" s="1"/>
      <c r="AB303" s="1"/>
      <c r="AC303" s="1"/>
      <c r="AD303" s="1"/>
      <c r="AE303" s="1"/>
    </row>
    <row r="304" spans="1:31" customFormat="1" ht="15" customHeight="1">
      <c r="A304" s="1"/>
      <c r="B304" s="1"/>
      <c r="C304" s="2"/>
      <c r="D304" s="88" t="s">
        <v>187</v>
      </c>
      <c r="E304" s="1"/>
      <c r="F304" s="107"/>
      <c r="G304" s="107"/>
      <c r="H304" s="107"/>
      <c r="I304" s="107"/>
      <c r="J304" s="107"/>
      <c r="K304" s="87"/>
      <c r="L304" s="85"/>
      <c r="M304" s="85"/>
      <c r="N304" s="107"/>
      <c r="O304" s="107"/>
      <c r="P304" s="107"/>
      <c r="Q304" s="107"/>
      <c r="R304" s="1"/>
      <c r="S304" s="1"/>
      <c r="T304" s="1"/>
      <c r="U304" s="1"/>
      <c r="V304" s="1"/>
      <c r="W304" s="1"/>
      <c r="X304" s="1"/>
      <c r="Y304" s="89" t="s">
        <v>11</v>
      </c>
      <c r="Z304" s="89" t="s">
        <v>12</v>
      </c>
      <c r="AA304" s="89" t="s">
        <v>13</v>
      </c>
      <c r="AB304" s="89" t="s">
        <v>14</v>
      </c>
      <c r="AC304" s="89" t="s">
        <v>15</v>
      </c>
      <c r="AD304" s="1"/>
      <c r="AE304" s="1"/>
    </row>
    <row r="305" spans="1:31" customFormat="1" ht="15" customHeight="1">
      <c r="A305" s="1"/>
      <c r="B305" s="1"/>
      <c r="C305" s="2"/>
      <c r="D305" s="122" t="s">
        <v>152</v>
      </c>
      <c r="E305" s="15"/>
      <c r="F305" s="116"/>
      <c r="G305" s="116"/>
      <c r="H305" s="116"/>
      <c r="I305" s="116"/>
      <c r="J305" s="116"/>
      <c r="K305" s="117" t="s">
        <v>4</v>
      </c>
      <c r="L305" s="123"/>
      <c r="M305" s="142"/>
      <c r="N305" s="116"/>
      <c r="O305" s="369"/>
      <c r="P305" s="369"/>
      <c r="Q305" s="369"/>
      <c r="R305" s="152">
        <v>1.2568303052828331E-2</v>
      </c>
      <c r="S305" s="152">
        <v>1.3407612127607958E-2</v>
      </c>
      <c r="T305" s="152">
        <v>1.3285392690941604E-2</v>
      </c>
      <c r="U305" s="152">
        <v>1.1438191607576318E-2</v>
      </c>
      <c r="V305" s="381">
        <v>9.5369871094261576E-3</v>
      </c>
      <c r="W305" s="15"/>
      <c r="X305" s="1"/>
      <c r="Y305" s="180">
        <f t="shared" ref="Y305:Y328" si="22" xml:space="preserve"> R164 - R305</f>
        <v>-1.2568303052828331E-2</v>
      </c>
      <c r="Z305" s="180">
        <f t="shared" ref="Z305:Z328" si="23" xml:space="preserve"> S164 - S305</f>
        <v>-1.3407612127607958E-2</v>
      </c>
      <c r="AA305" s="180">
        <f t="shared" ref="AA305:AA328" si="24" xml:space="preserve"> T164 - T305</f>
        <v>-1.3285392690941604E-2</v>
      </c>
      <c r="AB305" s="180">
        <f t="shared" ref="AB305:AB328" si="25" xml:space="preserve"> U164 - U305</f>
        <v>-1.1438191607576318E-2</v>
      </c>
      <c r="AC305" s="180">
        <f t="shared" ref="AC305:AC328" si="26" xml:space="preserve"> V164 - V305</f>
        <v>-9.5369871094261576E-3</v>
      </c>
      <c r="AD305" s="1"/>
      <c r="AE305" s="1"/>
    </row>
    <row r="306" spans="1:31" customFormat="1" ht="15" customHeight="1">
      <c r="A306" s="1"/>
      <c r="B306" s="1"/>
      <c r="C306" s="2"/>
      <c r="D306" s="124" t="s">
        <v>153</v>
      </c>
      <c r="E306" s="1"/>
      <c r="F306" s="107"/>
      <c r="G306" s="107"/>
      <c r="H306" s="107"/>
      <c r="I306" s="107"/>
      <c r="J306" s="107"/>
      <c r="K306" s="87" t="s">
        <v>4</v>
      </c>
      <c r="L306" s="85"/>
      <c r="M306" s="119"/>
      <c r="N306" s="107"/>
      <c r="O306" s="370"/>
      <c r="P306" s="370"/>
      <c r="Q306" s="370"/>
      <c r="R306" s="153">
        <v>1.2507606479949288E-2</v>
      </c>
      <c r="S306" s="153">
        <v>1.3415479754124665E-2</v>
      </c>
      <c r="T306" s="153">
        <v>1.3076768832965952E-2</v>
      </c>
      <c r="U306" s="153">
        <v>1.1305975394471559E-2</v>
      </c>
      <c r="V306" s="382">
        <v>8.9669154371050663E-3</v>
      </c>
      <c r="W306" s="1"/>
      <c r="X306" s="1"/>
      <c r="Y306" s="181">
        <f t="shared" si="22"/>
        <v>-1.2507606479949288E-2</v>
      </c>
      <c r="Z306" s="181">
        <f t="shared" si="23"/>
        <v>-1.3415479754124665E-2</v>
      </c>
      <c r="AA306" s="181">
        <f t="shared" si="24"/>
        <v>-1.3076768832965952E-2</v>
      </c>
      <c r="AB306" s="181">
        <f t="shared" si="25"/>
        <v>-1.1305975394471559E-2</v>
      </c>
      <c r="AC306" s="181">
        <f t="shared" si="26"/>
        <v>-8.9669154371050663E-3</v>
      </c>
      <c r="AD306" s="1"/>
      <c r="AE306" s="1"/>
    </row>
    <row r="307" spans="1:31" customFormat="1" ht="15" customHeight="1">
      <c r="A307" s="1"/>
      <c r="B307" s="1"/>
      <c r="C307" s="2"/>
      <c r="D307" s="124" t="s">
        <v>154</v>
      </c>
      <c r="E307" s="1"/>
      <c r="F307" s="107"/>
      <c r="G307" s="107"/>
      <c r="H307" s="107"/>
      <c r="I307" s="107"/>
      <c r="J307" s="107"/>
      <c r="K307" s="87" t="s">
        <v>4</v>
      </c>
      <c r="L307" s="85"/>
      <c r="M307" s="119"/>
      <c r="N307" s="107"/>
      <c r="O307" s="370"/>
      <c r="P307" s="370"/>
      <c r="Q307" s="370"/>
      <c r="R307" s="153">
        <v>1.2204013902864155E-2</v>
      </c>
      <c r="S307" s="153">
        <v>1.3565164182702252E-2</v>
      </c>
      <c r="T307" s="153">
        <v>1.281735012995407E-2</v>
      </c>
      <c r="U307" s="153">
        <v>1.117750306436646E-2</v>
      </c>
      <c r="V307" s="382">
        <v>8.5516632765872593E-3</v>
      </c>
      <c r="W307" s="1"/>
      <c r="X307" s="1"/>
      <c r="Y307" s="181">
        <f t="shared" si="22"/>
        <v>-1.2204013902864155E-2</v>
      </c>
      <c r="Z307" s="181">
        <f t="shared" si="23"/>
        <v>-1.3565164182702252E-2</v>
      </c>
      <c r="AA307" s="181">
        <f t="shared" si="24"/>
        <v>-1.281735012995407E-2</v>
      </c>
      <c r="AB307" s="181">
        <f t="shared" si="25"/>
        <v>-1.117750306436646E-2</v>
      </c>
      <c r="AC307" s="181">
        <f t="shared" si="26"/>
        <v>-8.5516632765872593E-3</v>
      </c>
      <c r="AD307" s="1"/>
      <c r="AE307" s="1"/>
    </row>
    <row r="308" spans="1:31" customFormat="1" ht="15" customHeight="1">
      <c r="A308" s="1"/>
      <c r="B308" s="1"/>
      <c r="C308" s="2"/>
      <c r="D308" s="124" t="s">
        <v>155</v>
      </c>
      <c r="E308" s="1"/>
      <c r="F308" s="107"/>
      <c r="G308" s="107"/>
      <c r="H308" s="107"/>
      <c r="I308" s="107"/>
      <c r="J308" s="107"/>
      <c r="K308" s="87" t="s">
        <v>4</v>
      </c>
      <c r="L308" s="85"/>
      <c r="M308" s="119"/>
      <c r="N308" s="107"/>
      <c r="O308" s="370"/>
      <c r="P308" s="370"/>
      <c r="Q308" s="370"/>
      <c r="R308" s="153">
        <v>1.2180433374638356E-2</v>
      </c>
      <c r="S308" s="153">
        <v>1.3903276672581613E-2</v>
      </c>
      <c r="T308" s="153">
        <v>1.2899934199608052E-2</v>
      </c>
      <c r="U308" s="153">
        <v>1.1253615302328095E-2</v>
      </c>
      <c r="V308" s="382">
        <v>8.4843838043809384E-3</v>
      </c>
      <c r="W308" s="1"/>
      <c r="X308" s="1"/>
      <c r="Y308" s="181">
        <f t="shared" si="22"/>
        <v>-1.2180433374638356E-2</v>
      </c>
      <c r="Z308" s="181">
        <f t="shared" si="23"/>
        <v>-1.3903276672581613E-2</v>
      </c>
      <c r="AA308" s="181">
        <f t="shared" si="24"/>
        <v>-1.2899934199608052E-2</v>
      </c>
      <c r="AB308" s="181">
        <f t="shared" si="25"/>
        <v>-1.1253615302328095E-2</v>
      </c>
      <c r="AC308" s="181">
        <f t="shared" si="26"/>
        <v>-8.4843838043809384E-3</v>
      </c>
      <c r="AD308" s="1"/>
      <c r="AE308" s="1"/>
    </row>
    <row r="309" spans="1:31" customFormat="1" ht="15" customHeight="1">
      <c r="A309" s="1"/>
      <c r="B309" s="1"/>
      <c r="C309" s="2"/>
      <c r="D309" s="124" t="s">
        <v>156</v>
      </c>
      <c r="E309" s="1"/>
      <c r="F309" s="107"/>
      <c r="G309" s="107"/>
      <c r="H309" s="107"/>
      <c r="I309" s="107"/>
      <c r="J309" s="107"/>
      <c r="K309" s="87" t="s">
        <v>4</v>
      </c>
      <c r="L309" s="85"/>
      <c r="M309" s="119"/>
      <c r="N309" s="107"/>
      <c r="O309" s="370"/>
      <c r="P309" s="370"/>
      <c r="Q309" s="370"/>
      <c r="R309" s="153">
        <v>1.2036826765215456E-2</v>
      </c>
      <c r="S309" s="153">
        <v>1.4580363895632487E-2</v>
      </c>
      <c r="T309" s="153">
        <v>1.2995016603883075E-2</v>
      </c>
      <c r="U309" s="153">
        <v>1.1631311183705306E-2</v>
      </c>
      <c r="V309" s="382">
        <v>8.5613307537473274E-3</v>
      </c>
      <c r="W309" s="1"/>
      <c r="X309" s="1"/>
      <c r="Y309" s="181">
        <f t="shared" si="22"/>
        <v>-1.2036826765215456E-2</v>
      </c>
      <c r="Z309" s="181">
        <f t="shared" si="23"/>
        <v>-1.4580363895632487E-2</v>
      </c>
      <c r="AA309" s="181">
        <f t="shared" si="24"/>
        <v>-1.2995016603883075E-2</v>
      </c>
      <c r="AB309" s="181">
        <f t="shared" si="25"/>
        <v>-1.1631311183705306E-2</v>
      </c>
      <c r="AC309" s="181">
        <f t="shared" si="26"/>
        <v>-8.5613307537473274E-3</v>
      </c>
      <c r="AD309" s="1"/>
      <c r="AE309" s="1"/>
    </row>
    <row r="310" spans="1:31" customFormat="1" ht="15" customHeight="1">
      <c r="A310" s="1"/>
      <c r="B310" s="1"/>
      <c r="C310" s="2"/>
      <c r="D310" s="124" t="s">
        <v>157</v>
      </c>
      <c r="E310" s="1"/>
      <c r="F310" s="107"/>
      <c r="G310" s="107"/>
      <c r="H310" s="107"/>
      <c r="I310" s="107"/>
      <c r="J310" s="107"/>
      <c r="K310" s="87" t="s">
        <v>4</v>
      </c>
      <c r="L310" s="85"/>
      <c r="M310" s="119"/>
      <c r="N310" s="107"/>
      <c r="O310" s="370"/>
      <c r="P310" s="370"/>
      <c r="Q310" s="370"/>
      <c r="R310" s="153">
        <v>1.2561840784915413E-2</v>
      </c>
      <c r="S310" s="153">
        <v>1.5399120842492578E-2</v>
      </c>
      <c r="T310" s="153">
        <v>1.328093110223022E-2</v>
      </c>
      <c r="U310" s="153">
        <v>1.2643322350946977E-2</v>
      </c>
      <c r="V310" s="382">
        <v>9.1729435141604636E-3</v>
      </c>
      <c r="W310" s="1"/>
      <c r="X310" s="1"/>
      <c r="Y310" s="181">
        <f t="shared" si="22"/>
        <v>-1.2561840784915413E-2</v>
      </c>
      <c r="Z310" s="181">
        <f t="shared" si="23"/>
        <v>-1.5399120842492578E-2</v>
      </c>
      <c r="AA310" s="181">
        <f t="shared" si="24"/>
        <v>-1.328093110223022E-2</v>
      </c>
      <c r="AB310" s="181">
        <f t="shared" si="25"/>
        <v>-1.2643322350946977E-2</v>
      </c>
      <c r="AC310" s="181">
        <f t="shared" si="26"/>
        <v>-9.1729435141604636E-3</v>
      </c>
      <c r="AD310" s="1"/>
      <c r="AE310" s="1"/>
    </row>
    <row r="311" spans="1:31" customFormat="1" ht="15" customHeight="1">
      <c r="A311" s="1"/>
      <c r="B311" s="1"/>
      <c r="C311" s="2"/>
      <c r="D311" s="124" t="s">
        <v>158</v>
      </c>
      <c r="E311" s="1"/>
      <c r="F311" s="107"/>
      <c r="G311" s="107"/>
      <c r="H311" s="107"/>
      <c r="I311" s="107"/>
      <c r="J311" s="107"/>
      <c r="K311" s="87" t="s">
        <v>4</v>
      </c>
      <c r="L311" s="85"/>
      <c r="M311" s="119"/>
      <c r="N311" s="107"/>
      <c r="O311" s="370"/>
      <c r="P311" s="370"/>
      <c r="Q311" s="370"/>
      <c r="R311" s="153">
        <v>1.3705703193886901E-2</v>
      </c>
      <c r="S311" s="153">
        <v>1.5427700205879717E-2</v>
      </c>
      <c r="T311" s="153">
        <v>1.4186271342970855E-2</v>
      </c>
      <c r="U311" s="153">
        <v>1.513104969647472E-2</v>
      </c>
      <c r="V311" s="382">
        <v>1.1051087214357627E-2</v>
      </c>
      <c r="W311" s="1"/>
      <c r="X311" s="1"/>
      <c r="Y311" s="181">
        <f t="shared" si="22"/>
        <v>-1.3705703193886901E-2</v>
      </c>
      <c r="Z311" s="181">
        <f t="shared" si="23"/>
        <v>-1.5427700205879717E-2</v>
      </c>
      <c r="AA311" s="181">
        <f t="shared" si="24"/>
        <v>-1.4186271342970855E-2</v>
      </c>
      <c r="AB311" s="181">
        <f t="shared" si="25"/>
        <v>-1.513104969647472E-2</v>
      </c>
      <c r="AC311" s="181">
        <f t="shared" si="26"/>
        <v>-1.1051087214357627E-2</v>
      </c>
      <c r="AD311" s="1"/>
      <c r="AE311" s="1"/>
    </row>
    <row r="312" spans="1:31" customFormat="1" ht="15" customHeight="1">
      <c r="A312" s="1"/>
      <c r="B312" s="1"/>
      <c r="C312" s="2"/>
      <c r="D312" s="124" t="s">
        <v>159</v>
      </c>
      <c r="E312" s="1"/>
      <c r="F312" s="107"/>
      <c r="G312" s="107"/>
      <c r="H312" s="107"/>
      <c r="I312" s="107"/>
      <c r="J312" s="107"/>
      <c r="K312" s="87" t="s">
        <v>4</v>
      </c>
      <c r="L312" s="85"/>
      <c r="M312" s="119"/>
      <c r="N312" s="107"/>
      <c r="O312" s="370"/>
      <c r="P312" s="370"/>
      <c r="Q312" s="370"/>
      <c r="R312" s="153">
        <v>1.446831877712911E-2</v>
      </c>
      <c r="S312" s="153">
        <v>1.5300029467472057E-2</v>
      </c>
      <c r="T312" s="153">
        <v>1.5485628004575048E-2</v>
      </c>
      <c r="U312" s="153">
        <v>1.7640086355265924E-2</v>
      </c>
      <c r="V312" s="382">
        <v>1.2933170906827626E-2</v>
      </c>
      <c r="W312" s="1"/>
      <c r="X312" s="1"/>
      <c r="Y312" s="181">
        <f t="shared" si="22"/>
        <v>-1.446831877712911E-2</v>
      </c>
      <c r="Z312" s="181">
        <f t="shared" si="23"/>
        <v>-1.5300029467472057E-2</v>
      </c>
      <c r="AA312" s="181">
        <f t="shared" si="24"/>
        <v>-1.5485628004575048E-2</v>
      </c>
      <c r="AB312" s="181">
        <f t="shared" si="25"/>
        <v>-1.7640086355265924E-2</v>
      </c>
      <c r="AC312" s="181">
        <f t="shared" si="26"/>
        <v>-1.2933170906827626E-2</v>
      </c>
      <c r="AD312" s="1"/>
      <c r="AE312" s="1"/>
    </row>
    <row r="313" spans="1:31" customFormat="1" ht="15" customHeight="1">
      <c r="A313" s="1"/>
      <c r="B313" s="1"/>
      <c r="C313" s="2"/>
      <c r="D313" s="124" t="s">
        <v>160</v>
      </c>
      <c r="E313" s="1"/>
      <c r="F313" s="107"/>
      <c r="G313" s="107"/>
      <c r="H313" s="107"/>
      <c r="I313" s="107"/>
      <c r="J313" s="107"/>
      <c r="K313" s="87" t="s">
        <v>4</v>
      </c>
      <c r="L313" s="85"/>
      <c r="M313" s="119"/>
      <c r="N313" s="107"/>
      <c r="O313" s="370"/>
      <c r="P313" s="370"/>
      <c r="Q313" s="370"/>
      <c r="R313" s="153">
        <v>1.4794278968937924E-2</v>
      </c>
      <c r="S313" s="153">
        <v>1.5360282174354485E-2</v>
      </c>
      <c r="T313" s="153">
        <v>1.6137551554259361E-2</v>
      </c>
      <c r="U313" s="153">
        <v>1.8706046207581869E-2</v>
      </c>
      <c r="V313" s="382">
        <v>1.3872119169318253E-2</v>
      </c>
      <c r="W313" s="1"/>
      <c r="X313" s="1"/>
      <c r="Y313" s="181">
        <f t="shared" si="22"/>
        <v>-1.4794278968937924E-2</v>
      </c>
      <c r="Z313" s="181">
        <f t="shared" si="23"/>
        <v>-1.5360282174354485E-2</v>
      </c>
      <c r="AA313" s="181">
        <f t="shared" si="24"/>
        <v>-1.6137551554259361E-2</v>
      </c>
      <c r="AB313" s="181">
        <f t="shared" si="25"/>
        <v>-1.8706046207581869E-2</v>
      </c>
      <c r="AC313" s="181">
        <f t="shared" si="26"/>
        <v>-1.3872119169318253E-2</v>
      </c>
      <c r="AD313" s="1"/>
      <c r="AE313" s="1"/>
    </row>
    <row r="314" spans="1:31" customFormat="1" ht="15" customHeight="1">
      <c r="A314" s="1"/>
      <c r="B314" s="1"/>
      <c r="C314" s="2"/>
      <c r="D314" s="124" t="s">
        <v>161</v>
      </c>
      <c r="E314" s="1"/>
      <c r="F314" s="107"/>
      <c r="G314" s="107"/>
      <c r="H314" s="107"/>
      <c r="I314" s="107"/>
      <c r="J314" s="107"/>
      <c r="K314" s="87" t="s">
        <v>4</v>
      </c>
      <c r="L314" s="85"/>
      <c r="M314" s="119"/>
      <c r="N314" s="107"/>
      <c r="O314" s="370"/>
      <c r="P314" s="370"/>
      <c r="Q314" s="370"/>
      <c r="R314" s="153">
        <v>1.4937431965562492E-2</v>
      </c>
      <c r="S314" s="153">
        <v>1.5255675680083711E-2</v>
      </c>
      <c r="T314" s="153">
        <v>1.6346631157856974E-2</v>
      </c>
      <c r="U314" s="153">
        <v>1.8878911921595236E-2</v>
      </c>
      <c r="V314" s="382">
        <v>1.4174802974170642E-2</v>
      </c>
      <c r="W314" s="1"/>
      <c r="X314" s="1"/>
      <c r="Y314" s="181">
        <f t="shared" si="22"/>
        <v>-1.4937431965562492E-2</v>
      </c>
      <c r="Z314" s="181">
        <f t="shared" si="23"/>
        <v>-1.5255675680083711E-2</v>
      </c>
      <c r="AA314" s="181">
        <f t="shared" si="24"/>
        <v>-1.6346631157856974E-2</v>
      </c>
      <c r="AB314" s="181">
        <f t="shared" si="25"/>
        <v>-1.8878911921595236E-2</v>
      </c>
      <c r="AC314" s="181">
        <f t="shared" si="26"/>
        <v>-1.4174802974170642E-2</v>
      </c>
      <c r="AD314" s="1"/>
      <c r="AE314" s="1"/>
    </row>
    <row r="315" spans="1:31" customFormat="1" ht="15" customHeight="1">
      <c r="A315" s="1"/>
      <c r="B315" s="1"/>
      <c r="C315" s="2"/>
      <c r="D315" s="124" t="s">
        <v>162</v>
      </c>
      <c r="E315" s="1"/>
      <c r="F315" s="107"/>
      <c r="G315" s="107"/>
      <c r="H315" s="107"/>
      <c r="I315" s="107"/>
      <c r="J315" s="107"/>
      <c r="K315" s="87" t="s">
        <v>4</v>
      </c>
      <c r="L315" s="85"/>
      <c r="M315" s="119"/>
      <c r="N315" s="107"/>
      <c r="O315" s="370"/>
      <c r="P315" s="370"/>
      <c r="Q315" s="370"/>
      <c r="R315" s="153">
        <v>1.4658662963293786E-2</v>
      </c>
      <c r="S315" s="153">
        <v>1.5134954206398991E-2</v>
      </c>
      <c r="T315" s="153">
        <v>1.6659247150496898E-2</v>
      </c>
      <c r="U315" s="153">
        <v>1.9440321865919204E-2</v>
      </c>
      <c r="V315" s="382">
        <v>1.4335197845027436E-2</v>
      </c>
      <c r="W315" s="1"/>
      <c r="X315" s="1"/>
      <c r="Y315" s="181">
        <f t="shared" si="22"/>
        <v>-1.4658662963293786E-2</v>
      </c>
      <c r="Z315" s="181">
        <f t="shared" si="23"/>
        <v>-1.5134954206398991E-2</v>
      </c>
      <c r="AA315" s="181">
        <f t="shared" si="24"/>
        <v>-1.6659247150496898E-2</v>
      </c>
      <c r="AB315" s="181">
        <f t="shared" si="25"/>
        <v>-1.9440321865919204E-2</v>
      </c>
      <c r="AC315" s="181">
        <f t="shared" si="26"/>
        <v>-1.4335197845027436E-2</v>
      </c>
      <c r="AD315" s="1"/>
      <c r="AE315" s="1"/>
    </row>
    <row r="316" spans="1:31" customFormat="1" ht="15" customHeight="1">
      <c r="A316" s="1"/>
      <c r="B316" s="1"/>
      <c r="C316" s="2"/>
      <c r="D316" s="124" t="s">
        <v>163</v>
      </c>
      <c r="E316" s="1"/>
      <c r="F316" s="107"/>
      <c r="G316" s="107"/>
      <c r="H316" s="107"/>
      <c r="I316" s="107"/>
      <c r="J316" s="107"/>
      <c r="K316" s="87" t="s">
        <v>4</v>
      </c>
      <c r="L316" s="85"/>
      <c r="M316" s="119"/>
      <c r="N316" s="107"/>
      <c r="O316" s="370"/>
      <c r="P316" s="370"/>
      <c r="Q316" s="370"/>
      <c r="R316" s="153">
        <v>1.5279795863094288E-2</v>
      </c>
      <c r="S316" s="153">
        <v>1.5374107275953341E-2</v>
      </c>
      <c r="T316" s="153">
        <v>1.6564352052642933E-2</v>
      </c>
      <c r="U316" s="153">
        <v>1.9333131968552755E-2</v>
      </c>
      <c r="V316" s="382">
        <v>1.4285178946460132E-2</v>
      </c>
      <c r="W316" s="1"/>
      <c r="X316" s="1"/>
      <c r="Y316" s="181">
        <f t="shared" si="22"/>
        <v>-1.5279795863094288E-2</v>
      </c>
      <c r="Z316" s="181">
        <f t="shared" si="23"/>
        <v>-1.5374107275953341E-2</v>
      </c>
      <c r="AA316" s="181">
        <f t="shared" si="24"/>
        <v>-1.6564352052642933E-2</v>
      </c>
      <c r="AB316" s="181">
        <f t="shared" si="25"/>
        <v>-1.9333131968552755E-2</v>
      </c>
      <c r="AC316" s="181">
        <f t="shared" si="26"/>
        <v>-1.4285178946460132E-2</v>
      </c>
      <c r="AD316" s="1"/>
      <c r="AE316" s="1"/>
    </row>
    <row r="317" spans="1:31" customFormat="1" ht="15" customHeight="1">
      <c r="A317" s="1"/>
      <c r="B317" s="1"/>
      <c r="C317" s="2"/>
      <c r="D317" s="124" t="s">
        <v>164</v>
      </c>
      <c r="E317" s="1"/>
      <c r="F317" s="107"/>
      <c r="G317" s="107"/>
      <c r="H317" s="107"/>
      <c r="I317" s="107"/>
      <c r="J317" s="107"/>
      <c r="K317" s="87" t="s">
        <v>4</v>
      </c>
      <c r="L317" s="85"/>
      <c r="M317" s="119"/>
      <c r="N317" s="107"/>
      <c r="O317" s="370"/>
      <c r="P317" s="370"/>
      <c r="Q317" s="370"/>
      <c r="R317" s="153">
        <v>1.5066074568107447E-2</v>
      </c>
      <c r="S317" s="153">
        <v>1.5250467250189708E-2</v>
      </c>
      <c r="T317" s="153">
        <v>1.6470471656603678E-2</v>
      </c>
      <c r="U317" s="153">
        <v>1.8839324483321842E-2</v>
      </c>
      <c r="V317" s="382">
        <v>1.399890251528847E-2</v>
      </c>
      <c r="W317" s="1"/>
      <c r="X317" s="1"/>
      <c r="Y317" s="181">
        <f t="shared" si="22"/>
        <v>-1.5066074568107447E-2</v>
      </c>
      <c r="Z317" s="181">
        <f t="shared" si="23"/>
        <v>-1.5250467250189708E-2</v>
      </c>
      <c r="AA317" s="181">
        <f t="shared" si="24"/>
        <v>-1.6470471656603678E-2</v>
      </c>
      <c r="AB317" s="181">
        <f t="shared" si="25"/>
        <v>-1.8839324483321842E-2</v>
      </c>
      <c r="AC317" s="181">
        <f t="shared" si="26"/>
        <v>-1.399890251528847E-2</v>
      </c>
      <c r="AD317" s="1"/>
      <c r="AE317" s="1"/>
    </row>
    <row r="318" spans="1:31" customFormat="1" ht="15" customHeight="1">
      <c r="A318" s="1"/>
      <c r="B318" s="1"/>
      <c r="C318" s="2"/>
      <c r="D318" s="124" t="s">
        <v>165</v>
      </c>
      <c r="E318" s="1"/>
      <c r="F318" s="107"/>
      <c r="G318" s="107"/>
      <c r="H318" s="107"/>
      <c r="I318" s="107"/>
      <c r="J318" s="107"/>
      <c r="K318" s="87" t="s">
        <v>4</v>
      </c>
      <c r="L318" s="85"/>
      <c r="M318" s="119"/>
      <c r="N318" s="107"/>
      <c r="O318" s="370"/>
      <c r="P318" s="370"/>
      <c r="Q318" s="370"/>
      <c r="R318" s="153">
        <v>1.5442511874969348E-2</v>
      </c>
      <c r="S318" s="153">
        <v>1.5034183952525848E-2</v>
      </c>
      <c r="T318" s="153">
        <v>1.6461755636801641E-2</v>
      </c>
      <c r="U318" s="153">
        <v>1.8850219070503531E-2</v>
      </c>
      <c r="V318" s="382">
        <v>1.3888922419413967E-2</v>
      </c>
      <c r="W318" s="1"/>
      <c r="X318" s="1"/>
      <c r="Y318" s="181">
        <f t="shared" si="22"/>
        <v>-1.5442511874969348E-2</v>
      </c>
      <c r="Z318" s="181">
        <f t="shared" si="23"/>
        <v>-1.5034183952525848E-2</v>
      </c>
      <c r="AA318" s="181">
        <f t="shared" si="24"/>
        <v>-1.6461755636801641E-2</v>
      </c>
      <c r="AB318" s="181">
        <f t="shared" si="25"/>
        <v>-1.8850219070503531E-2</v>
      </c>
      <c r="AC318" s="181">
        <f t="shared" si="26"/>
        <v>-1.3888922419413967E-2</v>
      </c>
      <c r="AD318" s="1"/>
      <c r="AE318" s="1"/>
    </row>
    <row r="319" spans="1:31" customFormat="1" ht="15" customHeight="1">
      <c r="A319" s="1"/>
      <c r="B319" s="1"/>
      <c r="C319" s="2"/>
      <c r="D319" s="124" t="s">
        <v>166</v>
      </c>
      <c r="E319" s="1"/>
      <c r="F319" s="107"/>
      <c r="G319" s="107"/>
      <c r="H319" s="107"/>
      <c r="I319" s="107"/>
      <c r="J319" s="107"/>
      <c r="K319" s="87" t="s">
        <v>4</v>
      </c>
      <c r="L319" s="85"/>
      <c r="M319" s="119"/>
      <c r="N319" s="107"/>
      <c r="O319" s="370"/>
      <c r="P319" s="370"/>
      <c r="Q319" s="370"/>
      <c r="R319" s="153">
        <v>1.5427265095845797E-2</v>
      </c>
      <c r="S319" s="153">
        <v>1.4923818424984997E-2</v>
      </c>
      <c r="T319" s="153">
        <v>1.6084748106554081E-2</v>
      </c>
      <c r="U319" s="153">
        <v>1.8055043028022626E-2</v>
      </c>
      <c r="V319" s="382">
        <v>1.3774813058699783E-2</v>
      </c>
      <c r="W319" s="1"/>
      <c r="X319" s="1"/>
      <c r="Y319" s="181">
        <f t="shared" si="22"/>
        <v>-1.5427265095845797E-2</v>
      </c>
      <c r="Z319" s="181">
        <f t="shared" si="23"/>
        <v>-1.4923818424984997E-2</v>
      </c>
      <c r="AA319" s="181">
        <f t="shared" si="24"/>
        <v>-1.6084748106554081E-2</v>
      </c>
      <c r="AB319" s="181">
        <f t="shared" si="25"/>
        <v>-1.8055043028022626E-2</v>
      </c>
      <c r="AC319" s="181">
        <f t="shared" si="26"/>
        <v>-1.3774813058699783E-2</v>
      </c>
      <c r="AD319" s="1"/>
      <c r="AE319" s="1"/>
    </row>
    <row r="320" spans="1:31" customFormat="1" ht="15" customHeight="1">
      <c r="A320" s="1"/>
      <c r="B320" s="1"/>
      <c r="C320" s="2"/>
      <c r="D320" s="124" t="s">
        <v>167</v>
      </c>
      <c r="E320" s="1"/>
      <c r="F320" s="107"/>
      <c r="G320" s="107"/>
      <c r="H320" s="107"/>
      <c r="I320" s="107"/>
      <c r="J320" s="107"/>
      <c r="K320" s="87" t="s">
        <v>4</v>
      </c>
      <c r="L320" s="85"/>
      <c r="M320" s="119"/>
      <c r="N320" s="107"/>
      <c r="O320" s="370"/>
      <c r="P320" s="370"/>
      <c r="Q320" s="370"/>
      <c r="R320" s="153">
        <v>1.5287747642419641E-2</v>
      </c>
      <c r="S320" s="153">
        <v>1.4624218084709224E-2</v>
      </c>
      <c r="T320" s="153">
        <v>1.5549869795624232E-2</v>
      </c>
      <c r="U320" s="153">
        <v>1.6809429764516243E-2</v>
      </c>
      <c r="V320" s="382">
        <v>1.3686152548511295E-2</v>
      </c>
      <c r="W320" s="1"/>
      <c r="X320" s="1"/>
      <c r="Y320" s="181">
        <f t="shared" si="22"/>
        <v>-1.5287747642419641E-2</v>
      </c>
      <c r="Z320" s="181">
        <f t="shared" si="23"/>
        <v>-1.4624218084709224E-2</v>
      </c>
      <c r="AA320" s="181">
        <f t="shared" si="24"/>
        <v>-1.5549869795624232E-2</v>
      </c>
      <c r="AB320" s="181">
        <f t="shared" si="25"/>
        <v>-1.6809429764516243E-2</v>
      </c>
      <c r="AC320" s="181">
        <f t="shared" si="26"/>
        <v>-1.3686152548511295E-2</v>
      </c>
      <c r="AD320" s="1"/>
      <c r="AE320" s="1"/>
    </row>
    <row r="321" spans="1:31" customFormat="1" ht="15" customHeight="1">
      <c r="A321" s="1"/>
      <c r="B321" s="1"/>
      <c r="C321" s="2"/>
      <c r="D321" s="124" t="s">
        <v>168</v>
      </c>
      <c r="E321" s="1"/>
      <c r="F321" s="107"/>
      <c r="G321" s="107"/>
      <c r="H321" s="107"/>
      <c r="I321" s="107"/>
      <c r="J321" s="107"/>
      <c r="K321" s="87" t="s">
        <v>4</v>
      </c>
      <c r="L321" s="85"/>
      <c r="M321" s="119"/>
      <c r="N321" s="107"/>
      <c r="O321" s="370"/>
      <c r="P321" s="370"/>
      <c r="Q321" s="370"/>
      <c r="R321" s="153">
        <v>1.5062489048038764E-2</v>
      </c>
      <c r="S321" s="153">
        <v>1.4567553971287719E-2</v>
      </c>
      <c r="T321" s="153">
        <v>1.5087415558616047E-2</v>
      </c>
      <c r="U321" s="153">
        <v>1.5749078537133532E-2</v>
      </c>
      <c r="V321" s="382">
        <v>1.4156843542096224E-2</v>
      </c>
      <c r="W321" s="1"/>
      <c r="X321" s="1"/>
      <c r="Y321" s="181">
        <f t="shared" si="22"/>
        <v>-1.5062489048038764E-2</v>
      </c>
      <c r="Z321" s="181">
        <f t="shared" si="23"/>
        <v>-1.4567553971287719E-2</v>
      </c>
      <c r="AA321" s="181">
        <f t="shared" si="24"/>
        <v>-1.5087415558616047E-2</v>
      </c>
      <c r="AB321" s="181">
        <f t="shared" si="25"/>
        <v>-1.5749078537133532E-2</v>
      </c>
      <c r="AC321" s="181">
        <f t="shared" si="26"/>
        <v>-1.4156843542096224E-2</v>
      </c>
      <c r="AD321" s="1"/>
      <c r="AE321" s="1"/>
    </row>
    <row r="322" spans="1:31" customFormat="1" ht="15" customHeight="1">
      <c r="A322" s="1"/>
      <c r="B322" s="1"/>
      <c r="C322" s="2"/>
      <c r="D322" s="124" t="s">
        <v>169</v>
      </c>
      <c r="E322" s="1"/>
      <c r="F322" s="107"/>
      <c r="G322" s="107"/>
      <c r="H322" s="107"/>
      <c r="I322" s="107"/>
      <c r="J322" s="107"/>
      <c r="K322" s="87" t="s">
        <v>4</v>
      </c>
      <c r="L322" s="85"/>
      <c r="M322" s="119"/>
      <c r="N322" s="107"/>
      <c r="O322" s="370"/>
      <c r="P322" s="370"/>
      <c r="Q322" s="370"/>
      <c r="R322" s="153">
        <v>1.4303962714736492E-2</v>
      </c>
      <c r="S322" s="153">
        <v>1.4457230238573517E-2</v>
      </c>
      <c r="T322" s="153">
        <v>1.4585412321545513E-2</v>
      </c>
      <c r="U322" s="153">
        <v>1.495837470259901E-2</v>
      </c>
      <c r="V322" s="382">
        <v>1.6007204084112336E-2</v>
      </c>
      <c r="W322" s="1"/>
      <c r="X322" s="1"/>
      <c r="Y322" s="181">
        <f t="shared" si="22"/>
        <v>-1.4303962714736492E-2</v>
      </c>
      <c r="Z322" s="181">
        <f t="shared" si="23"/>
        <v>-1.4457230238573517E-2</v>
      </c>
      <c r="AA322" s="181">
        <f t="shared" si="24"/>
        <v>-1.4585412321545513E-2</v>
      </c>
      <c r="AB322" s="181">
        <f t="shared" si="25"/>
        <v>-1.495837470259901E-2</v>
      </c>
      <c r="AC322" s="181">
        <f t="shared" si="26"/>
        <v>-1.6007204084112336E-2</v>
      </c>
      <c r="AD322" s="1"/>
      <c r="AE322" s="1"/>
    </row>
    <row r="323" spans="1:31" customFormat="1" ht="15" customHeight="1">
      <c r="A323" s="1"/>
      <c r="B323" s="1"/>
      <c r="C323" s="2"/>
      <c r="D323" s="124" t="s">
        <v>170</v>
      </c>
      <c r="E323" s="1"/>
      <c r="F323" s="107"/>
      <c r="G323" s="107"/>
      <c r="H323" s="107"/>
      <c r="I323" s="107"/>
      <c r="J323" s="107"/>
      <c r="K323" s="87" t="s">
        <v>4</v>
      </c>
      <c r="L323" s="85"/>
      <c r="M323" s="119"/>
      <c r="N323" s="107"/>
      <c r="O323" s="370"/>
      <c r="P323" s="370"/>
      <c r="Q323" s="370"/>
      <c r="R323" s="153">
        <v>1.4238383742510031E-2</v>
      </c>
      <c r="S323" s="153">
        <v>1.4191891663438837E-2</v>
      </c>
      <c r="T323" s="153">
        <v>1.4194397923892909E-2</v>
      </c>
      <c r="U323" s="153">
        <v>1.4308856187354509E-2</v>
      </c>
      <c r="V323" s="382">
        <v>1.5960551709047657E-2</v>
      </c>
      <c r="W323" s="1"/>
      <c r="X323" s="1"/>
      <c r="Y323" s="181">
        <f t="shared" si="22"/>
        <v>-1.4238383742510031E-2</v>
      </c>
      <c r="Z323" s="181">
        <f t="shared" si="23"/>
        <v>-1.4191891663438837E-2</v>
      </c>
      <c r="AA323" s="181">
        <f t="shared" si="24"/>
        <v>-1.4194397923892909E-2</v>
      </c>
      <c r="AB323" s="181">
        <f t="shared" si="25"/>
        <v>-1.4308856187354509E-2</v>
      </c>
      <c r="AC323" s="181">
        <f t="shared" si="26"/>
        <v>-1.5960551709047657E-2</v>
      </c>
      <c r="AD323" s="1"/>
      <c r="AE323" s="1"/>
    </row>
    <row r="324" spans="1:31" customFormat="1" ht="15" customHeight="1">
      <c r="A324" s="1"/>
      <c r="B324" s="1"/>
      <c r="C324" s="2"/>
      <c r="D324" s="124" t="s">
        <v>171</v>
      </c>
      <c r="E324" s="1"/>
      <c r="F324" s="107"/>
      <c r="G324" s="107"/>
      <c r="H324" s="107"/>
      <c r="I324" s="107"/>
      <c r="J324" s="107"/>
      <c r="K324" s="87" t="s">
        <v>4</v>
      </c>
      <c r="L324" s="85"/>
      <c r="M324" s="119"/>
      <c r="N324" s="107"/>
      <c r="O324" s="370"/>
      <c r="P324" s="370"/>
      <c r="Q324" s="370"/>
      <c r="R324" s="153">
        <v>1.4282076089152898E-2</v>
      </c>
      <c r="S324" s="153">
        <v>1.403021739634156E-2</v>
      </c>
      <c r="T324" s="153">
        <v>1.4050913998382946E-2</v>
      </c>
      <c r="U324" s="153">
        <v>1.3879370784791428E-2</v>
      </c>
      <c r="V324" s="382">
        <v>1.4973719578311845E-2</v>
      </c>
      <c r="W324" s="1"/>
      <c r="X324" s="1"/>
      <c r="Y324" s="181">
        <f t="shared" si="22"/>
        <v>-1.4282076089152898E-2</v>
      </c>
      <c r="Z324" s="181">
        <f t="shared" si="23"/>
        <v>-1.403021739634156E-2</v>
      </c>
      <c r="AA324" s="181">
        <f t="shared" si="24"/>
        <v>-1.4050913998382946E-2</v>
      </c>
      <c r="AB324" s="181">
        <f t="shared" si="25"/>
        <v>-1.3879370784791428E-2</v>
      </c>
      <c r="AC324" s="181">
        <f t="shared" si="26"/>
        <v>-1.4973719578311845E-2</v>
      </c>
      <c r="AD324" s="1"/>
      <c r="AE324" s="1"/>
    </row>
    <row r="325" spans="1:31" customFormat="1" ht="15" customHeight="1">
      <c r="A325" s="1"/>
      <c r="B325" s="1"/>
      <c r="C325" s="2"/>
      <c r="D325" s="124" t="s">
        <v>172</v>
      </c>
      <c r="E325" s="1"/>
      <c r="F325" s="107"/>
      <c r="G325" s="107"/>
      <c r="H325" s="107"/>
      <c r="I325" s="107"/>
      <c r="J325" s="107"/>
      <c r="K325" s="87" t="s">
        <v>4</v>
      </c>
      <c r="L325" s="85"/>
      <c r="M325" s="119"/>
      <c r="N325" s="107"/>
      <c r="O325" s="370"/>
      <c r="P325" s="370"/>
      <c r="Q325" s="370"/>
      <c r="R325" s="153">
        <v>1.4140181263972753E-2</v>
      </c>
      <c r="S325" s="153">
        <v>1.3863429425587322E-2</v>
      </c>
      <c r="T325" s="153">
        <v>1.372001608011432E-2</v>
      </c>
      <c r="U325" s="153">
        <v>1.3379209016870289E-2</v>
      </c>
      <c r="V325" s="382">
        <v>1.4230148302300275E-2</v>
      </c>
      <c r="W325" s="1"/>
      <c r="X325" s="1"/>
      <c r="Y325" s="181">
        <f t="shared" si="22"/>
        <v>-1.4140181263972753E-2</v>
      </c>
      <c r="Z325" s="181">
        <f t="shared" si="23"/>
        <v>-1.3863429425587322E-2</v>
      </c>
      <c r="AA325" s="181">
        <f t="shared" si="24"/>
        <v>-1.372001608011432E-2</v>
      </c>
      <c r="AB325" s="181">
        <f t="shared" si="25"/>
        <v>-1.3379209016870289E-2</v>
      </c>
      <c r="AC325" s="181">
        <f t="shared" si="26"/>
        <v>-1.4230148302300275E-2</v>
      </c>
      <c r="AD325" s="1"/>
      <c r="AE325" s="1"/>
    </row>
    <row r="326" spans="1:31" customFormat="1" ht="15" customHeight="1">
      <c r="A326" s="1"/>
      <c r="B326" s="1"/>
      <c r="C326" s="2"/>
      <c r="D326" s="124" t="s">
        <v>173</v>
      </c>
      <c r="E326" s="1"/>
      <c r="F326" s="107"/>
      <c r="G326" s="107"/>
      <c r="H326" s="107"/>
      <c r="I326" s="107"/>
      <c r="J326" s="107"/>
      <c r="K326" s="87" t="s">
        <v>4</v>
      </c>
      <c r="L326" s="85"/>
      <c r="M326" s="119"/>
      <c r="N326" s="107"/>
      <c r="O326" s="370"/>
      <c r="P326" s="370"/>
      <c r="Q326" s="370"/>
      <c r="R326" s="153">
        <v>1.3947931576225764E-2</v>
      </c>
      <c r="S326" s="153">
        <v>1.3667347114149579E-2</v>
      </c>
      <c r="T326" s="153">
        <v>1.3478455986205498E-2</v>
      </c>
      <c r="U326" s="153">
        <v>1.2865046799114051E-2</v>
      </c>
      <c r="V326" s="382">
        <v>1.3482839130116525E-2</v>
      </c>
      <c r="W326" s="1"/>
      <c r="X326" s="1"/>
      <c r="Y326" s="181">
        <f t="shared" si="22"/>
        <v>-1.3947931576225764E-2</v>
      </c>
      <c r="Z326" s="181">
        <f t="shared" si="23"/>
        <v>-1.3667347114149579E-2</v>
      </c>
      <c r="AA326" s="181">
        <f t="shared" si="24"/>
        <v>-1.3478455986205498E-2</v>
      </c>
      <c r="AB326" s="181">
        <f t="shared" si="25"/>
        <v>-1.2865046799114051E-2</v>
      </c>
      <c r="AC326" s="181">
        <f t="shared" si="26"/>
        <v>-1.3482839130116525E-2</v>
      </c>
      <c r="AD326" s="1"/>
      <c r="AE326" s="1"/>
    </row>
    <row r="327" spans="1:31" customFormat="1" ht="15" customHeight="1">
      <c r="A327" s="1"/>
      <c r="B327" s="1"/>
      <c r="C327" s="2"/>
      <c r="D327" s="124" t="s">
        <v>174</v>
      </c>
      <c r="E327" s="1"/>
      <c r="F327" s="107"/>
      <c r="G327" s="107"/>
      <c r="H327" s="107"/>
      <c r="I327" s="107"/>
      <c r="J327" s="107"/>
      <c r="K327" s="87" t="s">
        <v>4</v>
      </c>
      <c r="L327" s="85"/>
      <c r="M327" s="119"/>
      <c r="N327" s="107"/>
      <c r="O327" s="370"/>
      <c r="P327" s="370"/>
      <c r="Q327" s="370"/>
      <c r="R327" s="153">
        <v>1.3258116569460356E-2</v>
      </c>
      <c r="S327" s="153">
        <v>1.3877865991157267E-2</v>
      </c>
      <c r="T327" s="153">
        <v>1.3291803050828043E-2</v>
      </c>
      <c r="U327" s="153">
        <v>1.2295681207046634E-2</v>
      </c>
      <c r="V327" s="382">
        <v>1.2353102404843419E-2</v>
      </c>
      <c r="W327" s="1"/>
      <c r="X327" s="1"/>
      <c r="Y327" s="181">
        <f t="shared" si="22"/>
        <v>-1.3258116569460356E-2</v>
      </c>
      <c r="Z327" s="181">
        <f t="shared" si="23"/>
        <v>-1.3877865991157267E-2</v>
      </c>
      <c r="AA327" s="181">
        <f t="shared" si="24"/>
        <v>-1.3291803050828043E-2</v>
      </c>
      <c r="AB327" s="181">
        <f t="shared" si="25"/>
        <v>-1.2295681207046634E-2</v>
      </c>
      <c r="AC327" s="181">
        <f t="shared" si="26"/>
        <v>-1.2353102404843419E-2</v>
      </c>
      <c r="AD327" s="1"/>
      <c r="AE327" s="1"/>
    </row>
    <row r="328" spans="1:31" customFormat="1" ht="15" customHeight="1">
      <c r="A328" s="1"/>
      <c r="B328" s="1"/>
      <c r="C328" s="2"/>
      <c r="D328" s="125" t="s">
        <v>175</v>
      </c>
      <c r="E328" s="27"/>
      <c r="F328" s="115"/>
      <c r="G328" s="115"/>
      <c r="H328" s="115"/>
      <c r="I328" s="115"/>
      <c r="J328" s="115"/>
      <c r="K328" s="98" t="s">
        <v>4</v>
      </c>
      <c r="L328" s="99"/>
      <c r="M328" s="151"/>
      <c r="N328" s="115"/>
      <c r="O328" s="368"/>
      <c r="P328" s="368"/>
      <c r="Q328" s="368"/>
      <c r="R328" s="154">
        <v>1.2753627358644055E-2</v>
      </c>
      <c r="S328" s="154">
        <v>1.368068890310011E-2</v>
      </c>
      <c r="T328" s="154">
        <v>1.3184176626783544E-2</v>
      </c>
      <c r="U328" s="154">
        <v>1.1786935411313313E-2</v>
      </c>
      <c r="V328" s="383">
        <v>1.0975151932374244E-2</v>
      </c>
      <c r="W328" s="27"/>
      <c r="X328" s="1"/>
      <c r="Y328" s="181">
        <f t="shared" si="22"/>
        <v>-1.2753627358644055E-2</v>
      </c>
      <c r="Z328" s="181">
        <f t="shared" si="23"/>
        <v>-1.368068890310011E-2</v>
      </c>
      <c r="AA328" s="181">
        <f t="shared" si="24"/>
        <v>-1.3184176626783544E-2</v>
      </c>
      <c r="AB328" s="181">
        <f t="shared" si="25"/>
        <v>-1.1786935411313313E-2</v>
      </c>
      <c r="AC328" s="181">
        <f t="shared" si="26"/>
        <v>-1.0975151932374244E-2</v>
      </c>
      <c r="AD328" s="1"/>
      <c r="AE328" s="1"/>
    </row>
    <row r="329" spans="1:31" customFormat="1" ht="15" customHeight="1">
      <c r="A329" s="1"/>
      <c r="B329" s="1"/>
      <c r="C329" s="2"/>
      <c r="D329" s="105" t="s">
        <v>16</v>
      </c>
      <c r="E329" s="186"/>
      <c r="F329" s="120"/>
      <c r="G329" s="120"/>
      <c r="H329" s="120"/>
      <c r="I329" s="120"/>
      <c r="J329" s="120"/>
      <c r="K329" s="106" t="s">
        <v>4</v>
      </c>
      <c r="L329" s="105"/>
      <c r="M329" s="105"/>
      <c r="N329" s="120"/>
      <c r="O329" s="371"/>
      <c r="P329" s="371"/>
      <c r="Q329" s="371"/>
      <c r="R329" s="200">
        <f xml:space="preserve"> SUM( R305:R328 )</f>
        <v>0.33511358363639876</v>
      </c>
      <c r="S329" s="200">
        <f xml:space="preserve"> SUM( S305:S328 )</f>
        <v>0.34829267890132953</v>
      </c>
      <c r="T329" s="200">
        <f xml:space="preserve"> SUM( T305:T328 )</f>
        <v>0.34989451156433754</v>
      </c>
      <c r="U329" s="200">
        <f xml:space="preserve"> SUM( U305:U328 )</f>
        <v>0.36035603591137155</v>
      </c>
      <c r="V329" s="200">
        <f xml:space="preserve"> SUM( V305:V328 )</f>
        <v>0.30141413217668506</v>
      </c>
      <c r="W329" s="33"/>
      <c r="X329" s="1"/>
      <c r="Y329" s="200">
        <f xml:space="preserve"> SUM( Y305:Y328 )</f>
        <v>-0.33511358363639876</v>
      </c>
      <c r="Z329" s="200">
        <f xml:space="preserve"> SUM( Z305:Z328 )</f>
        <v>-0.34829267890132953</v>
      </c>
      <c r="AA329" s="200">
        <f xml:space="preserve"> SUM( AA305:AA328 )</f>
        <v>-0.34989451156433754</v>
      </c>
      <c r="AB329" s="200">
        <f xml:space="preserve"> SUM( AB305:AB328 )</f>
        <v>-0.36035603591137155</v>
      </c>
      <c r="AC329" s="200">
        <f xml:space="preserve"> SUM( AC305:AC328 )</f>
        <v>-0.30141413217668506</v>
      </c>
      <c r="AD329" s="1"/>
      <c r="AE329" s="1"/>
    </row>
    <row r="330" spans="1:31" customFormat="1" ht="15" customHeight="1">
      <c r="A330" s="1"/>
      <c r="B330" s="1"/>
      <c r="C330" s="2"/>
      <c r="D330" s="85"/>
      <c r="E330" s="1"/>
      <c r="F330" s="86"/>
      <c r="G330" s="86"/>
      <c r="H330" s="86"/>
      <c r="I330" s="86"/>
      <c r="J330" s="86"/>
      <c r="K330" s="87"/>
      <c r="L330" s="85"/>
      <c r="M330" s="85"/>
      <c r="N330" s="86"/>
      <c r="O330" s="86"/>
      <c r="P330" s="86"/>
      <c r="Q330" s="86"/>
      <c r="R330" s="1"/>
      <c r="S330" s="1"/>
      <c r="T330" s="1"/>
      <c r="U330" s="1"/>
      <c r="V330" s="1"/>
      <c r="W330" s="1"/>
      <c r="X330" s="1"/>
      <c r="Y330" s="1"/>
      <c r="Z330" s="1"/>
      <c r="AA330" s="1"/>
      <c r="AB330" s="1"/>
      <c r="AC330" s="1"/>
      <c r="AD330" s="1"/>
      <c r="AE330" s="1"/>
    </row>
    <row r="331" spans="1:31" customFormat="1" ht="15" customHeight="1">
      <c r="A331" s="1"/>
      <c r="B331" s="1"/>
      <c r="C331" s="2"/>
      <c r="D331" s="85"/>
      <c r="E331" s="1"/>
      <c r="F331" s="86"/>
      <c r="G331" s="86"/>
      <c r="H331" s="86"/>
      <c r="I331" s="86"/>
      <c r="J331" s="86"/>
      <c r="K331" s="87"/>
      <c r="L331" s="85"/>
      <c r="M331" s="85"/>
      <c r="N331" s="86"/>
      <c r="O331" s="86"/>
      <c r="P331" s="86"/>
      <c r="Q331" s="86"/>
      <c r="R331" s="1"/>
      <c r="S331" s="1"/>
      <c r="T331" s="1"/>
      <c r="U331" s="1"/>
      <c r="V331" s="1"/>
      <c r="W331" s="1"/>
      <c r="X331" s="1"/>
      <c r="Y331" s="447" t="s">
        <v>541</v>
      </c>
      <c r="Z331" s="1"/>
      <c r="AA331" s="1"/>
      <c r="AB331" s="1"/>
      <c r="AC331" s="1"/>
      <c r="AD331" s="1"/>
      <c r="AE331" s="1"/>
    </row>
    <row r="332" spans="1:31" customFormat="1" ht="15" customHeight="1">
      <c r="A332" s="1"/>
      <c r="B332" s="1"/>
      <c r="C332" s="2"/>
      <c r="D332" s="88" t="s">
        <v>188</v>
      </c>
      <c r="E332" s="1"/>
      <c r="F332" s="107"/>
      <c r="G332" s="107"/>
      <c r="H332" s="107"/>
      <c r="I332" s="107"/>
      <c r="J332" s="107"/>
      <c r="K332" s="87"/>
      <c r="L332" s="85"/>
      <c r="M332" s="85"/>
      <c r="N332" s="107"/>
      <c r="O332" s="107"/>
      <c r="P332" s="107"/>
      <c r="Q332" s="107"/>
      <c r="R332" s="1"/>
      <c r="S332" s="1"/>
      <c r="T332" s="1"/>
      <c r="U332" s="1"/>
      <c r="V332" s="1"/>
      <c r="W332" s="1"/>
      <c r="X332" s="1"/>
      <c r="Y332" s="89" t="s">
        <v>11</v>
      </c>
      <c r="Z332" s="89" t="s">
        <v>12</v>
      </c>
      <c r="AA332" s="89" t="s">
        <v>13</v>
      </c>
      <c r="AB332" s="89" t="s">
        <v>14</v>
      </c>
      <c r="AC332" s="89" t="s">
        <v>15</v>
      </c>
      <c r="AD332" s="1"/>
      <c r="AE332" s="1"/>
    </row>
    <row r="333" spans="1:31" customFormat="1" ht="15" customHeight="1">
      <c r="A333" s="1"/>
      <c r="B333" s="1"/>
      <c r="C333" s="2"/>
      <c r="D333" s="122" t="s">
        <v>152</v>
      </c>
      <c r="E333" s="15"/>
      <c r="F333" s="116"/>
      <c r="G333" s="116"/>
      <c r="H333" s="116"/>
      <c r="I333" s="116"/>
      <c r="J333" s="116"/>
      <c r="K333" s="117" t="s">
        <v>4</v>
      </c>
      <c r="L333" s="123"/>
      <c r="M333" s="142"/>
      <c r="N333" s="116"/>
      <c r="O333" s="369"/>
      <c r="P333" s="369"/>
      <c r="Q333" s="369"/>
      <c r="R333" s="152">
        <v>6.3481822646350014E-3</v>
      </c>
      <c r="S333" s="152">
        <v>5.6894693990204043E-3</v>
      </c>
      <c r="T333" s="152">
        <v>5.57632930780171E-3</v>
      </c>
      <c r="U333" s="152">
        <v>4.6199564868300309E-3</v>
      </c>
      <c r="V333" s="381">
        <v>5.578051399494249E-3</v>
      </c>
      <c r="W333" s="15"/>
      <c r="X333" s="1"/>
      <c r="Y333" s="180">
        <f t="shared" ref="Y333:Y356" si="27" xml:space="preserve"> R191 - R333</f>
        <v>-6.3481822646350014E-3</v>
      </c>
      <c r="Z333" s="180">
        <f t="shared" ref="Z333:Z356" si="28" xml:space="preserve"> S191 - S333</f>
        <v>-5.6894693990204043E-3</v>
      </c>
      <c r="AA333" s="180">
        <f t="shared" ref="AA333:AA356" si="29" xml:space="preserve"> T191 - T333</f>
        <v>-5.57632930780171E-3</v>
      </c>
      <c r="AB333" s="180">
        <f t="shared" ref="AB333:AB356" si="30" xml:space="preserve"> U191 - U333</f>
        <v>-4.6199564868300309E-3</v>
      </c>
      <c r="AC333" s="180">
        <f t="shared" ref="AC333:AC356" si="31" xml:space="preserve"> V191 - V333</f>
        <v>-5.578051399494249E-3</v>
      </c>
      <c r="AD333" s="1"/>
      <c r="AE333" s="1"/>
    </row>
    <row r="334" spans="1:31" customFormat="1" ht="15" customHeight="1">
      <c r="A334" s="1"/>
      <c r="B334" s="1"/>
      <c r="C334" s="2"/>
      <c r="D334" s="124" t="s">
        <v>153</v>
      </c>
      <c r="E334" s="1"/>
      <c r="F334" s="107"/>
      <c r="G334" s="107"/>
      <c r="H334" s="107"/>
      <c r="I334" s="107"/>
      <c r="J334" s="107"/>
      <c r="K334" s="87" t="s">
        <v>4</v>
      </c>
      <c r="L334" s="85"/>
      <c r="M334" s="119"/>
      <c r="N334" s="107"/>
      <c r="O334" s="370"/>
      <c r="P334" s="370"/>
      <c r="Q334" s="370"/>
      <c r="R334" s="153">
        <v>6.5328154044760828E-3</v>
      </c>
      <c r="S334" s="153">
        <v>5.7254492276586346E-3</v>
      </c>
      <c r="T334" s="153">
        <v>5.6210477136075842E-3</v>
      </c>
      <c r="U334" s="153">
        <v>4.6549205406305688E-3</v>
      </c>
      <c r="V334" s="382">
        <v>5.2882255343513736E-3</v>
      </c>
      <c r="W334" s="1"/>
      <c r="X334" s="1"/>
      <c r="Y334" s="181">
        <f t="shared" si="27"/>
        <v>-6.5328154044760828E-3</v>
      </c>
      <c r="Z334" s="181">
        <f t="shared" si="28"/>
        <v>-5.7254492276586346E-3</v>
      </c>
      <c r="AA334" s="181">
        <f t="shared" si="29"/>
        <v>-5.6210477136075842E-3</v>
      </c>
      <c r="AB334" s="181">
        <f t="shared" si="30"/>
        <v>-4.6549205406305688E-3</v>
      </c>
      <c r="AC334" s="181">
        <f t="shared" si="31"/>
        <v>-5.2882255343513736E-3</v>
      </c>
      <c r="AD334" s="1"/>
      <c r="AE334" s="1"/>
    </row>
    <row r="335" spans="1:31" customFormat="1" ht="15" customHeight="1">
      <c r="A335" s="1"/>
      <c r="B335" s="1"/>
      <c r="C335" s="2"/>
      <c r="D335" s="124" t="s">
        <v>154</v>
      </c>
      <c r="E335" s="1"/>
      <c r="F335" s="107"/>
      <c r="G335" s="107"/>
      <c r="H335" s="107"/>
      <c r="I335" s="107"/>
      <c r="J335" s="107"/>
      <c r="K335" s="87" t="s">
        <v>4</v>
      </c>
      <c r="L335" s="85"/>
      <c r="M335" s="119"/>
      <c r="N335" s="107"/>
      <c r="O335" s="370"/>
      <c r="P335" s="370"/>
      <c r="Q335" s="370"/>
      <c r="R335" s="153">
        <v>6.4995254846018638E-3</v>
      </c>
      <c r="S335" s="153">
        <v>5.7716101471761332E-3</v>
      </c>
      <c r="T335" s="153">
        <v>5.6476458029173799E-3</v>
      </c>
      <c r="U335" s="153">
        <v>4.6382471459853374E-3</v>
      </c>
      <c r="V335" s="382">
        <v>5.0840912934750531E-3</v>
      </c>
      <c r="W335" s="1"/>
      <c r="X335" s="1"/>
      <c r="Y335" s="181">
        <f t="shared" si="27"/>
        <v>-6.4995254846018638E-3</v>
      </c>
      <c r="Z335" s="181">
        <f t="shared" si="28"/>
        <v>-5.7716101471761332E-3</v>
      </c>
      <c r="AA335" s="181">
        <f t="shared" si="29"/>
        <v>-5.6476458029173799E-3</v>
      </c>
      <c r="AB335" s="181">
        <f t="shared" si="30"/>
        <v>-4.6382471459853374E-3</v>
      </c>
      <c r="AC335" s="181">
        <f t="shared" si="31"/>
        <v>-5.0840912934750531E-3</v>
      </c>
      <c r="AD335" s="1"/>
      <c r="AE335" s="1"/>
    </row>
    <row r="336" spans="1:31" customFormat="1" ht="15" customHeight="1">
      <c r="A336" s="1"/>
      <c r="B336" s="1"/>
      <c r="C336" s="2"/>
      <c r="D336" s="124" t="s">
        <v>155</v>
      </c>
      <c r="E336" s="1"/>
      <c r="F336" s="107"/>
      <c r="G336" s="107"/>
      <c r="H336" s="107"/>
      <c r="I336" s="107"/>
      <c r="J336" s="107"/>
      <c r="K336" s="87" t="s">
        <v>4</v>
      </c>
      <c r="L336" s="85"/>
      <c r="M336" s="119"/>
      <c r="N336" s="107"/>
      <c r="O336" s="370"/>
      <c r="P336" s="370"/>
      <c r="Q336" s="370"/>
      <c r="R336" s="153">
        <v>6.7782374957475874E-3</v>
      </c>
      <c r="S336" s="153">
        <v>5.7374378841777776E-3</v>
      </c>
      <c r="T336" s="153">
        <v>5.5609236104069018E-3</v>
      </c>
      <c r="U336" s="153">
        <v>4.6375839212494368E-3</v>
      </c>
      <c r="V336" s="382">
        <v>4.9979499693716626E-3</v>
      </c>
      <c r="W336" s="1"/>
      <c r="X336" s="1"/>
      <c r="Y336" s="181">
        <f t="shared" si="27"/>
        <v>-6.7782374957475874E-3</v>
      </c>
      <c r="Z336" s="181">
        <f t="shared" si="28"/>
        <v>-5.7374378841777776E-3</v>
      </c>
      <c r="AA336" s="181">
        <f t="shared" si="29"/>
        <v>-5.5609236104069018E-3</v>
      </c>
      <c r="AB336" s="181">
        <f t="shared" si="30"/>
        <v>-4.6375839212494368E-3</v>
      </c>
      <c r="AC336" s="181">
        <f t="shared" si="31"/>
        <v>-4.9979499693716626E-3</v>
      </c>
      <c r="AD336" s="1"/>
      <c r="AE336" s="1"/>
    </row>
    <row r="337" spans="1:31" customFormat="1" ht="15" customHeight="1">
      <c r="A337" s="1"/>
      <c r="B337" s="1"/>
      <c r="C337" s="2"/>
      <c r="D337" s="124" t="s">
        <v>156</v>
      </c>
      <c r="E337" s="1"/>
      <c r="F337" s="107"/>
      <c r="G337" s="107"/>
      <c r="H337" s="107"/>
      <c r="I337" s="107"/>
      <c r="J337" s="107"/>
      <c r="K337" s="87" t="s">
        <v>4</v>
      </c>
      <c r="L337" s="85"/>
      <c r="M337" s="119"/>
      <c r="N337" s="107"/>
      <c r="O337" s="370"/>
      <c r="P337" s="370"/>
      <c r="Q337" s="370"/>
      <c r="R337" s="153">
        <v>6.9383301407627959E-3</v>
      </c>
      <c r="S337" s="153">
        <v>5.6764580948544816E-3</v>
      </c>
      <c r="T337" s="153">
        <v>5.5337192438345631E-3</v>
      </c>
      <c r="U337" s="153">
        <v>4.7258295603921493E-3</v>
      </c>
      <c r="V337" s="382">
        <v>5.0146681171851001E-3</v>
      </c>
      <c r="W337" s="1"/>
      <c r="X337" s="1"/>
      <c r="Y337" s="181">
        <f t="shared" si="27"/>
        <v>-6.9383301407627959E-3</v>
      </c>
      <c r="Z337" s="181">
        <f t="shared" si="28"/>
        <v>-5.6764580948544816E-3</v>
      </c>
      <c r="AA337" s="181">
        <f t="shared" si="29"/>
        <v>-5.5337192438345631E-3</v>
      </c>
      <c r="AB337" s="181">
        <f t="shared" si="30"/>
        <v>-4.7258295603921493E-3</v>
      </c>
      <c r="AC337" s="181">
        <f t="shared" si="31"/>
        <v>-5.0146681171851001E-3</v>
      </c>
      <c r="AD337" s="1"/>
      <c r="AE337" s="1"/>
    </row>
    <row r="338" spans="1:31" customFormat="1" ht="15" customHeight="1">
      <c r="A338" s="1"/>
      <c r="B338" s="1"/>
      <c r="C338" s="2"/>
      <c r="D338" s="124" t="s">
        <v>157</v>
      </c>
      <c r="E338" s="1"/>
      <c r="F338" s="107"/>
      <c r="G338" s="107"/>
      <c r="H338" s="107"/>
      <c r="I338" s="107"/>
      <c r="J338" s="107"/>
      <c r="K338" s="87" t="s">
        <v>4</v>
      </c>
      <c r="L338" s="85"/>
      <c r="M338" s="119"/>
      <c r="N338" s="107"/>
      <c r="O338" s="370"/>
      <c r="P338" s="370"/>
      <c r="Q338" s="370"/>
      <c r="R338" s="153">
        <v>6.8501815370780499E-3</v>
      </c>
      <c r="S338" s="153">
        <v>5.7056813236163167E-3</v>
      </c>
      <c r="T338" s="153">
        <v>5.6024513611470893E-3</v>
      </c>
      <c r="U338" s="153">
        <v>4.8859247014375641E-3</v>
      </c>
      <c r="V338" s="382">
        <v>5.17044485559823E-3</v>
      </c>
      <c r="W338" s="1"/>
      <c r="X338" s="1"/>
      <c r="Y338" s="181">
        <f t="shared" si="27"/>
        <v>-6.8501815370780499E-3</v>
      </c>
      <c r="Z338" s="181">
        <f t="shared" si="28"/>
        <v>-5.7056813236163167E-3</v>
      </c>
      <c r="AA338" s="181">
        <f t="shared" si="29"/>
        <v>-5.6024513611470893E-3</v>
      </c>
      <c r="AB338" s="181">
        <f t="shared" si="30"/>
        <v>-4.8859247014375641E-3</v>
      </c>
      <c r="AC338" s="181">
        <f t="shared" si="31"/>
        <v>-5.17044485559823E-3</v>
      </c>
      <c r="AD338" s="1"/>
      <c r="AE338" s="1"/>
    </row>
    <row r="339" spans="1:31" customFormat="1" ht="15" customHeight="1">
      <c r="A339" s="1"/>
      <c r="B339" s="1"/>
      <c r="C339" s="2"/>
      <c r="D339" s="124" t="s">
        <v>158</v>
      </c>
      <c r="E339" s="1"/>
      <c r="F339" s="107"/>
      <c r="G339" s="107"/>
      <c r="H339" s="107"/>
      <c r="I339" s="107"/>
      <c r="J339" s="107"/>
      <c r="K339" s="87" t="s">
        <v>4</v>
      </c>
      <c r="L339" s="85"/>
      <c r="M339" s="119"/>
      <c r="N339" s="107"/>
      <c r="O339" s="370"/>
      <c r="P339" s="370"/>
      <c r="Q339" s="370"/>
      <c r="R339" s="153">
        <v>6.8914512021938882E-3</v>
      </c>
      <c r="S339" s="153">
        <v>5.7122912194859862E-3</v>
      </c>
      <c r="T339" s="153">
        <v>5.53565538736632E-3</v>
      </c>
      <c r="U339" s="153">
        <v>5.1982304928896612E-3</v>
      </c>
      <c r="V339" s="382">
        <v>5.5604202163027829E-3</v>
      </c>
      <c r="W339" s="1"/>
      <c r="X339" s="1"/>
      <c r="Y339" s="181">
        <f t="shared" si="27"/>
        <v>-6.8914512021938882E-3</v>
      </c>
      <c r="Z339" s="181">
        <f t="shared" si="28"/>
        <v>-5.7122912194859862E-3</v>
      </c>
      <c r="AA339" s="181">
        <f t="shared" si="29"/>
        <v>-5.53565538736632E-3</v>
      </c>
      <c r="AB339" s="181">
        <f t="shared" si="30"/>
        <v>-5.1982304928896612E-3</v>
      </c>
      <c r="AC339" s="181">
        <f t="shared" si="31"/>
        <v>-5.5604202163027829E-3</v>
      </c>
      <c r="AD339" s="1"/>
      <c r="AE339" s="1"/>
    </row>
    <row r="340" spans="1:31" customFormat="1" ht="15" customHeight="1">
      <c r="A340" s="1"/>
      <c r="B340" s="1"/>
      <c r="C340" s="2"/>
      <c r="D340" s="124" t="s">
        <v>159</v>
      </c>
      <c r="E340" s="1"/>
      <c r="F340" s="107"/>
      <c r="G340" s="107"/>
      <c r="H340" s="107"/>
      <c r="I340" s="107"/>
      <c r="J340" s="107"/>
      <c r="K340" s="87" t="s">
        <v>4</v>
      </c>
      <c r="L340" s="85"/>
      <c r="M340" s="119"/>
      <c r="N340" s="107"/>
      <c r="O340" s="370"/>
      <c r="P340" s="370"/>
      <c r="Q340" s="370"/>
      <c r="R340" s="153">
        <v>6.7666549513688938E-3</v>
      </c>
      <c r="S340" s="153">
        <v>5.6929588536356315E-3</v>
      </c>
      <c r="T340" s="153">
        <v>5.6403459541003341E-3</v>
      </c>
      <c r="U340" s="153">
        <v>5.4998956358522028E-3</v>
      </c>
      <c r="V340" s="382">
        <v>6.2837635618586433E-3</v>
      </c>
      <c r="W340" s="1"/>
      <c r="X340" s="1"/>
      <c r="Y340" s="181">
        <f t="shared" si="27"/>
        <v>-6.7666549513688938E-3</v>
      </c>
      <c r="Z340" s="181">
        <f t="shared" si="28"/>
        <v>-5.6929588536356315E-3</v>
      </c>
      <c r="AA340" s="181">
        <f t="shared" si="29"/>
        <v>-5.6403459541003341E-3</v>
      </c>
      <c r="AB340" s="181">
        <f t="shared" si="30"/>
        <v>-5.4998956358522028E-3</v>
      </c>
      <c r="AC340" s="181">
        <f t="shared" si="31"/>
        <v>-6.2837635618586433E-3</v>
      </c>
      <c r="AD340" s="1"/>
      <c r="AE340" s="1"/>
    </row>
    <row r="341" spans="1:31" customFormat="1" ht="15" customHeight="1">
      <c r="A341" s="1"/>
      <c r="B341" s="1"/>
      <c r="C341" s="2"/>
      <c r="D341" s="124" t="s">
        <v>160</v>
      </c>
      <c r="E341" s="1"/>
      <c r="F341" s="107"/>
      <c r="G341" s="107"/>
      <c r="H341" s="107"/>
      <c r="I341" s="107"/>
      <c r="J341" s="107"/>
      <c r="K341" s="87" t="s">
        <v>4</v>
      </c>
      <c r="L341" s="85"/>
      <c r="M341" s="119"/>
      <c r="N341" s="107"/>
      <c r="O341" s="370"/>
      <c r="P341" s="370"/>
      <c r="Q341" s="370"/>
      <c r="R341" s="153">
        <v>6.3686872061533882E-3</v>
      </c>
      <c r="S341" s="153">
        <v>5.7624389995099435E-3</v>
      </c>
      <c r="T341" s="153">
        <v>5.6376288831183098E-3</v>
      </c>
      <c r="U341" s="153">
        <v>5.5941729507930802E-3</v>
      </c>
      <c r="V341" s="382">
        <v>7.1573440879011963E-3</v>
      </c>
      <c r="W341" s="1"/>
      <c r="X341" s="1"/>
      <c r="Y341" s="181">
        <f t="shared" si="27"/>
        <v>-6.3686872061533882E-3</v>
      </c>
      <c r="Z341" s="181">
        <f t="shared" si="28"/>
        <v>-5.7624389995099435E-3</v>
      </c>
      <c r="AA341" s="181">
        <f t="shared" si="29"/>
        <v>-5.6376288831183098E-3</v>
      </c>
      <c r="AB341" s="181">
        <f t="shared" si="30"/>
        <v>-5.5941729507930802E-3</v>
      </c>
      <c r="AC341" s="181">
        <f t="shared" si="31"/>
        <v>-7.1573440879011963E-3</v>
      </c>
      <c r="AD341" s="1"/>
      <c r="AE341" s="1"/>
    </row>
    <row r="342" spans="1:31" customFormat="1" ht="15" customHeight="1">
      <c r="A342" s="1"/>
      <c r="B342" s="1"/>
      <c r="C342" s="2"/>
      <c r="D342" s="124" t="s">
        <v>161</v>
      </c>
      <c r="E342" s="1"/>
      <c r="F342" s="107"/>
      <c r="G342" s="107"/>
      <c r="H342" s="107"/>
      <c r="I342" s="107"/>
      <c r="J342" s="107"/>
      <c r="K342" s="87" t="s">
        <v>4</v>
      </c>
      <c r="L342" s="85"/>
      <c r="M342" s="119"/>
      <c r="N342" s="107"/>
      <c r="O342" s="370"/>
      <c r="P342" s="370"/>
      <c r="Q342" s="370"/>
      <c r="R342" s="153">
        <v>6.1565426277759988E-3</v>
      </c>
      <c r="S342" s="153">
        <v>5.7730227891079318E-3</v>
      </c>
      <c r="T342" s="153">
        <v>5.62471838780031E-3</v>
      </c>
      <c r="U342" s="153">
        <v>5.6114820739683125E-3</v>
      </c>
      <c r="V342" s="382">
        <v>7.7311021584167729E-3</v>
      </c>
      <c r="W342" s="1"/>
      <c r="X342" s="1"/>
      <c r="Y342" s="181">
        <f t="shared" si="27"/>
        <v>-6.1565426277759988E-3</v>
      </c>
      <c r="Z342" s="181">
        <f t="shared" si="28"/>
        <v>-5.7730227891079318E-3</v>
      </c>
      <c r="AA342" s="181">
        <f t="shared" si="29"/>
        <v>-5.62471838780031E-3</v>
      </c>
      <c r="AB342" s="181">
        <f t="shared" si="30"/>
        <v>-5.6114820739683125E-3</v>
      </c>
      <c r="AC342" s="181">
        <f t="shared" si="31"/>
        <v>-7.7311021584167729E-3</v>
      </c>
      <c r="AD342" s="1"/>
      <c r="AE342" s="1"/>
    </row>
    <row r="343" spans="1:31" customFormat="1" ht="15" customHeight="1">
      <c r="A343" s="1"/>
      <c r="B343" s="1"/>
      <c r="C343" s="2"/>
      <c r="D343" s="124" t="s">
        <v>162</v>
      </c>
      <c r="E343" s="1"/>
      <c r="F343" s="107"/>
      <c r="G343" s="107"/>
      <c r="H343" s="107"/>
      <c r="I343" s="107"/>
      <c r="J343" s="107"/>
      <c r="K343" s="87" t="s">
        <v>4</v>
      </c>
      <c r="L343" s="85"/>
      <c r="M343" s="119"/>
      <c r="N343" s="107"/>
      <c r="O343" s="370"/>
      <c r="P343" s="370"/>
      <c r="Q343" s="370"/>
      <c r="R343" s="153">
        <v>6.3014846720591596E-3</v>
      </c>
      <c r="S343" s="153">
        <v>5.7034110043461209E-3</v>
      </c>
      <c r="T343" s="153">
        <v>5.7260618113817345E-3</v>
      </c>
      <c r="U343" s="153">
        <v>5.6696711124119507E-3</v>
      </c>
      <c r="V343" s="382">
        <v>7.9388509547240003E-3</v>
      </c>
      <c r="W343" s="1"/>
      <c r="X343" s="1"/>
      <c r="Y343" s="181">
        <f t="shared" si="27"/>
        <v>-6.3014846720591596E-3</v>
      </c>
      <c r="Z343" s="181">
        <f t="shared" si="28"/>
        <v>-5.7034110043461209E-3</v>
      </c>
      <c r="AA343" s="181">
        <f t="shared" si="29"/>
        <v>-5.7260618113817345E-3</v>
      </c>
      <c r="AB343" s="181">
        <f t="shared" si="30"/>
        <v>-5.6696711124119507E-3</v>
      </c>
      <c r="AC343" s="181">
        <f t="shared" si="31"/>
        <v>-7.9388509547240003E-3</v>
      </c>
      <c r="AD343" s="1"/>
      <c r="AE343" s="1"/>
    </row>
    <row r="344" spans="1:31" customFormat="1" ht="15" customHeight="1">
      <c r="A344" s="1"/>
      <c r="B344" s="1"/>
      <c r="C344" s="2"/>
      <c r="D344" s="124" t="s">
        <v>163</v>
      </c>
      <c r="E344" s="1"/>
      <c r="F344" s="107"/>
      <c r="G344" s="107"/>
      <c r="H344" s="107"/>
      <c r="I344" s="107"/>
      <c r="J344" s="107"/>
      <c r="K344" s="87" t="s">
        <v>4</v>
      </c>
      <c r="L344" s="85"/>
      <c r="M344" s="119"/>
      <c r="N344" s="107"/>
      <c r="O344" s="370"/>
      <c r="P344" s="370"/>
      <c r="Q344" s="370"/>
      <c r="R344" s="153">
        <v>6.3765777150814155E-3</v>
      </c>
      <c r="S344" s="153">
        <v>5.6895246036681758E-3</v>
      </c>
      <c r="T344" s="153">
        <v>5.7510505011471843E-3</v>
      </c>
      <c r="U344" s="153">
        <v>5.6459123808946174E-3</v>
      </c>
      <c r="V344" s="382">
        <v>7.9293095710391524E-3</v>
      </c>
      <c r="W344" s="1"/>
      <c r="X344" s="1"/>
      <c r="Y344" s="181">
        <f t="shared" si="27"/>
        <v>-6.3765777150814155E-3</v>
      </c>
      <c r="Z344" s="181">
        <f t="shared" si="28"/>
        <v>-5.6895246036681758E-3</v>
      </c>
      <c r="AA344" s="181">
        <f t="shared" si="29"/>
        <v>-5.7510505011471843E-3</v>
      </c>
      <c r="AB344" s="181">
        <f t="shared" si="30"/>
        <v>-5.6459123808946174E-3</v>
      </c>
      <c r="AC344" s="181">
        <f t="shared" si="31"/>
        <v>-7.9293095710391524E-3</v>
      </c>
      <c r="AD344" s="1"/>
      <c r="AE344" s="1"/>
    </row>
    <row r="345" spans="1:31" customFormat="1" ht="15" customHeight="1">
      <c r="A345" s="1"/>
      <c r="B345" s="1"/>
      <c r="C345" s="2"/>
      <c r="D345" s="124" t="s">
        <v>164</v>
      </c>
      <c r="E345" s="1"/>
      <c r="F345" s="107"/>
      <c r="G345" s="107"/>
      <c r="H345" s="107"/>
      <c r="I345" s="107"/>
      <c r="J345" s="107"/>
      <c r="K345" s="87" t="s">
        <v>4</v>
      </c>
      <c r="L345" s="85"/>
      <c r="M345" s="119"/>
      <c r="N345" s="107"/>
      <c r="O345" s="370"/>
      <c r="P345" s="370"/>
      <c r="Q345" s="370"/>
      <c r="R345" s="153">
        <v>6.452464361030006E-3</v>
      </c>
      <c r="S345" s="153">
        <v>5.6932696580281701E-3</v>
      </c>
      <c r="T345" s="153">
        <v>5.7512063613970885E-3</v>
      </c>
      <c r="U345" s="153">
        <v>5.5764604598196391E-3</v>
      </c>
      <c r="V345" s="382">
        <v>7.792488404048818E-3</v>
      </c>
      <c r="W345" s="1"/>
      <c r="X345" s="1"/>
      <c r="Y345" s="181">
        <f t="shared" si="27"/>
        <v>-6.452464361030006E-3</v>
      </c>
      <c r="Z345" s="181">
        <f t="shared" si="28"/>
        <v>-5.6932696580281701E-3</v>
      </c>
      <c r="AA345" s="181">
        <f t="shared" si="29"/>
        <v>-5.7512063613970885E-3</v>
      </c>
      <c r="AB345" s="181">
        <f t="shared" si="30"/>
        <v>-5.5764604598196391E-3</v>
      </c>
      <c r="AC345" s="181">
        <f t="shared" si="31"/>
        <v>-7.792488404048818E-3</v>
      </c>
      <c r="AD345" s="1"/>
      <c r="AE345" s="1"/>
    </row>
    <row r="346" spans="1:31" customFormat="1" ht="15" customHeight="1">
      <c r="A346" s="1"/>
      <c r="B346" s="1"/>
      <c r="C346" s="2"/>
      <c r="D346" s="124" t="s">
        <v>165</v>
      </c>
      <c r="E346" s="1"/>
      <c r="F346" s="107"/>
      <c r="G346" s="107"/>
      <c r="H346" s="107"/>
      <c r="I346" s="107"/>
      <c r="J346" s="107"/>
      <c r="K346" s="87" t="s">
        <v>4</v>
      </c>
      <c r="L346" s="85"/>
      <c r="M346" s="119"/>
      <c r="N346" s="107"/>
      <c r="O346" s="370"/>
      <c r="P346" s="370"/>
      <c r="Q346" s="370"/>
      <c r="R346" s="153">
        <v>6.5428211706963467E-3</v>
      </c>
      <c r="S346" s="153">
        <v>5.6800885142255144E-3</v>
      </c>
      <c r="T346" s="153">
        <v>5.7260074880424268E-3</v>
      </c>
      <c r="U346" s="153">
        <v>5.5470534468977321E-3</v>
      </c>
      <c r="V346" s="382">
        <v>7.648122282498903E-3</v>
      </c>
      <c r="W346" s="1"/>
      <c r="X346" s="1"/>
      <c r="Y346" s="181">
        <f t="shared" si="27"/>
        <v>-6.5428211706963467E-3</v>
      </c>
      <c r="Z346" s="181">
        <f t="shared" si="28"/>
        <v>-5.6800885142255144E-3</v>
      </c>
      <c r="AA346" s="181">
        <f t="shared" si="29"/>
        <v>-5.7260074880424268E-3</v>
      </c>
      <c r="AB346" s="181">
        <f t="shared" si="30"/>
        <v>-5.5470534468977321E-3</v>
      </c>
      <c r="AC346" s="181">
        <f t="shared" si="31"/>
        <v>-7.648122282498903E-3</v>
      </c>
      <c r="AD346" s="1"/>
      <c r="AE346" s="1"/>
    </row>
    <row r="347" spans="1:31" customFormat="1" ht="15" customHeight="1">
      <c r="A347" s="1"/>
      <c r="B347" s="1"/>
      <c r="C347" s="2"/>
      <c r="D347" s="124" t="s">
        <v>166</v>
      </c>
      <c r="E347" s="1"/>
      <c r="F347" s="107"/>
      <c r="G347" s="107"/>
      <c r="H347" s="107"/>
      <c r="I347" s="107"/>
      <c r="J347" s="107"/>
      <c r="K347" s="87" t="s">
        <v>4</v>
      </c>
      <c r="L347" s="85"/>
      <c r="M347" s="119"/>
      <c r="N347" s="107"/>
      <c r="O347" s="370"/>
      <c r="P347" s="370"/>
      <c r="Q347" s="370"/>
      <c r="R347" s="153">
        <v>6.5654809908578067E-3</v>
      </c>
      <c r="S347" s="153">
        <v>5.6186230830662671E-3</v>
      </c>
      <c r="T347" s="153">
        <v>5.70665528901912E-3</v>
      </c>
      <c r="U347" s="153">
        <v>5.4992704632280138E-3</v>
      </c>
      <c r="V347" s="382">
        <v>7.6211602760643841E-3</v>
      </c>
      <c r="W347" s="1"/>
      <c r="X347" s="1"/>
      <c r="Y347" s="181">
        <f t="shared" si="27"/>
        <v>-6.5654809908578067E-3</v>
      </c>
      <c r="Z347" s="181">
        <f t="shared" si="28"/>
        <v>-5.6186230830662671E-3</v>
      </c>
      <c r="AA347" s="181">
        <f t="shared" si="29"/>
        <v>-5.70665528901912E-3</v>
      </c>
      <c r="AB347" s="181">
        <f t="shared" si="30"/>
        <v>-5.4992704632280138E-3</v>
      </c>
      <c r="AC347" s="181">
        <f t="shared" si="31"/>
        <v>-7.6211602760643841E-3</v>
      </c>
      <c r="AD347" s="1"/>
      <c r="AE347" s="1"/>
    </row>
    <row r="348" spans="1:31" customFormat="1" ht="15" customHeight="1">
      <c r="A348" s="1"/>
      <c r="B348" s="1"/>
      <c r="C348" s="2"/>
      <c r="D348" s="124" t="s">
        <v>167</v>
      </c>
      <c r="E348" s="1"/>
      <c r="F348" s="107"/>
      <c r="G348" s="107"/>
      <c r="H348" s="107"/>
      <c r="I348" s="107"/>
      <c r="J348" s="107"/>
      <c r="K348" s="87" t="s">
        <v>4</v>
      </c>
      <c r="L348" s="85"/>
      <c r="M348" s="119"/>
      <c r="N348" s="107"/>
      <c r="O348" s="370"/>
      <c r="P348" s="370"/>
      <c r="Q348" s="370"/>
      <c r="R348" s="153">
        <v>6.5760205422917212E-3</v>
      </c>
      <c r="S348" s="153">
        <v>5.600224891375411E-3</v>
      </c>
      <c r="T348" s="153">
        <v>5.6603183074136962E-3</v>
      </c>
      <c r="U348" s="153">
        <v>5.4768338044439268E-3</v>
      </c>
      <c r="V348" s="382">
        <v>7.7393778488388434E-3</v>
      </c>
      <c r="W348" s="1"/>
      <c r="X348" s="1"/>
      <c r="Y348" s="181">
        <f t="shared" si="27"/>
        <v>-6.5760205422917212E-3</v>
      </c>
      <c r="Z348" s="181">
        <f t="shared" si="28"/>
        <v>-5.600224891375411E-3</v>
      </c>
      <c r="AA348" s="181">
        <f t="shared" si="29"/>
        <v>-5.6603183074136962E-3</v>
      </c>
      <c r="AB348" s="181">
        <f t="shared" si="30"/>
        <v>-5.4768338044439268E-3</v>
      </c>
      <c r="AC348" s="181">
        <f t="shared" si="31"/>
        <v>-7.7393778488388434E-3</v>
      </c>
      <c r="AD348" s="1"/>
      <c r="AE348" s="1"/>
    </row>
    <row r="349" spans="1:31" customFormat="1" ht="15" customHeight="1">
      <c r="A349" s="1"/>
      <c r="B349" s="1"/>
      <c r="C349" s="2"/>
      <c r="D349" s="124" t="s">
        <v>168</v>
      </c>
      <c r="E349" s="1"/>
      <c r="F349" s="107"/>
      <c r="G349" s="107"/>
      <c r="H349" s="107"/>
      <c r="I349" s="107"/>
      <c r="J349" s="107"/>
      <c r="K349" s="87" t="s">
        <v>4</v>
      </c>
      <c r="L349" s="85"/>
      <c r="M349" s="119"/>
      <c r="N349" s="107"/>
      <c r="O349" s="370"/>
      <c r="P349" s="370"/>
      <c r="Q349" s="370"/>
      <c r="R349" s="153">
        <v>6.2996011434653726E-3</v>
      </c>
      <c r="S349" s="153">
        <v>5.5964878751993945E-3</v>
      </c>
      <c r="T349" s="153">
        <v>5.6246169383752011E-3</v>
      </c>
      <c r="U349" s="153">
        <v>5.4573043144239448E-3</v>
      </c>
      <c r="V349" s="382">
        <v>8.4461202740186495E-3</v>
      </c>
      <c r="W349" s="1"/>
      <c r="X349" s="1"/>
      <c r="Y349" s="181">
        <f t="shared" si="27"/>
        <v>-6.2996011434653726E-3</v>
      </c>
      <c r="Z349" s="181">
        <f t="shared" si="28"/>
        <v>-5.5964878751993945E-3</v>
      </c>
      <c r="AA349" s="181">
        <f t="shared" si="29"/>
        <v>-5.6246169383752011E-3</v>
      </c>
      <c r="AB349" s="181">
        <f t="shared" si="30"/>
        <v>-5.4573043144239448E-3</v>
      </c>
      <c r="AC349" s="181">
        <f t="shared" si="31"/>
        <v>-8.4461202740186495E-3</v>
      </c>
      <c r="AD349" s="1"/>
      <c r="AE349" s="1"/>
    </row>
    <row r="350" spans="1:31" customFormat="1" ht="15" customHeight="1">
      <c r="A350" s="1"/>
      <c r="B350" s="1"/>
      <c r="C350" s="2"/>
      <c r="D350" s="124" t="s">
        <v>169</v>
      </c>
      <c r="E350" s="1"/>
      <c r="F350" s="107"/>
      <c r="G350" s="107"/>
      <c r="H350" s="107"/>
      <c r="I350" s="107"/>
      <c r="J350" s="107"/>
      <c r="K350" s="87" t="s">
        <v>4</v>
      </c>
      <c r="L350" s="85"/>
      <c r="M350" s="119"/>
      <c r="N350" s="107"/>
      <c r="O350" s="370"/>
      <c r="P350" s="370"/>
      <c r="Q350" s="370"/>
      <c r="R350" s="153">
        <v>5.9773841310764202E-3</v>
      </c>
      <c r="S350" s="153">
        <v>5.5730218196731055E-3</v>
      </c>
      <c r="T350" s="153">
        <v>5.5788299665711491E-3</v>
      </c>
      <c r="U350" s="153">
        <v>5.3516442058251304E-3</v>
      </c>
      <c r="V350" s="382">
        <v>9.7579899780349082E-3</v>
      </c>
      <c r="W350" s="1"/>
      <c r="X350" s="1"/>
      <c r="Y350" s="181">
        <f t="shared" si="27"/>
        <v>-5.9773841310764202E-3</v>
      </c>
      <c r="Z350" s="181">
        <f t="shared" si="28"/>
        <v>-5.5730218196731055E-3</v>
      </c>
      <c r="AA350" s="181">
        <f t="shared" si="29"/>
        <v>-5.5788299665711491E-3</v>
      </c>
      <c r="AB350" s="181">
        <f t="shared" si="30"/>
        <v>-5.3516442058251304E-3</v>
      </c>
      <c r="AC350" s="181">
        <f t="shared" si="31"/>
        <v>-9.7579899780349082E-3</v>
      </c>
      <c r="AD350" s="1"/>
      <c r="AE350" s="1"/>
    </row>
    <row r="351" spans="1:31" customFormat="1" ht="15" customHeight="1">
      <c r="A351" s="1"/>
      <c r="B351" s="1"/>
      <c r="C351" s="2"/>
      <c r="D351" s="124" t="s">
        <v>170</v>
      </c>
      <c r="E351" s="1"/>
      <c r="F351" s="107"/>
      <c r="G351" s="107"/>
      <c r="H351" s="107"/>
      <c r="I351" s="107"/>
      <c r="J351" s="107"/>
      <c r="K351" s="87" t="s">
        <v>4</v>
      </c>
      <c r="L351" s="85"/>
      <c r="M351" s="119"/>
      <c r="N351" s="107"/>
      <c r="O351" s="370"/>
      <c r="P351" s="370"/>
      <c r="Q351" s="370"/>
      <c r="R351" s="153">
        <v>6.0261960253154799E-3</v>
      </c>
      <c r="S351" s="153">
        <v>5.6182571204439324E-3</v>
      </c>
      <c r="T351" s="153">
        <v>5.5454006458684106E-3</v>
      </c>
      <c r="U351" s="153">
        <v>5.2511168464646485E-3</v>
      </c>
      <c r="V351" s="382">
        <v>9.7923717455775435E-3</v>
      </c>
      <c r="W351" s="1"/>
      <c r="X351" s="1"/>
      <c r="Y351" s="181">
        <f t="shared" si="27"/>
        <v>-6.0261960253154799E-3</v>
      </c>
      <c r="Z351" s="181">
        <f t="shared" si="28"/>
        <v>-5.6182571204439324E-3</v>
      </c>
      <c r="AA351" s="181">
        <f t="shared" si="29"/>
        <v>-5.5454006458684106E-3</v>
      </c>
      <c r="AB351" s="181">
        <f t="shared" si="30"/>
        <v>-5.2511168464646485E-3</v>
      </c>
      <c r="AC351" s="181">
        <f t="shared" si="31"/>
        <v>-9.7923717455775435E-3</v>
      </c>
      <c r="AD351" s="1"/>
      <c r="AE351" s="1"/>
    </row>
    <row r="352" spans="1:31" customFormat="1" ht="15" customHeight="1">
      <c r="A352" s="1"/>
      <c r="B352" s="1"/>
      <c r="C352" s="2"/>
      <c r="D352" s="124" t="s">
        <v>171</v>
      </c>
      <c r="E352" s="1"/>
      <c r="F352" s="107"/>
      <c r="G352" s="107"/>
      <c r="H352" s="107"/>
      <c r="I352" s="107"/>
      <c r="J352" s="107"/>
      <c r="K352" s="87" t="s">
        <v>4</v>
      </c>
      <c r="L352" s="85"/>
      <c r="M352" s="119"/>
      <c r="N352" s="107"/>
      <c r="O352" s="370"/>
      <c r="P352" s="370"/>
      <c r="Q352" s="370"/>
      <c r="R352" s="153">
        <v>6.155609010621399E-3</v>
      </c>
      <c r="S352" s="153">
        <v>5.6822329520947699E-3</v>
      </c>
      <c r="T352" s="153">
        <v>5.5900649267497712E-3</v>
      </c>
      <c r="U352" s="153">
        <v>5.1572152725081486E-3</v>
      </c>
      <c r="V352" s="382">
        <v>8.9965156133060102E-3</v>
      </c>
      <c r="W352" s="1"/>
      <c r="X352" s="1"/>
      <c r="Y352" s="181">
        <f t="shared" si="27"/>
        <v>-6.155609010621399E-3</v>
      </c>
      <c r="Z352" s="181">
        <f t="shared" si="28"/>
        <v>-5.6822329520947699E-3</v>
      </c>
      <c r="AA352" s="181">
        <f t="shared" si="29"/>
        <v>-5.5900649267497712E-3</v>
      </c>
      <c r="AB352" s="181">
        <f t="shared" si="30"/>
        <v>-5.1572152725081486E-3</v>
      </c>
      <c r="AC352" s="181">
        <f t="shared" si="31"/>
        <v>-8.9965156133060102E-3</v>
      </c>
      <c r="AD352" s="1"/>
      <c r="AE352" s="1"/>
    </row>
    <row r="353" spans="1:31" customFormat="1" ht="15" customHeight="1">
      <c r="A353" s="1"/>
      <c r="B353" s="1"/>
      <c r="C353" s="2"/>
      <c r="D353" s="124" t="s">
        <v>172</v>
      </c>
      <c r="E353" s="1"/>
      <c r="F353" s="107"/>
      <c r="G353" s="107"/>
      <c r="H353" s="107"/>
      <c r="I353" s="107"/>
      <c r="J353" s="107"/>
      <c r="K353" s="87" t="s">
        <v>4</v>
      </c>
      <c r="L353" s="85"/>
      <c r="M353" s="119"/>
      <c r="N353" s="107"/>
      <c r="O353" s="370"/>
      <c r="P353" s="370"/>
      <c r="Q353" s="370"/>
      <c r="R353" s="153">
        <v>6.3380973723321981E-3</v>
      </c>
      <c r="S353" s="153">
        <v>5.9516188732571165E-3</v>
      </c>
      <c r="T353" s="153">
        <v>5.6595352379985742E-3</v>
      </c>
      <c r="U353" s="153">
        <v>5.040877363051614E-3</v>
      </c>
      <c r="V353" s="382">
        <v>8.2211805673216495E-3</v>
      </c>
      <c r="W353" s="1"/>
      <c r="X353" s="1"/>
      <c r="Y353" s="181">
        <f t="shared" si="27"/>
        <v>-6.3380973723321981E-3</v>
      </c>
      <c r="Z353" s="181">
        <f t="shared" si="28"/>
        <v>-5.9516188732571165E-3</v>
      </c>
      <c r="AA353" s="181">
        <f t="shared" si="29"/>
        <v>-5.6595352379985742E-3</v>
      </c>
      <c r="AB353" s="181">
        <f t="shared" si="30"/>
        <v>-5.040877363051614E-3</v>
      </c>
      <c r="AC353" s="181">
        <f t="shared" si="31"/>
        <v>-8.2211805673216495E-3</v>
      </c>
      <c r="AD353" s="1"/>
      <c r="AE353" s="1"/>
    </row>
    <row r="354" spans="1:31" customFormat="1" ht="15" customHeight="1">
      <c r="A354" s="1"/>
      <c r="B354" s="1"/>
      <c r="C354" s="2"/>
      <c r="D354" s="124" t="s">
        <v>173</v>
      </c>
      <c r="E354" s="1"/>
      <c r="F354" s="107"/>
      <c r="G354" s="107"/>
      <c r="H354" s="107"/>
      <c r="I354" s="107"/>
      <c r="J354" s="107"/>
      <c r="K354" s="87" t="s">
        <v>4</v>
      </c>
      <c r="L354" s="85"/>
      <c r="M354" s="119"/>
      <c r="N354" s="107"/>
      <c r="O354" s="370"/>
      <c r="P354" s="370"/>
      <c r="Q354" s="370"/>
      <c r="R354" s="153">
        <v>6.3403164141750115E-3</v>
      </c>
      <c r="S354" s="153">
        <v>6.0756279720617819E-3</v>
      </c>
      <c r="T354" s="153">
        <v>5.6456686744377092E-3</v>
      </c>
      <c r="U354" s="153">
        <v>4.9202138516819382E-3</v>
      </c>
      <c r="V354" s="382">
        <v>7.515662785150699E-3</v>
      </c>
      <c r="W354" s="1"/>
      <c r="X354" s="1"/>
      <c r="Y354" s="181">
        <f t="shared" si="27"/>
        <v>-6.3403164141750115E-3</v>
      </c>
      <c r="Z354" s="181">
        <f t="shared" si="28"/>
        <v>-6.0756279720617819E-3</v>
      </c>
      <c r="AA354" s="181">
        <f t="shared" si="29"/>
        <v>-5.6456686744377092E-3</v>
      </c>
      <c r="AB354" s="181">
        <f t="shared" si="30"/>
        <v>-4.9202138516819382E-3</v>
      </c>
      <c r="AC354" s="181">
        <f t="shared" si="31"/>
        <v>-7.515662785150699E-3</v>
      </c>
      <c r="AD354" s="1"/>
      <c r="AE354" s="1"/>
    </row>
    <row r="355" spans="1:31" customFormat="1" ht="15" customHeight="1">
      <c r="A355" s="1"/>
      <c r="B355" s="1"/>
      <c r="C355" s="2"/>
      <c r="D355" s="124" t="s">
        <v>174</v>
      </c>
      <c r="E355" s="1"/>
      <c r="F355" s="107"/>
      <c r="G355" s="107"/>
      <c r="H355" s="107"/>
      <c r="I355" s="107"/>
      <c r="J355" s="107"/>
      <c r="K355" s="87" t="s">
        <v>4</v>
      </c>
      <c r="L355" s="85"/>
      <c r="M355" s="119"/>
      <c r="N355" s="107"/>
      <c r="O355" s="370"/>
      <c r="P355" s="370"/>
      <c r="Q355" s="370"/>
      <c r="R355" s="153">
        <v>6.474370358347561E-3</v>
      </c>
      <c r="S355" s="153">
        <v>5.755429861402833E-3</v>
      </c>
      <c r="T355" s="153">
        <v>5.8017393440823305E-3</v>
      </c>
      <c r="U355" s="153">
        <v>4.8270118043090646E-3</v>
      </c>
      <c r="V355" s="382">
        <v>6.7698325199041405E-3</v>
      </c>
      <c r="W355" s="1"/>
      <c r="X355" s="1"/>
      <c r="Y355" s="181">
        <f t="shared" si="27"/>
        <v>-6.474370358347561E-3</v>
      </c>
      <c r="Z355" s="181">
        <f t="shared" si="28"/>
        <v>-5.755429861402833E-3</v>
      </c>
      <c r="AA355" s="181">
        <f t="shared" si="29"/>
        <v>-5.8017393440823305E-3</v>
      </c>
      <c r="AB355" s="181">
        <f t="shared" si="30"/>
        <v>-4.8270118043090646E-3</v>
      </c>
      <c r="AC355" s="181">
        <f t="shared" si="31"/>
        <v>-6.7698325199041405E-3</v>
      </c>
      <c r="AD355" s="1"/>
      <c r="AE355" s="1"/>
    </row>
    <row r="356" spans="1:31" customFormat="1" ht="15" customHeight="1">
      <c r="A356" s="1"/>
      <c r="B356" s="1"/>
      <c r="C356" s="2"/>
      <c r="D356" s="125" t="s">
        <v>175</v>
      </c>
      <c r="E356" s="27"/>
      <c r="F356" s="115"/>
      <c r="G356" s="115"/>
      <c r="H356" s="115"/>
      <c r="I356" s="115"/>
      <c r="J356" s="115"/>
      <c r="K356" s="98" t="s">
        <v>4</v>
      </c>
      <c r="L356" s="99"/>
      <c r="M356" s="151"/>
      <c r="N356" s="115"/>
      <c r="O356" s="368"/>
      <c r="P356" s="368"/>
      <c r="Q356" s="368"/>
      <c r="R356" s="154">
        <v>6.4934681053651355E-3</v>
      </c>
      <c r="S356" s="154">
        <v>5.7371202749931455E-3</v>
      </c>
      <c r="T356" s="154">
        <v>5.8243408883514218E-3</v>
      </c>
      <c r="U356" s="154">
        <v>4.783626516661285E-3</v>
      </c>
      <c r="V356" s="383">
        <v>6.1172375589969357E-3</v>
      </c>
      <c r="W356" s="27"/>
      <c r="X356" s="1"/>
      <c r="Y356" s="181">
        <f t="shared" si="27"/>
        <v>-6.4934681053651355E-3</v>
      </c>
      <c r="Z356" s="181">
        <f t="shared" si="28"/>
        <v>-5.7371202749931455E-3</v>
      </c>
      <c r="AA356" s="181">
        <f t="shared" si="29"/>
        <v>-5.8243408883514218E-3</v>
      </c>
      <c r="AB356" s="181">
        <f t="shared" si="30"/>
        <v>-4.783626516661285E-3</v>
      </c>
      <c r="AC356" s="181">
        <f t="shared" si="31"/>
        <v>-6.1172375589969357E-3</v>
      </c>
      <c r="AD356" s="1"/>
      <c r="AE356" s="1"/>
    </row>
    <row r="357" spans="1:31" customFormat="1" ht="15" customHeight="1">
      <c r="A357" s="1"/>
      <c r="B357" s="1"/>
      <c r="C357" s="2"/>
      <c r="D357" s="105" t="s">
        <v>16</v>
      </c>
      <c r="E357" s="186"/>
      <c r="F357" s="120"/>
      <c r="G357" s="120"/>
      <c r="H357" s="120"/>
      <c r="I357" s="120"/>
      <c r="J357" s="120"/>
      <c r="K357" s="106" t="s">
        <v>4</v>
      </c>
      <c r="L357" s="105"/>
      <c r="M357" s="105"/>
      <c r="N357" s="120"/>
      <c r="O357" s="371"/>
      <c r="P357" s="371"/>
      <c r="Q357" s="371"/>
      <c r="R357" s="200">
        <f xml:space="preserve"> SUM( R333:R356 )</f>
        <v>0.15505050032750858</v>
      </c>
      <c r="S357" s="200">
        <f xml:space="preserve"> SUM( S333:S356 )</f>
        <v>0.13722175644207898</v>
      </c>
      <c r="T357" s="200">
        <f xml:space="preserve"> SUM( T333:T356 )</f>
        <v>0.13557196203293631</v>
      </c>
      <c r="U357" s="200">
        <f xml:space="preserve"> SUM( U333:U356 )</f>
        <v>0.12427045535264999</v>
      </c>
      <c r="V357" s="200">
        <f xml:space="preserve"> SUM( V333:V356 )</f>
        <v>0.17015228157347972</v>
      </c>
      <c r="W357" s="33"/>
      <c r="X357" s="1"/>
      <c r="Y357" s="200">
        <f xml:space="preserve"> SUM( Y333:Y356 )</f>
        <v>-0.15505050032750858</v>
      </c>
      <c r="Z357" s="200">
        <f xml:space="preserve"> SUM( Z333:Z356 )</f>
        <v>-0.13722175644207898</v>
      </c>
      <c r="AA357" s="200">
        <f xml:space="preserve"> SUM( AA333:AA356 )</f>
        <v>-0.13557196203293631</v>
      </c>
      <c r="AB357" s="200">
        <f xml:space="preserve"> SUM( AB333:AB356 )</f>
        <v>-0.12427045535264999</v>
      </c>
      <c r="AC357" s="200">
        <f xml:space="preserve"> SUM( AC333:AC356 )</f>
        <v>-0.17015228157347972</v>
      </c>
      <c r="AD357" s="1"/>
      <c r="AE357" s="1"/>
    </row>
    <row r="358" spans="1:31" customFormat="1" ht="15" customHeight="1">
      <c r="A358" s="1"/>
      <c r="B358" s="1"/>
      <c r="C358" s="2"/>
      <c r="D358" s="85"/>
      <c r="E358" s="1"/>
      <c r="F358" s="86"/>
      <c r="G358" s="86"/>
      <c r="H358" s="86"/>
      <c r="I358" s="86"/>
      <c r="J358" s="86"/>
      <c r="K358" s="87"/>
      <c r="L358" s="85"/>
      <c r="M358" s="85"/>
      <c r="N358" s="86"/>
      <c r="O358" s="86"/>
      <c r="P358" s="86"/>
      <c r="Q358" s="86"/>
      <c r="R358" s="1"/>
      <c r="S358" s="1"/>
      <c r="T358" s="1"/>
      <c r="U358" s="1"/>
      <c r="V358" s="1"/>
      <c r="W358" s="1"/>
      <c r="X358" s="1"/>
      <c r="Y358" s="1"/>
      <c r="Z358" s="1"/>
      <c r="AA358" s="1"/>
      <c r="AB358" s="1"/>
      <c r="AC358" s="1"/>
      <c r="AD358" s="1"/>
      <c r="AE358" s="1"/>
    </row>
    <row r="359" spans="1:31" customFormat="1" ht="15" customHeight="1">
      <c r="A359" s="1"/>
      <c r="B359" s="1"/>
      <c r="C359" s="2"/>
      <c r="D359" s="85"/>
      <c r="E359" s="1"/>
      <c r="F359" s="86"/>
      <c r="G359" s="86"/>
      <c r="H359" s="86"/>
      <c r="I359" s="86"/>
      <c r="J359" s="86"/>
      <c r="K359" s="87"/>
      <c r="L359" s="85"/>
      <c r="M359" s="85"/>
      <c r="N359" s="86"/>
      <c r="O359" s="86"/>
      <c r="P359" s="86"/>
      <c r="Q359" s="86"/>
      <c r="R359" s="1"/>
      <c r="S359" s="1"/>
      <c r="T359" s="1"/>
      <c r="U359" s="1"/>
      <c r="V359" s="1"/>
      <c r="W359" s="1"/>
      <c r="X359" s="1"/>
      <c r="Y359" s="447" t="s">
        <v>541</v>
      </c>
      <c r="Z359" s="1"/>
      <c r="AA359" s="1"/>
      <c r="AB359" s="1"/>
      <c r="AC359" s="1"/>
      <c r="AD359" s="1"/>
      <c r="AE359" s="1"/>
    </row>
    <row r="360" spans="1:31" customFormat="1" ht="15" customHeight="1">
      <c r="A360" s="1"/>
      <c r="B360" s="1"/>
      <c r="C360" s="2"/>
      <c r="D360" s="88" t="s">
        <v>189</v>
      </c>
      <c r="E360" s="1"/>
      <c r="F360" s="107"/>
      <c r="G360" s="107"/>
      <c r="H360" s="107"/>
      <c r="I360" s="107"/>
      <c r="J360" s="107"/>
      <c r="K360" s="87"/>
      <c r="L360" s="85"/>
      <c r="M360" s="85"/>
      <c r="N360" s="107"/>
      <c r="O360" s="107"/>
      <c r="P360" s="107"/>
      <c r="Q360" s="107"/>
      <c r="R360" s="1"/>
      <c r="S360" s="1"/>
      <c r="T360" s="1"/>
      <c r="U360" s="1"/>
      <c r="V360" s="1"/>
      <c r="W360" s="1"/>
      <c r="X360" s="1"/>
      <c r="Y360" s="89" t="s">
        <v>11</v>
      </c>
      <c r="Z360" s="89" t="s">
        <v>12</v>
      </c>
      <c r="AA360" s="89" t="s">
        <v>13</v>
      </c>
      <c r="AB360" s="89" t="s">
        <v>14</v>
      </c>
      <c r="AC360" s="89" t="s">
        <v>15</v>
      </c>
      <c r="AD360" s="1"/>
      <c r="AE360" s="1"/>
    </row>
    <row r="361" spans="1:31" customFormat="1" ht="15" customHeight="1">
      <c r="A361" s="1"/>
      <c r="B361" s="1"/>
      <c r="C361" s="2"/>
      <c r="D361" s="122" t="s">
        <v>152</v>
      </c>
      <c r="E361" s="15"/>
      <c r="F361" s="116"/>
      <c r="G361" s="116"/>
      <c r="H361" s="116"/>
      <c r="I361" s="116"/>
      <c r="J361" s="116"/>
      <c r="K361" s="117" t="s">
        <v>4</v>
      </c>
      <c r="L361" s="123"/>
      <c r="M361" s="142"/>
      <c r="N361" s="116"/>
      <c r="O361" s="369"/>
      <c r="P361" s="369"/>
      <c r="Q361" s="369"/>
      <c r="R361" s="152">
        <v>5.9472703786734079E-3</v>
      </c>
      <c r="S361" s="152">
        <v>5.9072306818611347E-3</v>
      </c>
      <c r="T361" s="152">
        <v>5.4762717178446626E-3</v>
      </c>
      <c r="U361" s="152">
        <v>4.745326940863371E-3</v>
      </c>
      <c r="V361" s="381">
        <v>4.880177712222461E-3</v>
      </c>
      <c r="W361" s="15"/>
      <c r="X361" s="1"/>
      <c r="Y361" s="180">
        <f t="shared" ref="Y361:Y384" si="32" xml:space="preserve"> R218 - R361</f>
        <v>-5.9472703786734079E-3</v>
      </c>
      <c r="Z361" s="180">
        <f t="shared" ref="Z361:Z384" si="33" xml:space="preserve"> S218 - S361</f>
        <v>-5.9072306818611347E-3</v>
      </c>
      <c r="AA361" s="180">
        <f t="shared" ref="AA361:AA384" si="34" xml:space="preserve"> T218 - T361</f>
        <v>-5.4762717178446626E-3</v>
      </c>
      <c r="AB361" s="180">
        <f t="shared" ref="AB361:AB384" si="35" xml:space="preserve"> U218 - U361</f>
        <v>-4.745326940863371E-3</v>
      </c>
      <c r="AC361" s="180">
        <f t="shared" ref="AC361:AC384" si="36" xml:space="preserve"> V218 - V361</f>
        <v>-4.880177712222461E-3</v>
      </c>
      <c r="AD361" s="1"/>
      <c r="AE361" s="1"/>
    </row>
    <row r="362" spans="1:31" customFormat="1" ht="15" customHeight="1">
      <c r="A362" s="1"/>
      <c r="B362" s="1"/>
      <c r="C362" s="2"/>
      <c r="D362" s="124" t="s">
        <v>153</v>
      </c>
      <c r="E362" s="1"/>
      <c r="F362" s="107"/>
      <c r="G362" s="107"/>
      <c r="H362" s="107"/>
      <c r="I362" s="107"/>
      <c r="J362" s="107"/>
      <c r="K362" s="87" t="s">
        <v>4</v>
      </c>
      <c r="L362" s="85"/>
      <c r="M362" s="119"/>
      <c r="N362" s="107"/>
      <c r="O362" s="370"/>
      <c r="P362" s="370"/>
      <c r="Q362" s="370"/>
      <c r="R362" s="153">
        <v>6.0411406183470033E-3</v>
      </c>
      <c r="S362" s="153">
        <v>5.8924924852507598E-3</v>
      </c>
      <c r="T362" s="153">
        <v>5.4269599438858092E-3</v>
      </c>
      <c r="U362" s="153">
        <v>4.6885199850862491E-3</v>
      </c>
      <c r="V362" s="382">
        <v>4.5291755110701193E-3</v>
      </c>
      <c r="W362" s="1"/>
      <c r="X362" s="1"/>
      <c r="Y362" s="181">
        <f t="shared" si="32"/>
        <v>-6.0411406183470033E-3</v>
      </c>
      <c r="Z362" s="181">
        <f t="shared" si="33"/>
        <v>-5.8924924852507598E-3</v>
      </c>
      <c r="AA362" s="181">
        <f t="shared" si="34"/>
        <v>-5.4269599438858092E-3</v>
      </c>
      <c r="AB362" s="181">
        <f t="shared" si="35"/>
        <v>-4.6885199850862491E-3</v>
      </c>
      <c r="AC362" s="181">
        <f t="shared" si="36"/>
        <v>-4.5291755110701193E-3</v>
      </c>
      <c r="AD362" s="1"/>
      <c r="AE362" s="1"/>
    </row>
    <row r="363" spans="1:31" customFormat="1" ht="15" customHeight="1">
      <c r="A363" s="1"/>
      <c r="B363" s="1"/>
      <c r="C363" s="2"/>
      <c r="D363" s="124" t="s">
        <v>154</v>
      </c>
      <c r="E363" s="1"/>
      <c r="F363" s="107"/>
      <c r="G363" s="107"/>
      <c r="H363" s="107"/>
      <c r="I363" s="107"/>
      <c r="J363" s="107"/>
      <c r="K363" s="87" t="s">
        <v>4</v>
      </c>
      <c r="L363" s="85"/>
      <c r="M363" s="119"/>
      <c r="N363" s="107"/>
      <c r="O363" s="370"/>
      <c r="P363" s="370"/>
      <c r="Q363" s="370"/>
      <c r="R363" s="153">
        <v>5.8810702702623667E-3</v>
      </c>
      <c r="S363" s="153">
        <v>5.8954138468604372E-3</v>
      </c>
      <c r="T363" s="153">
        <v>5.409677278026207E-3</v>
      </c>
      <c r="U363" s="153">
        <v>4.7389737815778706E-3</v>
      </c>
      <c r="V363" s="382">
        <v>4.3802947027977044E-3</v>
      </c>
      <c r="W363" s="1"/>
      <c r="X363" s="1"/>
      <c r="Y363" s="181">
        <f t="shared" si="32"/>
        <v>-5.8810702702623667E-3</v>
      </c>
      <c r="Z363" s="181">
        <f t="shared" si="33"/>
        <v>-5.8954138468604372E-3</v>
      </c>
      <c r="AA363" s="181">
        <f t="shared" si="34"/>
        <v>-5.409677278026207E-3</v>
      </c>
      <c r="AB363" s="181">
        <f t="shared" si="35"/>
        <v>-4.7389737815778706E-3</v>
      </c>
      <c r="AC363" s="181">
        <f t="shared" si="36"/>
        <v>-4.3802947027977044E-3</v>
      </c>
      <c r="AD363" s="1"/>
      <c r="AE363" s="1"/>
    </row>
    <row r="364" spans="1:31" customFormat="1" ht="15" customHeight="1">
      <c r="A364" s="1"/>
      <c r="B364" s="1"/>
      <c r="C364" s="2"/>
      <c r="D364" s="124" t="s">
        <v>155</v>
      </c>
      <c r="E364" s="1"/>
      <c r="F364" s="107"/>
      <c r="G364" s="107"/>
      <c r="H364" s="107"/>
      <c r="I364" s="107"/>
      <c r="J364" s="107"/>
      <c r="K364" s="87" t="s">
        <v>4</v>
      </c>
      <c r="L364" s="85"/>
      <c r="M364" s="119"/>
      <c r="N364" s="107"/>
      <c r="O364" s="370"/>
      <c r="P364" s="370"/>
      <c r="Q364" s="370"/>
      <c r="R364" s="153">
        <v>5.9244829771791579E-3</v>
      </c>
      <c r="S364" s="153">
        <v>5.8983534059736933E-3</v>
      </c>
      <c r="T364" s="153">
        <v>5.3815423912595096E-3</v>
      </c>
      <c r="U364" s="153">
        <v>4.734794606161081E-3</v>
      </c>
      <c r="V364" s="382">
        <v>4.2907369709733354E-3</v>
      </c>
      <c r="W364" s="1"/>
      <c r="X364" s="1"/>
      <c r="Y364" s="181">
        <f t="shared" si="32"/>
        <v>-5.9244829771791579E-3</v>
      </c>
      <c r="Z364" s="181">
        <f t="shared" si="33"/>
        <v>-5.8983534059736933E-3</v>
      </c>
      <c r="AA364" s="181">
        <f t="shared" si="34"/>
        <v>-5.3815423912595096E-3</v>
      </c>
      <c r="AB364" s="181">
        <f t="shared" si="35"/>
        <v>-4.734794606161081E-3</v>
      </c>
      <c r="AC364" s="181">
        <f t="shared" si="36"/>
        <v>-4.2907369709733354E-3</v>
      </c>
      <c r="AD364" s="1"/>
      <c r="AE364" s="1"/>
    </row>
    <row r="365" spans="1:31" customFormat="1" ht="15" customHeight="1">
      <c r="A365" s="1"/>
      <c r="B365" s="1"/>
      <c r="C365" s="2"/>
      <c r="D365" s="124" t="s">
        <v>156</v>
      </c>
      <c r="E365" s="1"/>
      <c r="F365" s="107"/>
      <c r="G365" s="107"/>
      <c r="H365" s="107"/>
      <c r="I365" s="107"/>
      <c r="J365" s="107"/>
      <c r="K365" s="87" t="s">
        <v>4</v>
      </c>
      <c r="L365" s="85"/>
      <c r="M365" s="119"/>
      <c r="N365" s="107"/>
      <c r="O365" s="370"/>
      <c r="P365" s="370"/>
      <c r="Q365" s="370"/>
      <c r="R365" s="153">
        <v>5.8734405800279308E-3</v>
      </c>
      <c r="S365" s="153">
        <v>5.915560215294594E-3</v>
      </c>
      <c r="T365" s="153">
        <v>5.3527061745378924E-3</v>
      </c>
      <c r="U365" s="153">
        <v>4.7818055172074653E-3</v>
      </c>
      <c r="V365" s="382">
        <v>4.2329974183136984E-3</v>
      </c>
      <c r="W365" s="1"/>
      <c r="X365" s="1"/>
      <c r="Y365" s="181">
        <f t="shared" si="32"/>
        <v>-5.8734405800279308E-3</v>
      </c>
      <c r="Z365" s="181">
        <f t="shared" si="33"/>
        <v>-5.915560215294594E-3</v>
      </c>
      <c r="AA365" s="181">
        <f t="shared" si="34"/>
        <v>-5.3527061745378924E-3</v>
      </c>
      <c r="AB365" s="181">
        <f t="shared" si="35"/>
        <v>-4.7818055172074653E-3</v>
      </c>
      <c r="AC365" s="181">
        <f t="shared" si="36"/>
        <v>-4.2329974183136984E-3</v>
      </c>
      <c r="AD365" s="1"/>
      <c r="AE365" s="1"/>
    </row>
    <row r="366" spans="1:31" customFormat="1" ht="15" customHeight="1">
      <c r="A366" s="1"/>
      <c r="B366" s="1"/>
      <c r="C366" s="2"/>
      <c r="D366" s="124" t="s">
        <v>157</v>
      </c>
      <c r="E366" s="1"/>
      <c r="F366" s="107"/>
      <c r="G366" s="107"/>
      <c r="H366" s="107"/>
      <c r="I366" s="107"/>
      <c r="J366" s="107"/>
      <c r="K366" s="87" t="s">
        <v>4</v>
      </c>
      <c r="L366" s="85"/>
      <c r="M366" s="119"/>
      <c r="N366" s="107"/>
      <c r="O366" s="370"/>
      <c r="P366" s="370"/>
      <c r="Q366" s="370"/>
      <c r="R366" s="153">
        <v>5.9543217902550839E-3</v>
      </c>
      <c r="S366" s="153">
        <v>5.9341147920408737E-3</v>
      </c>
      <c r="T366" s="153">
        <v>5.3325085941346917E-3</v>
      </c>
      <c r="U366" s="153">
        <v>4.8989065728429707E-3</v>
      </c>
      <c r="V366" s="382">
        <v>4.2472428808043566E-3</v>
      </c>
      <c r="W366" s="1"/>
      <c r="X366" s="1"/>
      <c r="Y366" s="181">
        <f t="shared" si="32"/>
        <v>-5.9543217902550839E-3</v>
      </c>
      <c r="Z366" s="181">
        <f t="shared" si="33"/>
        <v>-5.9341147920408737E-3</v>
      </c>
      <c r="AA366" s="181">
        <f t="shared" si="34"/>
        <v>-5.3325085941346917E-3</v>
      </c>
      <c r="AB366" s="181">
        <f t="shared" si="35"/>
        <v>-4.8989065728429707E-3</v>
      </c>
      <c r="AC366" s="181">
        <f t="shared" si="36"/>
        <v>-4.2472428808043566E-3</v>
      </c>
      <c r="AD366" s="1"/>
      <c r="AE366" s="1"/>
    </row>
    <row r="367" spans="1:31" customFormat="1" ht="15" customHeight="1">
      <c r="A367" s="1"/>
      <c r="B367" s="1"/>
      <c r="C367" s="2"/>
      <c r="D367" s="124" t="s">
        <v>158</v>
      </c>
      <c r="E367" s="1"/>
      <c r="F367" s="107"/>
      <c r="G367" s="107"/>
      <c r="H367" s="107"/>
      <c r="I367" s="107"/>
      <c r="J367" s="107"/>
      <c r="K367" s="87" t="s">
        <v>4</v>
      </c>
      <c r="L367" s="85"/>
      <c r="M367" s="119"/>
      <c r="N367" s="107"/>
      <c r="O367" s="370"/>
      <c r="P367" s="370"/>
      <c r="Q367" s="370"/>
      <c r="R367" s="153">
        <v>5.9767984503480559E-3</v>
      </c>
      <c r="S367" s="153">
        <v>5.8969217807483265E-3</v>
      </c>
      <c r="T367" s="153">
        <v>5.3413897247759062E-3</v>
      </c>
      <c r="U367" s="153">
        <v>5.1884947579413504E-3</v>
      </c>
      <c r="V367" s="382">
        <v>4.5193414260772972E-3</v>
      </c>
      <c r="W367" s="1"/>
      <c r="X367" s="1"/>
      <c r="Y367" s="181">
        <f t="shared" si="32"/>
        <v>-5.9767984503480559E-3</v>
      </c>
      <c r="Z367" s="181">
        <f t="shared" si="33"/>
        <v>-5.8969217807483265E-3</v>
      </c>
      <c r="AA367" s="181">
        <f t="shared" si="34"/>
        <v>-5.3413897247759062E-3</v>
      </c>
      <c r="AB367" s="181">
        <f t="shared" si="35"/>
        <v>-5.1884947579413504E-3</v>
      </c>
      <c r="AC367" s="181">
        <f t="shared" si="36"/>
        <v>-4.5193414260772972E-3</v>
      </c>
      <c r="AD367" s="1"/>
      <c r="AE367" s="1"/>
    </row>
    <row r="368" spans="1:31" customFormat="1" ht="15" customHeight="1">
      <c r="A368" s="1"/>
      <c r="B368" s="1"/>
      <c r="C368" s="2"/>
      <c r="D368" s="124" t="s">
        <v>159</v>
      </c>
      <c r="E368" s="1"/>
      <c r="F368" s="107"/>
      <c r="G368" s="107"/>
      <c r="H368" s="107"/>
      <c r="I368" s="107"/>
      <c r="J368" s="107"/>
      <c r="K368" s="87" t="s">
        <v>4</v>
      </c>
      <c r="L368" s="85"/>
      <c r="M368" s="119"/>
      <c r="N368" s="107"/>
      <c r="O368" s="370"/>
      <c r="P368" s="370"/>
      <c r="Q368" s="370"/>
      <c r="R368" s="153">
        <v>6.2624253898154233E-3</v>
      </c>
      <c r="S368" s="153">
        <v>5.8791097502593924E-3</v>
      </c>
      <c r="T368" s="153">
        <v>5.451064752368639E-3</v>
      </c>
      <c r="U368" s="153">
        <v>5.4304092122204814E-3</v>
      </c>
      <c r="V368" s="382">
        <v>5.2360503947764606E-3</v>
      </c>
      <c r="W368" s="1"/>
      <c r="X368" s="1"/>
      <c r="Y368" s="181">
        <f t="shared" si="32"/>
        <v>-6.2624253898154233E-3</v>
      </c>
      <c r="Z368" s="181">
        <f t="shared" si="33"/>
        <v>-5.8791097502593924E-3</v>
      </c>
      <c r="AA368" s="181">
        <f t="shared" si="34"/>
        <v>-5.451064752368639E-3</v>
      </c>
      <c r="AB368" s="181">
        <f t="shared" si="35"/>
        <v>-5.4304092122204814E-3</v>
      </c>
      <c r="AC368" s="181">
        <f t="shared" si="36"/>
        <v>-5.2360503947764606E-3</v>
      </c>
      <c r="AD368" s="1"/>
      <c r="AE368" s="1"/>
    </row>
    <row r="369" spans="1:31" customFormat="1" ht="15" customHeight="1">
      <c r="A369" s="1"/>
      <c r="B369" s="1"/>
      <c r="C369" s="2"/>
      <c r="D369" s="124" t="s">
        <v>160</v>
      </c>
      <c r="E369" s="1"/>
      <c r="F369" s="107"/>
      <c r="G369" s="107"/>
      <c r="H369" s="107"/>
      <c r="I369" s="107"/>
      <c r="J369" s="107"/>
      <c r="K369" s="87" t="s">
        <v>4</v>
      </c>
      <c r="L369" s="85"/>
      <c r="M369" s="119"/>
      <c r="N369" s="107"/>
      <c r="O369" s="370"/>
      <c r="P369" s="370"/>
      <c r="Q369" s="370"/>
      <c r="R369" s="153">
        <v>6.1705499074742537E-3</v>
      </c>
      <c r="S369" s="153">
        <v>5.9345437724506725E-3</v>
      </c>
      <c r="T369" s="153">
        <v>5.4665241595607652E-3</v>
      </c>
      <c r="U369" s="153">
        <v>5.5828934305543598E-3</v>
      </c>
      <c r="V369" s="382">
        <v>6.1053909743854842E-3</v>
      </c>
      <c r="W369" s="1"/>
      <c r="X369" s="1"/>
      <c r="Y369" s="181">
        <f t="shared" si="32"/>
        <v>-6.1705499074742537E-3</v>
      </c>
      <c r="Z369" s="181">
        <f t="shared" si="33"/>
        <v>-5.9345437724506725E-3</v>
      </c>
      <c r="AA369" s="181">
        <f t="shared" si="34"/>
        <v>-5.4665241595607652E-3</v>
      </c>
      <c r="AB369" s="181">
        <f t="shared" si="35"/>
        <v>-5.5828934305543598E-3</v>
      </c>
      <c r="AC369" s="181">
        <f t="shared" si="36"/>
        <v>-6.1053909743854842E-3</v>
      </c>
      <c r="AD369" s="1"/>
      <c r="AE369" s="1"/>
    </row>
    <row r="370" spans="1:31" customFormat="1" ht="15" customHeight="1">
      <c r="A370" s="1"/>
      <c r="B370" s="1"/>
      <c r="C370" s="2"/>
      <c r="D370" s="124" t="s">
        <v>161</v>
      </c>
      <c r="E370" s="1"/>
      <c r="F370" s="107"/>
      <c r="G370" s="107"/>
      <c r="H370" s="107"/>
      <c r="I370" s="107"/>
      <c r="J370" s="107"/>
      <c r="K370" s="87" t="s">
        <v>4</v>
      </c>
      <c r="L370" s="85"/>
      <c r="M370" s="119"/>
      <c r="N370" s="107"/>
      <c r="O370" s="370"/>
      <c r="P370" s="370"/>
      <c r="Q370" s="370"/>
      <c r="R370" s="153">
        <v>6.2347993956557357E-3</v>
      </c>
      <c r="S370" s="153">
        <v>6.0100495005938797E-3</v>
      </c>
      <c r="T370" s="153">
        <v>5.5550077945250281E-3</v>
      </c>
      <c r="U370" s="153">
        <v>5.6979353087543349E-3</v>
      </c>
      <c r="V370" s="382">
        <v>6.6272738197027019E-3</v>
      </c>
      <c r="W370" s="1"/>
      <c r="X370" s="1"/>
      <c r="Y370" s="181">
        <f t="shared" si="32"/>
        <v>-6.2347993956557357E-3</v>
      </c>
      <c r="Z370" s="181">
        <f t="shared" si="33"/>
        <v>-6.0100495005938797E-3</v>
      </c>
      <c r="AA370" s="181">
        <f t="shared" si="34"/>
        <v>-5.5550077945250281E-3</v>
      </c>
      <c r="AB370" s="181">
        <f t="shared" si="35"/>
        <v>-5.6979353087543349E-3</v>
      </c>
      <c r="AC370" s="181">
        <f t="shared" si="36"/>
        <v>-6.6272738197027019E-3</v>
      </c>
      <c r="AD370" s="1"/>
      <c r="AE370" s="1"/>
    </row>
    <row r="371" spans="1:31" customFormat="1" ht="15" customHeight="1">
      <c r="A371" s="1"/>
      <c r="B371" s="1"/>
      <c r="C371" s="2"/>
      <c r="D371" s="124" t="s">
        <v>162</v>
      </c>
      <c r="E371" s="1"/>
      <c r="F371" s="107"/>
      <c r="G371" s="107"/>
      <c r="H371" s="107"/>
      <c r="I371" s="107"/>
      <c r="J371" s="107"/>
      <c r="K371" s="87" t="s">
        <v>4</v>
      </c>
      <c r="L371" s="85"/>
      <c r="M371" s="119"/>
      <c r="N371" s="107"/>
      <c r="O371" s="370"/>
      <c r="P371" s="370"/>
      <c r="Q371" s="370"/>
      <c r="R371" s="153">
        <v>6.3909648103419999E-3</v>
      </c>
      <c r="S371" s="153">
        <v>6.0322823242166708E-3</v>
      </c>
      <c r="T371" s="153">
        <v>5.6457967366039512E-3</v>
      </c>
      <c r="U371" s="153">
        <v>5.8407230989506558E-3</v>
      </c>
      <c r="V371" s="382">
        <v>6.7917324786712649E-3</v>
      </c>
      <c r="W371" s="1"/>
      <c r="X371" s="1"/>
      <c r="Y371" s="181">
        <f t="shared" si="32"/>
        <v>-6.3909648103419999E-3</v>
      </c>
      <c r="Z371" s="181">
        <f t="shared" si="33"/>
        <v>-6.0322823242166708E-3</v>
      </c>
      <c r="AA371" s="181">
        <f t="shared" si="34"/>
        <v>-5.6457967366039512E-3</v>
      </c>
      <c r="AB371" s="181">
        <f t="shared" si="35"/>
        <v>-5.8407230989506558E-3</v>
      </c>
      <c r="AC371" s="181">
        <f t="shared" si="36"/>
        <v>-6.7917324786712649E-3</v>
      </c>
      <c r="AD371" s="1"/>
      <c r="AE371" s="1"/>
    </row>
    <row r="372" spans="1:31" customFormat="1" ht="15" customHeight="1">
      <c r="A372" s="1"/>
      <c r="B372" s="1"/>
      <c r="C372" s="2"/>
      <c r="D372" s="124" t="s">
        <v>163</v>
      </c>
      <c r="E372" s="1"/>
      <c r="F372" s="107"/>
      <c r="G372" s="107"/>
      <c r="H372" s="107"/>
      <c r="I372" s="107"/>
      <c r="J372" s="107"/>
      <c r="K372" s="87" t="s">
        <v>4</v>
      </c>
      <c r="L372" s="85"/>
      <c r="M372" s="119"/>
      <c r="N372" s="107"/>
      <c r="O372" s="370"/>
      <c r="P372" s="370"/>
      <c r="Q372" s="370"/>
      <c r="R372" s="153">
        <v>6.5469778394535239E-3</v>
      </c>
      <c r="S372" s="153">
        <v>6.1305130490762185E-3</v>
      </c>
      <c r="T372" s="153">
        <v>5.7181955169283531E-3</v>
      </c>
      <c r="U372" s="153">
        <v>5.8628108436396317E-3</v>
      </c>
      <c r="V372" s="382">
        <v>6.7724508578949289E-3</v>
      </c>
      <c r="W372" s="1"/>
      <c r="X372" s="1"/>
      <c r="Y372" s="181">
        <f t="shared" si="32"/>
        <v>-6.5469778394535239E-3</v>
      </c>
      <c r="Z372" s="181">
        <f t="shared" si="33"/>
        <v>-6.1305130490762185E-3</v>
      </c>
      <c r="AA372" s="181">
        <f t="shared" si="34"/>
        <v>-5.7181955169283531E-3</v>
      </c>
      <c r="AB372" s="181">
        <f t="shared" si="35"/>
        <v>-5.8628108436396317E-3</v>
      </c>
      <c r="AC372" s="181">
        <f t="shared" si="36"/>
        <v>-6.7724508578949289E-3</v>
      </c>
      <c r="AD372" s="1"/>
      <c r="AE372" s="1"/>
    </row>
    <row r="373" spans="1:31" customFormat="1" ht="15" customHeight="1">
      <c r="A373" s="1"/>
      <c r="B373" s="1"/>
      <c r="C373" s="2"/>
      <c r="D373" s="124" t="s">
        <v>164</v>
      </c>
      <c r="E373" s="1"/>
      <c r="F373" s="107"/>
      <c r="G373" s="107"/>
      <c r="H373" s="107"/>
      <c r="I373" s="107"/>
      <c r="J373" s="107"/>
      <c r="K373" s="87" t="s">
        <v>4</v>
      </c>
      <c r="L373" s="85"/>
      <c r="M373" s="119"/>
      <c r="N373" s="107"/>
      <c r="O373" s="370"/>
      <c r="P373" s="370"/>
      <c r="Q373" s="370"/>
      <c r="R373" s="153">
        <v>6.6194129380426417E-3</v>
      </c>
      <c r="S373" s="153">
        <v>6.1692426623289401E-3</v>
      </c>
      <c r="T373" s="153">
        <v>5.7460615390745552E-3</v>
      </c>
      <c r="U373" s="153">
        <v>5.8149556493729644E-3</v>
      </c>
      <c r="V373" s="382">
        <v>6.6220032899658998E-3</v>
      </c>
      <c r="W373" s="1"/>
      <c r="X373" s="1"/>
      <c r="Y373" s="181">
        <f t="shared" si="32"/>
        <v>-6.6194129380426417E-3</v>
      </c>
      <c r="Z373" s="181">
        <f t="shared" si="33"/>
        <v>-6.1692426623289401E-3</v>
      </c>
      <c r="AA373" s="181">
        <f t="shared" si="34"/>
        <v>-5.7460615390745552E-3</v>
      </c>
      <c r="AB373" s="181">
        <f t="shared" si="35"/>
        <v>-5.8149556493729644E-3</v>
      </c>
      <c r="AC373" s="181">
        <f t="shared" si="36"/>
        <v>-6.6220032899658998E-3</v>
      </c>
      <c r="AD373" s="1"/>
      <c r="AE373" s="1"/>
    </row>
    <row r="374" spans="1:31" customFormat="1" ht="15" customHeight="1">
      <c r="A374" s="1"/>
      <c r="B374" s="1"/>
      <c r="C374" s="2"/>
      <c r="D374" s="124" t="s">
        <v>165</v>
      </c>
      <c r="E374" s="1"/>
      <c r="F374" s="107"/>
      <c r="G374" s="107"/>
      <c r="H374" s="107"/>
      <c r="I374" s="107"/>
      <c r="J374" s="107"/>
      <c r="K374" s="87" t="s">
        <v>4</v>
      </c>
      <c r="L374" s="85"/>
      <c r="M374" s="119"/>
      <c r="N374" s="107"/>
      <c r="O374" s="370"/>
      <c r="P374" s="370"/>
      <c r="Q374" s="370"/>
      <c r="R374" s="153">
        <v>6.9243056888970301E-3</v>
      </c>
      <c r="S374" s="153">
        <v>6.1366673960482404E-3</v>
      </c>
      <c r="T374" s="153">
        <v>5.8406234012894744E-3</v>
      </c>
      <c r="U374" s="153">
        <v>5.7945023881636349E-3</v>
      </c>
      <c r="V374" s="382">
        <v>6.4618329697852216E-3</v>
      </c>
      <c r="W374" s="1"/>
      <c r="X374" s="1"/>
      <c r="Y374" s="181">
        <f t="shared" si="32"/>
        <v>-6.9243056888970301E-3</v>
      </c>
      <c r="Z374" s="181">
        <f t="shared" si="33"/>
        <v>-6.1366673960482404E-3</v>
      </c>
      <c r="AA374" s="181">
        <f t="shared" si="34"/>
        <v>-5.8406234012894744E-3</v>
      </c>
      <c r="AB374" s="181">
        <f t="shared" si="35"/>
        <v>-5.7945023881636349E-3</v>
      </c>
      <c r="AC374" s="181">
        <f t="shared" si="36"/>
        <v>-6.4618329697852216E-3</v>
      </c>
      <c r="AD374" s="1"/>
      <c r="AE374" s="1"/>
    </row>
    <row r="375" spans="1:31" customFormat="1" ht="15" customHeight="1">
      <c r="A375" s="1"/>
      <c r="B375" s="1"/>
      <c r="C375" s="2"/>
      <c r="D375" s="124" t="s">
        <v>166</v>
      </c>
      <c r="E375" s="1"/>
      <c r="F375" s="107"/>
      <c r="G375" s="107"/>
      <c r="H375" s="107"/>
      <c r="I375" s="107"/>
      <c r="J375" s="107"/>
      <c r="K375" s="87" t="s">
        <v>4</v>
      </c>
      <c r="L375" s="85"/>
      <c r="M375" s="119"/>
      <c r="N375" s="107"/>
      <c r="O375" s="370"/>
      <c r="P375" s="370"/>
      <c r="Q375" s="370"/>
      <c r="R375" s="153">
        <v>7.0145333461116921E-3</v>
      </c>
      <c r="S375" s="153">
        <v>6.0961363986206654E-3</v>
      </c>
      <c r="T375" s="153">
        <v>5.8265441370733886E-3</v>
      </c>
      <c r="U375" s="153">
        <v>5.7187755625470078E-3</v>
      </c>
      <c r="V375" s="382">
        <v>6.3525449382823927E-3</v>
      </c>
      <c r="W375" s="1"/>
      <c r="X375" s="1"/>
      <c r="Y375" s="181">
        <f t="shared" si="32"/>
        <v>-7.0145333461116921E-3</v>
      </c>
      <c r="Z375" s="181">
        <f t="shared" si="33"/>
        <v>-6.0961363986206654E-3</v>
      </c>
      <c r="AA375" s="181">
        <f t="shared" si="34"/>
        <v>-5.8265441370733886E-3</v>
      </c>
      <c r="AB375" s="181">
        <f t="shared" si="35"/>
        <v>-5.7187755625470078E-3</v>
      </c>
      <c r="AC375" s="181">
        <f t="shared" si="36"/>
        <v>-6.3525449382823927E-3</v>
      </c>
      <c r="AD375" s="1"/>
      <c r="AE375" s="1"/>
    </row>
    <row r="376" spans="1:31" customFormat="1" ht="15" customHeight="1">
      <c r="A376" s="1"/>
      <c r="B376" s="1"/>
      <c r="C376" s="2"/>
      <c r="D376" s="124" t="s">
        <v>167</v>
      </c>
      <c r="E376" s="1"/>
      <c r="F376" s="107"/>
      <c r="G376" s="107"/>
      <c r="H376" s="107"/>
      <c r="I376" s="107"/>
      <c r="J376" s="107"/>
      <c r="K376" s="87" t="s">
        <v>4</v>
      </c>
      <c r="L376" s="85"/>
      <c r="M376" s="119"/>
      <c r="N376" s="107"/>
      <c r="O376" s="370"/>
      <c r="P376" s="370"/>
      <c r="Q376" s="370"/>
      <c r="R376" s="153">
        <v>6.89734658449556E-3</v>
      </c>
      <c r="S376" s="153">
        <v>6.0271381799010476E-3</v>
      </c>
      <c r="T376" s="153">
        <v>5.7754321817453944E-3</v>
      </c>
      <c r="U376" s="153">
        <v>5.6414455234611062E-3</v>
      </c>
      <c r="V376" s="382">
        <v>6.2939954616150953E-3</v>
      </c>
      <c r="W376" s="1"/>
      <c r="X376" s="1"/>
      <c r="Y376" s="181">
        <f t="shared" si="32"/>
        <v>-6.89734658449556E-3</v>
      </c>
      <c r="Z376" s="181">
        <f t="shared" si="33"/>
        <v>-6.0271381799010476E-3</v>
      </c>
      <c r="AA376" s="181">
        <f t="shared" si="34"/>
        <v>-5.7754321817453944E-3</v>
      </c>
      <c r="AB376" s="181">
        <f t="shared" si="35"/>
        <v>-5.6414455234611062E-3</v>
      </c>
      <c r="AC376" s="181">
        <f t="shared" si="36"/>
        <v>-6.2939954616150953E-3</v>
      </c>
      <c r="AD376" s="1"/>
      <c r="AE376" s="1"/>
    </row>
    <row r="377" spans="1:31" customFormat="1" ht="15" customHeight="1">
      <c r="A377" s="1"/>
      <c r="B377" s="1"/>
      <c r="C377" s="2"/>
      <c r="D377" s="124" t="s">
        <v>168</v>
      </c>
      <c r="E377" s="1"/>
      <c r="F377" s="107"/>
      <c r="G377" s="107"/>
      <c r="H377" s="107"/>
      <c r="I377" s="107"/>
      <c r="J377" s="107"/>
      <c r="K377" s="87" t="s">
        <v>4</v>
      </c>
      <c r="L377" s="85"/>
      <c r="M377" s="119"/>
      <c r="N377" s="107"/>
      <c r="O377" s="370"/>
      <c r="P377" s="370"/>
      <c r="Q377" s="370"/>
      <c r="R377" s="153">
        <v>6.8707843803595793E-3</v>
      </c>
      <c r="S377" s="153">
        <v>5.9574802477986343E-3</v>
      </c>
      <c r="T377" s="153">
        <v>5.7212539619866248E-3</v>
      </c>
      <c r="U377" s="153">
        <v>5.5709780089164326E-3</v>
      </c>
      <c r="V377" s="382">
        <v>6.5539668628402468E-3</v>
      </c>
      <c r="W377" s="1"/>
      <c r="X377" s="1"/>
      <c r="Y377" s="181">
        <f t="shared" si="32"/>
        <v>-6.8707843803595793E-3</v>
      </c>
      <c r="Z377" s="181">
        <f t="shared" si="33"/>
        <v>-5.9574802477986343E-3</v>
      </c>
      <c r="AA377" s="181">
        <f t="shared" si="34"/>
        <v>-5.7212539619866248E-3</v>
      </c>
      <c r="AB377" s="181">
        <f t="shared" si="35"/>
        <v>-5.5709780089164326E-3</v>
      </c>
      <c r="AC377" s="181">
        <f t="shared" si="36"/>
        <v>-6.5539668628402468E-3</v>
      </c>
      <c r="AD377" s="1"/>
      <c r="AE377" s="1"/>
    </row>
    <row r="378" spans="1:31" customFormat="1" ht="15" customHeight="1">
      <c r="A378" s="1"/>
      <c r="B378" s="1"/>
      <c r="C378" s="2"/>
      <c r="D378" s="124" t="s">
        <v>169</v>
      </c>
      <c r="E378" s="1"/>
      <c r="F378" s="107"/>
      <c r="G378" s="107"/>
      <c r="H378" s="107"/>
      <c r="I378" s="107"/>
      <c r="J378" s="107"/>
      <c r="K378" s="87" t="s">
        <v>4</v>
      </c>
      <c r="L378" s="85"/>
      <c r="M378" s="119"/>
      <c r="N378" s="107"/>
      <c r="O378" s="370"/>
      <c r="P378" s="370"/>
      <c r="Q378" s="370"/>
      <c r="R378" s="153">
        <v>6.4550408146037096E-3</v>
      </c>
      <c r="S378" s="153">
        <v>5.8891200375000745E-3</v>
      </c>
      <c r="T378" s="153">
        <v>5.6168789376672803E-3</v>
      </c>
      <c r="U378" s="153">
        <v>5.4715621971056401E-3</v>
      </c>
      <c r="V378" s="382">
        <v>7.503778018598352E-3</v>
      </c>
      <c r="W378" s="1"/>
      <c r="X378" s="1"/>
      <c r="Y378" s="181">
        <f t="shared" si="32"/>
        <v>-6.4550408146037096E-3</v>
      </c>
      <c r="Z378" s="181">
        <f t="shared" si="33"/>
        <v>-5.8891200375000745E-3</v>
      </c>
      <c r="AA378" s="181">
        <f t="shared" si="34"/>
        <v>-5.6168789376672803E-3</v>
      </c>
      <c r="AB378" s="181">
        <f t="shared" si="35"/>
        <v>-5.4715621971056401E-3</v>
      </c>
      <c r="AC378" s="181">
        <f t="shared" si="36"/>
        <v>-7.503778018598352E-3</v>
      </c>
      <c r="AD378" s="1"/>
      <c r="AE378" s="1"/>
    </row>
    <row r="379" spans="1:31" customFormat="1" ht="15" customHeight="1">
      <c r="A379" s="1"/>
      <c r="B379" s="1"/>
      <c r="C379" s="2"/>
      <c r="D379" s="124" t="s">
        <v>170</v>
      </c>
      <c r="E379" s="1"/>
      <c r="F379" s="107"/>
      <c r="G379" s="107"/>
      <c r="H379" s="107"/>
      <c r="I379" s="107"/>
      <c r="J379" s="107"/>
      <c r="K379" s="87" t="s">
        <v>4</v>
      </c>
      <c r="L379" s="85"/>
      <c r="M379" s="119"/>
      <c r="N379" s="107"/>
      <c r="O379" s="370"/>
      <c r="P379" s="370"/>
      <c r="Q379" s="370"/>
      <c r="R379" s="153">
        <v>6.2738592383191983E-3</v>
      </c>
      <c r="S379" s="153">
        <v>5.9162379127411782E-3</v>
      </c>
      <c r="T379" s="153">
        <v>5.5586915246396782E-3</v>
      </c>
      <c r="U379" s="153">
        <v>5.3655814617173314E-3</v>
      </c>
      <c r="V379" s="382">
        <v>7.6864482654207082E-3</v>
      </c>
      <c r="W379" s="1"/>
      <c r="X379" s="1"/>
      <c r="Y379" s="181">
        <f t="shared" si="32"/>
        <v>-6.2738592383191983E-3</v>
      </c>
      <c r="Z379" s="181">
        <f t="shared" si="33"/>
        <v>-5.9162379127411782E-3</v>
      </c>
      <c r="AA379" s="181">
        <f t="shared" si="34"/>
        <v>-5.5586915246396782E-3</v>
      </c>
      <c r="AB379" s="181">
        <f t="shared" si="35"/>
        <v>-5.3655814617173314E-3</v>
      </c>
      <c r="AC379" s="181">
        <f t="shared" si="36"/>
        <v>-7.6864482654207082E-3</v>
      </c>
      <c r="AD379" s="1"/>
      <c r="AE379" s="1"/>
    </row>
    <row r="380" spans="1:31" customFormat="1" ht="15" customHeight="1">
      <c r="A380" s="1"/>
      <c r="B380" s="1"/>
      <c r="C380" s="2"/>
      <c r="D380" s="124" t="s">
        <v>171</v>
      </c>
      <c r="E380" s="1"/>
      <c r="F380" s="107"/>
      <c r="G380" s="107"/>
      <c r="H380" s="107"/>
      <c r="I380" s="107"/>
      <c r="J380" s="107"/>
      <c r="K380" s="87" t="s">
        <v>4</v>
      </c>
      <c r="L380" s="85"/>
      <c r="M380" s="119"/>
      <c r="N380" s="107"/>
      <c r="O380" s="370"/>
      <c r="P380" s="370"/>
      <c r="Q380" s="370"/>
      <c r="R380" s="153">
        <v>6.2883378050934456E-3</v>
      </c>
      <c r="S380" s="153">
        <v>5.9410830106316984E-3</v>
      </c>
      <c r="T380" s="153">
        <v>5.5522432103482268E-3</v>
      </c>
      <c r="U380" s="153">
        <v>5.2993592352078532E-3</v>
      </c>
      <c r="V380" s="382">
        <v>7.2300722002956131E-3</v>
      </c>
      <c r="W380" s="1"/>
      <c r="X380" s="1"/>
      <c r="Y380" s="181">
        <f t="shared" si="32"/>
        <v>-6.2883378050934456E-3</v>
      </c>
      <c r="Z380" s="181">
        <f t="shared" si="33"/>
        <v>-5.9410830106316984E-3</v>
      </c>
      <c r="AA380" s="181">
        <f t="shared" si="34"/>
        <v>-5.5522432103482268E-3</v>
      </c>
      <c r="AB380" s="181">
        <f t="shared" si="35"/>
        <v>-5.2993592352078532E-3</v>
      </c>
      <c r="AC380" s="181">
        <f t="shared" si="36"/>
        <v>-7.2300722002956131E-3</v>
      </c>
      <c r="AD380" s="1"/>
      <c r="AE380" s="1"/>
    </row>
    <row r="381" spans="1:31" customFormat="1" ht="15" customHeight="1">
      <c r="A381" s="1"/>
      <c r="B381" s="1"/>
      <c r="C381" s="2"/>
      <c r="D381" s="124" t="s">
        <v>172</v>
      </c>
      <c r="E381" s="1"/>
      <c r="F381" s="107"/>
      <c r="G381" s="107"/>
      <c r="H381" s="107"/>
      <c r="I381" s="107"/>
      <c r="J381" s="107"/>
      <c r="K381" s="87" t="s">
        <v>4</v>
      </c>
      <c r="L381" s="85"/>
      <c r="M381" s="119"/>
      <c r="N381" s="107"/>
      <c r="O381" s="370"/>
      <c r="P381" s="370"/>
      <c r="Q381" s="370"/>
      <c r="R381" s="153">
        <v>6.2487895452989451E-3</v>
      </c>
      <c r="S381" s="153">
        <v>6.1054099754208942E-3</v>
      </c>
      <c r="T381" s="153">
        <v>5.5270385812492429E-3</v>
      </c>
      <c r="U381" s="153">
        <v>5.2161047276696711E-3</v>
      </c>
      <c r="V381" s="382">
        <v>6.8699414037396937E-3</v>
      </c>
      <c r="W381" s="1"/>
      <c r="X381" s="1"/>
      <c r="Y381" s="181">
        <f t="shared" si="32"/>
        <v>-6.2487895452989451E-3</v>
      </c>
      <c r="Z381" s="181">
        <f t="shared" si="33"/>
        <v>-6.1054099754208942E-3</v>
      </c>
      <c r="AA381" s="181">
        <f t="shared" si="34"/>
        <v>-5.5270385812492429E-3</v>
      </c>
      <c r="AB381" s="181">
        <f t="shared" si="35"/>
        <v>-5.2161047276696711E-3</v>
      </c>
      <c r="AC381" s="181">
        <f t="shared" si="36"/>
        <v>-6.8699414037396937E-3</v>
      </c>
      <c r="AD381" s="1"/>
      <c r="AE381" s="1"/>
    </row>
    <row r="382" spans="1:31" customFormat="1" ht="15" customHeight="1">
      <c r="A382" s="1"/>
      <c r="B382" s="1"/>
      <c r="C382" s="2"/>
      <c r="D382" s="124" t="s">
        <v>173</v>
      </c>
      <c r="E382" s="1"/>
      <c r="F382" s="107"/>
      <c r="G382" s="107"/>
      <c r="H382" s="107"/>
      <c r="I382" s="107"/>
      <c r="J382" s="107"/>
      <c r="K382" s="87" t="s">
        <v>4</v>
      </c>
      <c r="L382" s="85"/>
      <c r="M382" s="119"/>
      <c r="N382" s="107"/>
      <c r="O382" s="370"/>
      <c r="P382" s="370"/>
      <c r="Q382" s="370"/>
      <c r="R382" s="153">
        <v>6.1872173765239718E-3</v>
      </c>
      <c r="S382" s="153">
        <v>6.1653174540097309E-3</v>
      </c>
      <c r="T382" s="153">
        <v>5.528377013090671E-3</v>
      </c>
      <c r="U382" s="153">
        <v>5.1211805747781343E-3</v>
      </c>
      <c r="V382" s="382">
        <v>6.5533269031337969E-3</v>
      </c>
      <c r="W382" s="1"/>
      <c r="X382" s="1"/>
      <c r="Y382" s="181">
        <f t="shared" si="32"/>
        <v>-6.1872173765239718E-3</v>
      </c>
      <c r="Z382" s="181">
        <f t="shared" si="33"/>
        <v>-6.1653174540097309E-3</v>
      </c>
      <c r="AA382" s="181">
        <f t="shared" si="34"/>
        <v>-5.528377013090671E-3</v>
      </c>
      <c r="AB382" s="181">
        <f t="shared" si="35"/>
        <v>-5.1211805747781343E-3</v>
      </c>
      <c r="AC382" s="181">
        <f t="shared" si="36"/>
        <v>-6.5533269031337969E-3</v>
      </c>
      <c r="AD382" s="1"/>
      <c r="AE382" s="1"/>
    </row>
    <row r="383" spans="1:31" customFormat="1" ht="15" customHeight="1">
      <c r="A383" s="1"/>
      <c r="B383" s="1"/>
      <c r="C383" s="2"/>
      <c r="D383" s="124" t="s">
        <v>174</v>
      </c>
      <c r="E383" s="1"/>
      <c r="F383" s="107"/>
      <c r="G383" s="107"/>
      <c r="H383" s="107"/>
      <c r="I383" s="107"/>
      <c r="J383" s="107"/>
      <c r="K383" s="87" t="s">
        <v>4</v>
      </c>
      <c r="L383" s="85"/>
      <c r="M383" s="119"/>
      <c r="N383" s="107"/>
      <c r="O383" s="370"/>
      <c r="P383" s="370"/>
      <c r="Q383" s="370"/>
      <c r="R383" s="153">
        <v>6.2411580053554645E-3</v>
      </c>
      <c r="S383" s="153">
        <v>5.8681267859786949E-3</v>
      </c>
      <c r="T383" s="153">
        <v>5.681024690811747E-3</v>
      </c>
      <c r="U383" s="153">
        <v>5.0347686041569001E-3</v>
      </c>
      <c r="V383" s="382">
        <v>6.0594901972449598E-3</v>
      </c>
      <c r="W383" s="1"/>
      <c r="X383" s="1"/>
      <c r="Y383" s="181">
        <f t="shared" si="32"/>
        <v>-6.2411580053554645E-3</v>
      </c>
      <c r="Z383" s="181">
        <f t="shared" si="33"/>
        <v>-5.8681267859786949E-3</v>
      </c>
      <c r="AA383" s="181">
        <f t="shared" si="34"/>
        <v>-5.681024690811747E-3</v>
      </c>
      <c r="AB383" s="181">
        <f t="shared" si="35"/>
        <v>-5.0347686041569001E-3</v>
      </c>
      <c r="AC383" s="181">
        <f t="shared" si="36"/>
        <v>-6.0594901972449598E-3</v>
      </c>
      <c r="AD383" s="1"/>
      <c r="AE383" s="1"/>
    </row>
    <row r="384" spans="1:31" customFormat="1" ht="15" customHeight="1">
      <c r="A384" s="1"/>
      <c r="B384" s="1"/>
      <c r="C384" s="2"/>
      <c r="D384" s="125" t="s">
        <v>175</v>
      </c>
      <c r="E384" s="27"/>
      <c r="F384" s="115"/>
      <c r="G384" s="115"/>
      <c r="H384" s="115"/>
      <c r="I384" s="115"/>
      <c r="J384" s="115"/>
      <c r="K384" s="98" t="s">
        <v>4</v>
      </c>
      <c r="L384" s="99"/>
      <c r="M384" s="151"/>
      <c r="N384" s="115"/>
      <c r="O384" s="368"/>
      <c r="P384" s="368"/>
      <c r="Q384" s="368"/>
      <c r="R384" s="154">
        <v>6.1176927287088399E-3</v>
      </c>
      <c r="S384" s="154">
        <v>5.8453014294581641E-3</v>
      </c>
      <c r="T384" s="154">
        <v>5.7652823703526548E-3</v>
      </c>
      <c r="U384" s="154">
        <v>4.9456901789201061E-3</v>
      </c>
      <c r="V384" s="383">
        <v>5.4708235249832787E-3</v>
      </c>
      <c r="W384" s="27"/>
      <c r="X384" s="1"/>
      <c r="Y384" s="181">
        <f t="shared" si="32"/>
        <v>-6.1176927287088399E-3</v>
      </c>
      <c r="Z384" s="181">
        <f t="shared" si="33"/>
        <v>-5.8453014294581641E-3</v>
      </c>
      <c r="AA384" s="181">
        <f t="shared" si="34"/>
        <v>-5.7652823703526548E-3</v>
      </c>
      <c r="AB384" s="181">
        <f t="shared" si="35"/>
        <v>-4.9456901789201061E-3</v>
      </c>
      <c r="AC384" s="181">
        <f t="shared" si="36"/>
        <v>-5.4708235249832787E-3</v>
      </c>
      <c r="AD384" s="1"/>
      <c r="AE384" s="1"/>
    </row>
    <row r="385" spans="1:31" customFormat="1" ht="15" customHeight="1">
      <c r="A385" s="1"/>
      <c r="B385" s="1"/>
      <c r="C385" s="2"/>
      <c r="D385" s="105" t="s">
        <v>16</v>
      </c>
      <c r="E385" s="186"/>
      <c r="F385" s="120"/>
      <c r="G385" s="120"/>
      <c r="H385" s="120"/>
      <c r="I385" s="120"/>
      <c r="J385" s="120"/>
      <c r="K385" s="106" t="s">
        <v>4</v>
      </c>
      <c r="L385" s="105"/>
      <c r="M385" s="105"/>
      <c r="N385" s="120"/>
      <c r="O385" s="371"/>
      <c r="P385" s="371"/>
      <c r="Q385" s="371"/>
      <c r="R385" s="200">
        <f xml:space="preserve"> SUM( R361:R384 )</f>
        <v>0.15134272085964406</v>
      </c>
      <c r="S385" s="200">
        <f xml:space="preserve"> SUM( S361:S384 )</f>
        <v>0.14344384709506461</v>
      </c>
      <c r="T385" s="200">
        <f xml:space="preserve"> SUM( T361:T384 )</f>
        <v>0.13369709633378035</v>
      </c>
      <c r="U385" s="200">
        <f xml:space="preserve"> SUM( U361:U384 )</f>
        <v>0.12718649816781658</v>
      </c>
      <c r="V385" s="200">
        <f xml:space="preserve"> SUM( V361:V384 )</f>
        <v>0.1422710891835951</v>
      </c>
      <c r="W385" s="33"/>
      <c r="X385" s="1"/>
      <c r="Y385" s="200">
        <f xml:space="preserve"> SUM( Y361:Y384 )</f>
        <v>-0.15134272085964406</v>
      </c>
      <c r="Z385" s="200">
        <f xml:space="preserve"> SUM( Z361:Z384 )</f>
        <v>-0.14344384709506461</v>
      </c>
      <c r="AA385" s="200">
        <f xml:space="preserve"> SUM( AA361:AA384 )</f>
        <v>-0.13369709633378035</v>
      </c>
      <c r="AB385" s="200">
        <f xml:space="preserve"> SUM( AB361:AB384 )</f>
        <v>-0.12718649816781658</v>
      </c>
      <c r="AC385" s="200">
        <f xml:space="preserve"> SUM( AC361:AC384 )</f>
        <v>-0.1422710891835951</v>
      </c>
      <c r="AD385" s="1"/>
      <c r="AE385" s="1"/>
    </row>
    <row r="386" spans="1:31" customFormat="1" ht="15" customHeight="1">
      <c r="A386" s="1"/>
      <c r="B386" s="1"/>
      <c r="C386" s="2"/>
      <c r="D386" s="85"/>
      <c r="E386" s="1"/>
      <c r="F386" s="86"/>
      <c r="G386" s="86"/>
      <c r="H386" s="86"/>
      <c r="I386" s="86"/>
      <c r="J386" s="86"/>
      <c r="K386" s="87"/>
      <c r="L386" s="85"/>
      <c r="M386" s="85"/>
      <c r="N386" s="86"/>
      <c r="O386" s="86"/>
      <c r="P386" s="86"/>
      <c r="Q386" s="86"/>
      <c r="R386" s="1"/>
      <c r="S386" s="1"/>
      <c r="T386" s="1"/>
      <c r="U386" s="1"/>
      <c r="V386" s="1"/>
      <c r="W386" s="1"/>
      <c r="X386" s="1"/>
      <c r="Y386" s="1"/>
      <c r="Z386" s="1"/>
      <c r="AA386" s="1"/>
      <c r="AB386" s="1"/>
      <c r="AC386" s="1"/>
      <c r="AD386" s="1"/>
      <c r="AE386" s="1"/>
    </row>
    <row r="387" spans="1:31" customFormat="1" ht="15" customHeight="1">
      <c r="A387" s="1"/>
      <c r="B387" s="1"/>
      <c r="C387" s="2"/>
      <c r="D387" s="85"/>
      <c r="E387" s="1"/>
      <c r="F387" s="86"/>
      <c r="G387" s="86"/>
      <c r="H387" s="86"/>
      <c r="I387" s="86"/>
      <c r="J387" s="86"/>
      <c r="K387" s="87"/>
      <c r="L387" s="85"/>
      <c r="M387" s="85"/>
      <c r="N387" s="86"/>
      <c r="O387" s="86"/>
      <c r="P387" s="86"/>
      <c r="Q387" s="86"/>
      <c r="R387" s="1"/>
      <c r="S387" s="1"/>
      <c r="T387" s="1"/>
      <c r="U387" s="1"/>
      <c r="V387" s="1"/>
      <c r="W387" s="1"/>
      <c r="X387" s="1"/>
      <c r="Y387" s="1"/>
      <c r="Z387" s="1"/>
      <c r="AA387" s="1"/>
      <c r="AB387" s="1"/>
      <c r="AC387" s="1"/>
      <c r="AD387" s="1"/>
      <c r="AE387" s="1"/>
    </row>
    <row r="388" spans="1:31" customFormat="1" ht="15" customHeight="1">
      <c r="A388" s="1"/>
      <c r="B388" s="1"/>
      <c r="C388" s="2"/>
      <c r="D388" s="85"/>
      <c r="E388" s="1"/>
      <c r="F388" s="86"/>
      <c r="G388" s="86"/>
      <c r="H388" s="86"/>
      <c r="I388" s="86"/>
      <c r="J388" s="86"/>
      <c r="K388" s="87"/>
      <c r="L388" s="85"/>
      <c r="M388" s="85"/>
      <c r="N388" s="86"/>
      <c r="O388" s="86"/>
      <c r="P388" s="86"/>
      <c r="Q388" s="86"/>
      <c r="R388" s="1"/>
      <c r="S388" s="1"/>
      <c r="T388" s="1"/>
      <c r="U388" s="1"/>
      <c r="V388" s="1"/>
      <c r="W388" s="1"/>
      <c r="X388" s="1"/>
      <c r="Y388" s="1"/>
      <c r="Z388" s="1"/>
      <c r="AA388" s="1"/>
      <c r="AB388" s="1"/>
      <c r="AC388" s="1"/>
      <c r="AD388" s="1"/>
      <c r="AE388" s="1"/>
    </row>
    <row r="389" spans="1:31" customFormat="1" ht="15" customHeight="1">
      <c r="A389" s="1"/>
      <c r="B389" s="1"/>
      <c r="C389" s="2"/>
      <c r="D389" s="85"/>
      <c r="E389" s="1"/>
      <c r="F389" s="86"/>
      <c r="G389" s="86"/>
      <c r="H389" s="86"/>
      <c r="I389" s="86"/>
      <c r="J389" s="86"/>
      <c r="K389" s="87"/>
      <c r="L389" s="85"/>
      <c r="M389" s="85"/>
      <c r="N389" s="86"/>
      <c r="O389" s="86"/>
      <c r="P389" s="86"/>
      <c r="Q389" s="86"/>
      <c r="R389" s="1"/>
      <c r="S389" s="1"/>
      <c r="T389" s="1"/>
      <c r="U389" s="1"/>
      <c r="V389" s="1"/>
      <c r="W389" s="1"/>
      <c r="X389" s="1"/>
      <c r="Y389" s="447" t="s">
        <v>541</v>
      </c>
      <c r="Z389" s="1"/>
      <c r="AA389" s="1"/>
      <c r="AB389" s="1"/>
      <c r="AC389" s="1"/>
      <c r="AD389" s="1"/>
      <c r="AE389" s="1"/>
    </row>
    <row r="390" spans="1:31" customFormat="1" ht="15" customHeight="1">
      <c r="A390" s="1"/>
      <c r="B390" s="1"/>
      <c r="C390" s="2"/>
      <c r="D390" s="88" t="s">
        <v>532</v>
      </c>
      <c r="E390" s="1"/>
      <c r="F390" s="107"/>
      <c r="G390" s="107"/>
      <c r="H390" s="107"/>
      <c r="I390" s="107"/>
      <c r="J390" s="107"/>
      <c r="K390" s="87"/>
      <c r="L390" s="85"/>
      <c r="M390" s="85"/>
      <c r="N390" s="107"/>
      <c r="O390" s="107"/>
      <c r="P390" s="107"/>
      <c r="Q390" s="107"/>
      <c r="R390" s="1"/>
      <c r="S390" s="1"/>
      <c r="T390" s="1"/>
      <c r="U390" s="1"/>
      <c r="V390" s="1"/>
      <c r="W390" s="1"/>
      <c r="X390" s="1"/>
      <c r="Y390" s="89" t="s">
        <v>11</v>
      </c>
      <c r="Z390" s="89" t="s">
        <v>12</v>
      </c>
      <c r="AA390" s="89" t="s">
        <v>13</v>
      </c>
      <c r="AB390" s="89" t="s">
        <v>14</v>
      </c>
      <c r="AC390" s="89" t="s">
        <v>15</v>
      </c>
      <c r="AD390" s="1"/>
      <c r="AE390" s="1"/>
    </row>
    <row r="391" spans="1:31" customFormat="1" ht="15" customHeight="1">
      <c r="A391" s="1"/>
      <c r="B391" s="1"/>
      <c r="C391" s="2"/>
      <c r="D391" s="122" t="str">
        <f xml:space="preserve"> '2.1 Model setup'!$K$65</f>
        <v>Lavlast</v>
      </c>
      <c r="E391" s="15"/>
      <c r="F391" s="116"/>
      <c r="G391" s="116"/>
      <c r="H391" s="116"/>
      <c r="I391" s="116"/>
      <c r="J391" s="116"/>
      <c r="K391" s="117" t="s">
        <v>4</v>
      </c>
      <c r="L391" s="123"/>
      <c r="M391" s="142"/>
      <c r="N391" s="116"/>
      <c r="O391" s="369"/>
      <c r="P391" s="369"/>
      <c r="Q391" s="369"/>
      <c r="R391" s="180" cm="1">
        <f t="array" ref="R391" xml:space="preserve"> SUMPRODUCT( -- ( '2.2 Generelle input'!R$360:R$383 = $D391 ), R$277:R$300 )</f>
        <v>8.2756979210508494E-2</v>
      </c>
      <c r="S391" s="180" cm="1">
        <f t="array" ref="S391" xml:space="preserve"> SUMPRODUCT( -- ( '2.2 Generelle input'!S$360:S$383 = $D391 ), S$277:S$300 )</f>
        <v>9.098833764467773E-2</v>
      </c>
      <c r="T391" s="180" cm="1">
        <f t="array" ref="T391" xml:space="preserve"> SUMPRODUCT( -- ( '2.2 Generelle input'!T$360:T$383 = $D391 ), T$277:T$300 )</f>
        <v>8.5930487795493546E-2</v>
      </c>
      <c r="U391" s="180" cm="1">
        <f t="array" ref="U391" xml:space="preserve"> SUMPRODUCT( -- ( '2.2 Generelle input'!U$360:U$383 = $D391 ), U$277:U$300 )</f>
        <v>7.4505110564303423E-2</v>
      </c>
      <c r="V391" s="180" cm="1">
        <f t="array" ref="V391" xml:space="preserve"> SUMPRODUCT( -- ( '2.2 Generelle input'!V$360:V$383 = $D391 ), V$277:V$300 )</f>
        <v>6.7089166330418282E-2</v>
      </c>
      <c r="W391" s="15"/>
      <c r="X391" s="1"/>
      <c r="Y391" s="180">
        <f t="shared" ref="Y391:AC393" si="37" xml:space="preserve"> R247 - R391</f>
        <v>-8.2756979210508494E-2</v>
      </c>
      <c r="Z391" s="180">
        <f t="shared" si="37"/>
        <v>-9.098833764467773E-2</v>
      </c>
      <c r="AA391" s="180">
        <f t="shared" si="37"/>
        <v>-8.5930487795493546E-2</v>
      </c>
      <c r="AB391" s="180">
        <f t="shared" si="37"/>
        <v>-7.4505110564303423E-2</v>
      </c>
      <c r="AC391" s="180">
        <f t="shared" si="37"/>
        <v>-6.7089166330418282E-2</v>
      </c>
      <c r="AD391" s="1"/>
      <c r="AE391" s="1"/>
    </row>
    <row r="392" spans="1:31" customFormat="1" ht="15" customHeight="1">
      <c r="A392" s="1"/>
      <c r="B392" s="1"/>
      <c r="C392" s="2"/>
      <c r="D392" s="124" t="str">
        <f xml:space="preserve"> '2.1 Model setup'!$K$66</f>
        <v>Højlast</v>
      </c>
      <c r="E392" s="1"/>
      <c r="F392" s="107"/>
      <c r="G392" s="107"/>
      <c r="H392" s="107"/>
      <c r="I392" s="107"/>
      <c r="J392" s="107"/>
      <c r="K392" s="87" t="s">
        <v>4</v>
      </c>
      <c r="L392" s="85"/>
      <c r="M392" s="119"/>
      <c r="N392" s="107"/>
      <c r="O392" s="370"/>
      <c r="P392" s="370"/>
      <c r="Q392" s="370"/>
      <c r="R392" s="181" cm="1">
        <f t="array" ref="R392" xml:space="preserve"> SUMPRODUCT( -- ( '2.2 Generelle input'!R$360:R$383 = $D392 ), R$277:R$300 )</f>
        <v>4.2471457075490826E-2</v>
      </c>
      <c r="S392" s="181" cm="1">
        <f t="array" ref="S392" xml:space="preserve"> SUMPRODUCT( -- ( '2.2 Generelle input'!S$360:S$383 = $D392 ), S$277:S$300 )</f>
        <v>4.474694887119935E-2</v>
      </c>
      <c r="T392" s="181" cm="1">
        <f t="array" ref="T392" xml:space="preserve"> SUMPRODUCT( -- ( '2.2 Generelle input'!T$360:T$383 = $D392 ), T$277:T$300 )</f>
        <v>4.3684005977467653E-2</v>
      </c>
      <c r="U392" s="181" cm="1">
        <f t="array" ref="U392" xml:space="preserve"> SUMPRODUCT( -- ( '2.2 Generelle input'!U$360:U$383 = $D392 ), U$277:U$300 )</f>
        <v>3.9084352751381043E-2</v>
      </c>
      <c r="V392" s="181" cm="1">
        <f t="array" ref="V392" xml:space="preserve"> SUMPRODUCT( -- ( '2.2 Generelle input'!V$360:V$383 = $D392 ), V$277:V$300 )</f>
        <v>0.23606956120026645</v>
      </c>
      <c r="W392" s="1"/>
      <c r="X392" s="1"/>
      <c r="Y392" s="181">
        <f t="shared" si="37"/>
        <v>-4.2471457075490826E-2</v>
      </c>
      <c r="Z392" s="181">
        <f t="shared" si="37"/>
        <v>-4.474694887119935E-2</v>
      </c>
      <c r="AA392" s="181">
        <f t="shared" si="37"/>
        <v>-4.3684005977467653E-2</v>
      </c>
      <c r="AB392" s="181">
        <f t="shared" si="37"/>
        <v>-3.9084352751381043E-2</v>
      </c>
      <c r="AC392" s="181">
        <f t="shared" si="37"/>
        <v>-0.23606956120026645</v>
      </c>
      <c r="AD392" s="1"/>
      <c r="AE392" s="1"/>
    </row>
    <row r="393" spans="1:31" customFormat="1" ht="15" customHeight="1">
      <c r="A393" s="1"/>
      <c r="B393" s="1"/>
      <c r="C393" s="2"/>
      <c r="D393" s="125" t="str">
        <f xml:space="preserve"> '2.1 Model setup'!$K$67</f>
        <v>Spidslast</v>
      </c>
      <c r="E393" s="27"/>
      <c r="F393" s="115"/>
      <c r="G393" s="115"/>
      <c r="H393" s="115"/>
      <c r="I393" s="115"/>
      <c r="J393" s="115"/>
      <c r="K393" s="98" t="s">
        <v>4</v>
      </c>
      <c r="L393" s="99" cm="1">
        <f t="array" ref="L393" xml:space="preserve"> -- ( SUMPRODUCT( -- ( ROUND( R391:V391 + R392:V392 + R393:V393, 5 ) &lt;&gt; ROUND( R301:V301, 5 ) ) ) &gt; 0 )</f>
        <v>0</v>
      </c>
      <c r="M393" s="151"/>
      <c r="N393" s="115"/>
      <c r="O393" s="368"/>
      <c r="P393" s="368"/>
      <c r="Q393" s="368"/>
      <c r="R393" s="182" cm="1">
        <f t="array" ref="R393" xml:space="preserve"> SUMPRODUCT( -- ( '2.2 Generelle input'!R$360:R$383 = $D393 ), R$277:R$300 )</f>
        <v>0.23326475889044879</v>
      </c>
      <c r="S393" s="182" cm="1">
        <f t="array" ref="S393" xml:space="preserve"> SUMPRODUCT( -- ( '2.2 Generelle input'!S$360:S$383 = $D393 ), S$277:S$300 )</f>
        <v>0.23530643104564983</v>
      </c>
      <c r="T393" s="182" cm="1">
        <f t="array" ref="T393" xml:space="preserve"> SUMPRODUCT( -- ( '2.2 Generelle input'!T$360:T$383 = $D393 ), T$277:T$300 )</f>
        <v>0.25122193629598449</v>
      </c>
      <c r="U393" s="182" cm="1">
        <f t="array" ref="U393" xml:space="preserve"> SUMPRODUCT( -- ( '2.2 Generelle input'!U$360:U$383 = $D393 ), U$277:U$300 )</f>
        <v>0.2745975472524772</v>
      </c>
      <c r="V393" s="182" cm="1">
        <f t="array" ref="V393" xml:space="preserve"> SUMPRODUCT( -- ( '2.2 Generelle input'!V$360:V$383 = $D393 ), V$277:V$300 )</f>
        <v>8.3003769535555535E-2</v>
      </c>
      <c r="W393" s="27"/>
      <c r="X393" s="1"/>
      <c r="Y393" s="182">
        <f t="shared" si="37"/>
        <v>-0.23326475889044879</v>
      </c>
      <c r="Z393" s="182">
        <f t="shared" si="37"/>
        <v>-0.23530643104564983</v>
      </c>
      <c r="AA393" s="182">
        <f t="shared" si="37"/>
        <v>-0.25122193629598449</v>
      </c>
      <c r="AB393" s="182">
        <f t="shared" si="37"/>
        <v>-0.2745975472524772</v>
      </c>
      <c r="AC393" s="182">
        <f t="shared" si="37"/>
        <v>-8.3003769535555535E-2</v>
      </c>
      <c r="AD393" s="1"/>
      <c r="AE393" s="1"/>
    </row>
    <row r="394" spans="1:31" customFormat="1" ht="15" customHeight="1">
      <c r="A394" s="1"/>
      <c r="B394" s="1"/>
      <c r="C394" s="2"/>
      <c r="D394" s="124"/>
      <c r="E394" s="1"/>
      <c r="F394" s="107"/>
      <c r="G394" s="107"/>
      <c r="H394" s="107"/>
      <c r="I394" s="107"/>
      <c r="J394" s="107"/>
      <c r="K394" s="87"/>
      <c r="L394" s="85"/>
      <c r="M394" s="119"/>
      <c r="N394" s="107"/>
      <c r="O394" s="181"/>
      <c r="P394" s="181"/>
      <c r="Q394" s="181"/>
      <c r="R394" s="181"/>
      <c r="S394" s="181"/>
      <c r="T394" s="181"/>
      <c r="U394" s="181"/>
      <c r="V394" s="181"/>
      <c r="W394" s="1"/>
      <c r="X394" s="1"/>
      <c r="Y394" s="181"/>
      <c r="Z394" s="181"/>
      <c r="AA394" s="181"/>
      <c r="AB394" s="181"/>
      <c r="AC394" s="181"/>
      <c r="AD394" s="1"/>
      <c r="AE394" s="1"/>
    </row>
    <row r="395" spans="1:31" customFormat="1" ht="15" customHeight="1">
      <c r="A395" s="1"/>
      <c r="B395" s="1"/>
      <c r="C395" s="2"/>
      <c r="D395" s="124"/>
      <c r="E395" s="1"/>
      <c r="F395" s="107"/>
      <c r="G395" s="107"/>
      <c r="H395" s="107"/>
      <c r="I395" s="107"/>
      <c r="J395" s="107"/>
      <c r="K395" s="87"/>
      <c r="L395" s="85"/>
      <c r="M395" s="119"/>
      <c r="N395" s="107"/>
      <c r="O395" s="181"/>
      <c r="P395" s="181"/>
      <c r="Q395" s="181"/>
      <c r="R395" s="181"/>
      <c r="S395" s="181"/>
      <c r="T395" s="181"/>
      <c r="U395" s="181"/>
      <c r="V395" s="181"/>
      <c r="W395" s="1"/>
      <c r="X395" s="1"/>
      <c r="Y395" s="447" t="s">
        <v>541</v>
      </c>
      <c r="Z395" s="181"/>
      <c r="AA395" s="181"/>
      <c r="AB395" s="181"/>
      <c r="AC395" s="181"/>
      <c r="AD395" s="1"/>
      <c r="AE395" s="1"/>
    </row>
    <row r="396" spans="1:31" customFormat="1" ht="15" customHeight="1">
      <c r="A396" s="1"/>
      <c r="B396" s="1"/>
      <c r="C396" s="2"/>
      <c r="D396" s="88" t="s">
        <v>533</v>
      </c>
      <c r="E396" s="1"/>
      <c r="F396" s="107"/>
      <c r="G396" s="107"/>
      <c r="H396" s="107"/>
      <c r="I396" s="107"/>
      <c r="J396" s="107"/>
      <c r="K396" s="87"/>
      <c r="L396" s="85"/>
      <c r="M396" s="85"/>
      <c r="N396" s="107"/>
      <c r="O396" s="107"/>
      <c r="P396" s="107"/>
      <c r="Q396" s="107"/>
      <c r="R396" s="1"/>
      <c r="S396" s="1"/>
      <c r="T396" s="1"/>
      <c r="U396" s="1"/>
      <c r="V396" s="1"/>
      <c r="W396" s="1"/>
      <c r="X396" s="1"/>
      <c r="Y396" s="89" t="s">
        <v>11</v>
      </c>
      <c r="Z396" s="89" t="s">
        <v>12</v>
      </c>
      <c r="AA396" s="89" t="s">
        <v>13</v>
      </c>
      <c r="AB396" s="89" t="s">
        <v>14</v>
      </c>
      <c r="AC396" s="89" t="s">
        <v>15</v>
      </c>
      <c r="AD396" s="1"/>
      <c r="AE396" s="1"/>
    </row>
    <row r="397" spans="1:31" customFormat="1" ht="15" customHeight="1">
      <c r="A397" s="1"/>
      <c r="B397" s="1"/>
      <c r="C397" s="2"/>
      <c r="D397" s="122" t="str">
        <f xml:space="preserve"> '2.1 Model setup'!$K$65</f>
        <v>Lavlast</v>
      </c>
      <c r="E397" s="15"/>
      <c r="F397" s="116"/>
      <c r="G397" s="116"/>
      <c r="H397" s="116"/>
      <c r="I397" s="116"/>
      <c r="J397" s="116"/>
      <c r="K397" s="117" t="s">
        <v>4</v>
      </c>
      <c r="L397" s="123"/>
      <c r="M397" s="142"/>
      <c r="N397" s="116"/>
      <c r="O397" s="369"/>
      <c r="P397" s="369"/>
      <c r="Q397" s="369"/>
      <c r="R397" s="180" cm="1">
        <f t="array" ref="R397" xml:space="preserve"> SUMPRODUCT( -- ( '2.2 Generelle input'!R$386:R$409 = $D397 ), R$305:R$328 )</f>
        <v>7.4059024360410994E-2</v>
      </c>
      <c r="S397" s="180" cm="1">
        <f t="array" ref="S397" xml:space="preserve"> SUMPRODUCT( -- ( '2.2 Generelle input'!S$386:S$409 = $D397 ), S$305:S$328 )</f>
        <v>8.4271017475141555E-2</v>
      </c>
      <c r="T397" s="180" cm="1">
        <f t="array" ref="T397" xml:space="preserve"> SUMPRODUCT( -- ( '2.2 Generelle input'!T$386:T$409 = $D397 ), T$305:T$328 )</f>
        <v>7.8355393559582986E-2</v>
      </c>
      <c r="U397" s="180" cm="1">
        <f t="array" ref="U397" xml:space="preserve"> SUMPRODUCT( -- ( '2.2 Generelle input'!U$386:U$409 = $D397 ), U$305:U$328 )</f>
        <v>6.944991890339472E-2</v>
      </c>
      <c r="V397" s="180" cm="1">
        <f t="array" ref="V397" xml:space="preserve"> SUMPRODUCT( -- ( '2.2 Generelle input'!V$386:V$409 = $D397 ), V$305:V$328 )</f>
        <v>5.3274223895407216E-2</v>
      </c>
      <c r="W397" s="15"/>
      <c r="X397" s="1"/>
      <c r="Y397" s="180">
        <f t="shared" ref="Y397:AC399" si="38" xml:space="preserve"> R252 - R397</f>
        <v>-7.4059024360410994E-2</v>
      </c>
      <c r="Z397" s="180">
        <f t="shared" si="38"/>
        <v>-8.4271017475141555E-2</v>
      </c>
      <c r="AA397" s="180">
        <f t="shared" si="38"/>
        <v>-7.8355393559582986E-2</v>
      </c>
      <c r="AB397" s="180">
        <f t="shared" si="38"/>
        <v>-6.944991890339472E-2</v>
      </c>
      <c r="AC397" s="180">
        <f t="shared" si="38"/>
        <v>-5.3274223895407216E-2</v>
      </c>
      <c r="AD397" s="1"/>
      <c r="AE397" s="1"/>
    </row>
    <row r="398" spans="1:31" customFormat="1" ht="15" customHeight="1">
      <c r="A398" s="1"/>
      <c r="B398" s="1"/>
      <c r="C398" s="2"/>
      <c r="D398" s="124" t="str">
        <f xml:space="preserve"> '2.1 Model setup'!$K$66</f>
        <v>Højlast</v>
      </c>
      <c r="E398" s="1"/>
      <c r="F398" s="107"/>
      <c r="G398" s="107"/>
      <c r="H398" s="107"/>
      <c r="I398" s="107"/>
      <c r="J398" s="107"/>
      <c r="K398" s="87" t="s">
        <v>4</v>
      </c>
      <c r="L398" s="85"/>
      <c r="M398" s="119"/>
      <c r="N398" s="107"/>
      <c r="O398" s="370"/>
      <c r="P398" s="370"/>
      <c r="Q398" s="370"/>
      <c r="R398" s="181" cm="1">
        <f t="array" ref="R398" xml:space="preserve"> SUMPRODUCT( -- ( '2.2 Generelle input'!R$386:R$409 = $D398 ), R$305:R$328 )</f>
        <v>0.26105455927598781</v>
      </c>
      <c r="S398" s="181" cm="1">
        <f t="array" ref="S398" xml:space="preserve"> SUMPRODUCT( -- ( '2.2 Generelle input'!S$386:S$409 = $D398 ), S$305:S$328 )</f>
        <v>0.26402166142618799</v>
      </c>
      <c r="T398" s="181" cm="1">
        <f t="array" ref="T398" xml:space="preserve"> SUMPRODUCT( -- ( '2.2 Generelle input'!T$386:T$409 = $D398 ), T$305:T$328 )</f>
        <v>0.27153911800475455</v>
      </c>
      <c r="U398" s="181" cm="1">
        <f t="array" ref="U398" xml:space="preserve"> SUMPRODUCT( -- ( '2.2 Generelle input'!U$386:U$409 = $D398 ), U$305:U$328 )</f>
        <v>0.29090611700797675</v>
      </c>
      <c r="V398" s="181" cm="1">
        <f t="array" ref="V398" xml:space="preserve"> SUMPRODUCT( -- ( '2.2 Generelle input'!V$386:V$409 = $D398 ), V$305:V$328 )</f>
        <v>0.18696828460750564</v>
      </c>
      <c r="W398" s="1"/>
      <c r="X398" s="1"/>
      <c r="Y398" s="181">
        <f t="shared" si="38"/>
        <v>-0.26105455927598781</v>
      </c>
      <c r="Z398" s="181">
        <f t="shared" si="38"/>
        <v>-0.26402166142618799</v>
      </c>
      <c r="AA398" s="181">
        <f t="shared" si="38"/>
        <v>-0.27153911800475455</v>
      </c>
      <c r="AB398" s="181">
        <f t="shared" si="38"/>
        <v>-0.29090611700797675</v>
      </c>
      <c r="AC398" s="181">
        <f t="shared" si="38"/>
        <v>-0.18696828460750564</v>
      </c>
      <c r="AD398" s="1"/>
      <c r="AE398" s="1"/>
    </row>
    <row r="399" spans="1:31" customFormat="1" ht="15" customHeight="1">
      <c r="A399" s="1"/>
      <c r="B399" s="1"/>
      <c r="C399" s="2"/>
      <c r="D399" s="125" t="str">
        <f xml:space="preserve"> '2.1 Model setup'!$K$67</f>
        <v>Spidslast</v>
      </c>
      <c r="E399" s="27"/>
      <c r="F399" s="115"/>
      <c r="G399" s="115"/>
      <c r="H399" s="115"/>
      <c r="I399" s="115"/>
      <c r="J399" s="115"/>
      <c r="K399" s="98" t="s">
        <v>4</v>
      </c>
      <c r="L399" s="99" cm="1">
        <f t="array" ref="L399" xml:space="preserve"> -- ( SUMPRODUCT( -- ( ROUND( R397:V397 + R398:V398 + R399:V399, 5 ) &lt;&gt; ROUND( R329:V329, 5 ) ) ) &gt; 0 )</f>
        <v>0</v>
      </c>
      <c r="M399" s="151"/>
      <c r="N399" s="115"/>
      <c r="O399" s="368"/>
      <c r="P399" s="368"/>
      <c r="Q399" s="368"/>
      <c r="R399" s="182" cm="1">
        <f t="array" ref="R399" xml:space="preserve"> SUMPRODUCT( -- ( '2.2 Generelle input'!R$386:R$409 = $D399 ), R$305:R$328 )</f>
        <v>0</v>
      </c>
      <c r="S399" s="182" cm="1">
        <f t="array" ref="S399" xml:space="preserve"> SUMPRODUCT( -- ( '2.2 Generelle input'!S$386:S$409 = $D399 ), S$305:S$328 )</f>
        <v>0</v>
      </c>
      <c r="T399" s="182" cm="1">
        <f t="array" ref="T399" xml:space="preserve"> SUMPRODUCT( -- ( '2.2 Generelle input'!T$386:T$409 = $D399 ), T$305:T$328 )</f>
        <v>0</v>
      </c>
      <c r="U399" s="182" cm="1">
        <f t="array" ref="U399" xml:space="preserve"> SUMPRODUCT( -- ( '2.2 Generelle input'!U$386:U$409 = $D399 ), U$305:U$328 )</f>
        <v>0</v>
      </c>
      <c r="V399" s="182" cm="1">
        <f t="array" ref="V399" xml:space="preserve"> SUMPRODUCT( -- ( '2.2 Generelle input'!V$386:V$409 = $D399 ), V$305:V$328 )</f>
        <v>6.1171623673772116E-2</v>
      </c>
      <c r="W399" s="27"/>
      <c r="X399" s="1"/>
      <c r="Y399" s="182">
        <f t="shared" si="38"/>
        <v>0</v>
      </c>
      <c r="Z399" s="182">
        <f t="shared" si="38"/>
        <v>0</v>
      </c>
      <c r="AA399" s="182">
        <f t="shared" si="38"/>
        <v>0</v>
      </c>
      <c r="AB399" s="182">
        <f t="shared" si="38"/>
        <v>0</v>
      </c>
      <c r="AC399" s="182">
        <f t="shared" si="38"/>
        <v>-6.1171623673772116E-2</v>
      </c>
      <c r="AD399" s="1"/>
      <c r="AE399" s="1"/>
    </row>
    <row r="400" spans="1:31" customFormat="1" ht="15" customHeight="1">
      <c r="A400" s="1"/>
      <c r="B400" s="1"/>
      <c r="C400" s="2"/>
      <c r="D400" s="124"/>
      <c r="E400" s="1"/>
      <c r="F400" s="107"/>
      <c r="G400" s="107"/>
      <c r="H400" s="107"/>
      <c r="I400" s="107"/>
      <c r="J400" s="107"/>
      <c r="K400" s="87"/>
      <c r="L400" s="85"/>
      <c r="M400" s="119"/>
      <c r="N400" s="107"/>
      <c r="O400" s="181"/>
      <c r="P400" s="181"/>
      <c r="Q400" s="181"/>
      <c r="R400" s="181"/>
      <c r="S400" s="181"/>
      <c r="T400" s="181"/>
      <c r="U400" s="181"/>
      <c r="V400" s="181"/>
      <c r="W400" s="1"/>
      <c r="X400" s="1"/>
      <c r="Y400" s="181"/>
      <c r="Z400" s="181"/>
      <c r="AA400" s="181"/>
      <c r="AB400" s="181"/>
      <c r="AC400" s="181"/>
      <c r="AD400" s="1"/>
      <c r="AE400" s="1"/>
    </row>
    <row r="401" spans="1:31" customFormat="1" ht="15" customHeight="1">
      <c r="A401" s="1"/>
      <c r="B401" s="1"/>
      <c r="C401" s="2"/>
      <c r="D401" s="124"/>
      <c r="E401" s="1"/>
      <c r="F401" s="107"/>
      <c r="G401" s="107"/>
      <c r="H401" s="107"/>
      <c r="I401" s="107"/>
      <c r="J401" s="107"/>
      <c r="K401" s="87"/>
      <c r="L401" s="85"/>
      <c r="M401" s="119"/>
      <c r="N401" s="107"/>
      <c r="O401" s="181"/>
      <c r="P401" s="181"/>
      <c r="Q401" s="181"/>
      <c r="R401" s="181"/>
      <c r="S401" s="181"/>
      <c r="T401" s="181"/>
      <c r="U401" s="181"/>
      <c r="V401" s="181"/>
      <c r="W401" s="1"/>
      <c r="X401" s="1"/>
      <c r="Y401" s="447" t="s">
        <v>530</v>
      </c>
      <c r="Z401" s="181"/>
      <c r="AA401" s="181"/>
      <c r="AB401" s="181"/>
      <c r="AC401" s="181"/>
      <c r="AD401" s="1"/>
      <c r="AE401" s="1"/>
    </row>
    <row r="402" spans="1:31" customFormat="1" ht="15" customHeight="1">
      <c r="A402" s="1"/>
      <c r="B402" s="1"/>
      <c r="C402" s="2"/>
      <c r="D402" s="88" t="s">
        <v>534</v>
      </c>
      <c r="E402" s="1"/>
      <c r="F402" s="107"/>
      <c r="G402" s="107"/>
      <c r="H402" s="107"/>
      <c r="I402" s="107"/>
      <c r="J402" s="107"/>
      <c r="K402" s="87"/>
      <c r="L402" s="85"/>
      <c r="M402" s="85"/>
      <c r="N402" s="107"/>
      <c r="O402" s="107"/>
      <c r="P402" s="107"/>
      <c r="Q402" s="107"/>
      <c r="R402" s="1"/>
      <c r="S402" s="1"/>
      <c r="T402" s="1"/>
      <c r="U402" s="1"/>
      <c r="V402" s="1"/>
      <c r="W402" s="1"/>
      <c r="X402" s="1"/>
      <c r="Y402" s="89" t="s">
        <v>11</v>
      </c>
      <c r="Z402" s="89" t="s">
        <v>12</v>
      </c>
      <c r="AA402" s="89" t="s">
        <v>13</v>
      </c>
      <c r="AB402" s="89" t="s">
        <v>14</v>
      </c>
      <c r="AC402" s="89" t="s">
        <v>15</v>
      </c>
      <c r="AD402" s="1"/>
      <c r="AE402" s="1"/>
    </row>
    <row r="403" spans="1:31" customFormat="1" ht="15" customHeight="1">
      <c r="A403" s="1"/>
      <c r="B403" s="1"/>
      <c r="C403" s="2"/>
      <c r="D403" s="122" t="str">
        <f xml:space="preserve"> '2.1 Model setup'!$K$65</f>
        <v>Lavlast</v>
      </c>
      <c r="E403" s="15"/>
      <c r="F403" s="116"/>
      <c r="G403" s="116"/>
      <c r="H403" s="116"/>
      <c r="I403" s="116"/>
      <c r="J403" s="116"/>
      <c r="K403" s="117" t="s">
        <v>4</v>
      </c>
      <c r="L403" s="123"/>
      <c r="M403" s="142"/>
      <c r="N403" s="116"/>
      <c r="O403" s="369"/>
      <c r="P403" s="369"/>
      <c r="Q403" s="369"/>
      <c r="R403" s="180" cm="1">
        <f t="array" ref="R403" xml:space="preserve"> SUMPRODUCT( -- ( '2.2 Generelle input'!R$412:R$435 = $D403 ), R$333:R$356 )</f>
        <v>3.9947272327301386E-2</v>
      </c>
      <c r="S403" s="180" cm="1">
        <f t="array" ref="S403" xml:space="preserve"> SUMPRODUCT( -- ( '2.2 Generelle input'!S$412:S$435 = $D403 ), S$333:S$356 )</f>
        <v>3.4306106076503744E-2</v>
      </c>
      <c r="T403" s="180" cm="1">
        <f t="array" ref="T403" xml:space="preserve"> SUMPRODUCT( -- ( '2.2 Generelle input'!T$412:T$435 = $D403 ), T$333:T$356 )</f>
        <v>3.3542117039715227E-2</v>
      </c>
      <c r="U403" s="180" cm="1">
        <f t="array" ref="U403" xml:space="preserve"> SUMPRODUCT( -- ( '2.2 Generelle input'!U$412:U$435 = $D403 ), U$333:U$356 )</f>
        <v>2.816246235652509E-2</v>
      </c>
      <c r="V403" s="180" cm="1">
        <f t="array" ref="V403" xml:space="preserve"> SUMPRODUCT( -- ( '2.2 Generelle input'!V$412:V$435 = $D403 ), V$333:V$356 )</f>
        <v>3.1133431169475669E-2</v>
      </c>
      <c r="W403" s="15"/>
      <c r="X403" s="1"/>
      <c r="Y403" s="180">
        <f t="shared" ref="Y403:AC405" si="39" xml:space="preserve"> R257 - R403</f>
        <v>-3.9947272327301386E-2</v>
      </c>
      <c r="Z403" s="180">
        <f t="shared" si="39"/>
        <v>-3.4306106076503744E-2</v>
      </c>
      <c r="AA403" s="180">
        <f t="shared" si="39"/>
        <v>-3.3542117039715227E-2</v>
      </c>
      <c r="AB403" s="180">
        <f t="shared" si="39"/>
        <v>-2.816246235652509E-2</v>
      </c>
      <c r="AC403" s="180">
        <f t="shared" si="39"/>
        <v>-3.1133431169475669E-2</v>
      </c>
      <c r="AD403" s="1"/>
      <c r="AE403" s="1"/>
    </row>
    <row r="404" spans="1:31" customFormat="1" ht="15" customHeight="1">
      <c r="A404" s="1"/>
      <c r="B404" s="1"/>
      <c r="C404" s="2"/>
      <c r="D404" s="124" t="str">
        <f xml:space="preserve"> '2.1 Model setup'!$K$66</f>
        <v>Højlast</v>
      </c>
      <c r="E404" s="1"/>
      <c r="F404" s="107"/>
      <c r="G404" s="107"/>
      <c r="H404" s="107"/>
      <c r="I404" s="107"/>
      <c r="J404" s="107"/>
      <c r="K404" s="87" t="s">
        <v>4</v>
      </c>
      <c r="L404" s="85"/>
      <c r="M404" s="119"/>
      <c r="N404" s="107"/>
      <c r="O404" s="370"/>
      <c r="P404" s="370"/>
      <c r="Q404" s="370"/>
      <c r="R404" s="181" cm="1">
        <f t="array" ref="R404" xml:space="preserve"> SUMPRODUCT( -- ( '2.2 Generelle input'!R$412:R$435 = $D404 ), R$333:R$356 )</f>
        <v>0.1151032280002072</v>
      </c>
      <c r="S404" s="181" cm="1">
        <f t="array" ref="S404" xml:space="preserve"> SUMPRODUCT( -- ( '2.2 Generelle input'!S$412:S$435 = $D404 ), S$333:S$356 )</f>
        <v>0.10291565036557522</v>
      </c>
      <c r="T404" s="181" cm="1">
        <f t="array" ref="T404" xml:space="preserve"> SUMPRODUCT( -- ( '2.2 Generelle input'!T$412:T$435 = $D404 ), T$333:T$356 )</f>
        <v>0.10202984499322107</v>
      </c>
      <c r="U404" s="181" cm="1">
        <f t="array" ref="U404" xml:space="preserve"> SUMPRODUCT( -- ( '2.2 Generelle input'!U$412:U$435 = $D404 ), U$333:U$356 )</f>
        <v>9.6107992996124908E-2</v>
      </c>
      <c r="V404" s="181" cm="1">
        <f t="array" ref="V404" xml:space="preserve"> SUMPRODUCT( -- ( '2.2 Generelle input'!V$412:V$435 = $D404 ), V$333:V$356 )</f>
        <v>0.10225079249976389</v>
      </c>
      <c r="W404" s="1"/>
      <c r="X404" s="1"/>
      <c r="Y404" s="181">
        <f t="shared" si="39"/>
        <v>-0.1151032280002072</v>
      </c>
      <c r="Z404" s="181">
        <f t="shared" si="39"/>
        <v>-0.10291565036557522</v>
      </c>
      <c r="AA404" s="181">
        <f t="shared" si="39"/>
        <v>-0.10202984499322107</v>
      </c>
      <c r="AB404" s="181">
        <f t="shared" si="39"/>
        <v>-9.6107992996124908E-2</v>
      </c>
      <c r="AC404" s="181">
        <f t="shared" si="39"/>
        <v>-0.10225079249976389</v>
      </c>
      <c r="AD404" s="1"/>
      <c r="AE404" s="1"/>
    </row>
    <row r="405" spans="1:31" customFormat="1" ht="15" customHeight="1">
      <c r="A405" s="1"/>
      <c r="B405" s="1"/>
      <c r="C405" s="2"/>
      <c r="D405" s="125" t="str">
        <f xml:space="preserve"> '2.1 Model setup'!$K$67</f>
        <v>Spidslast</v>
      </c>
      <c r="E405" s="27"/>
      <c r="F405" s="115"/>
      <c r="G405" s="115"/>
      <c r="H405" s="115"/>
      <c r="I405" s="115"/>
      <c r="J405" s="115"/>
      <c r="K405" s="98" t="s">
        <v>4</v>
      </c>
      <c r="L405" s="99" cm="1">
        <f t="array" ref="L405" xml:space="preserve"> -- ( SUMPRODUCT( -- ( ROUND( R403:V403 + R404:V404 + R405:V405, 5 ) &lt;&gt; ROUND( R357:V357, 5 ) ) ) &gt; 0 )</f>
        <v>0</v>
      </c>
      <c r="M405" s="151"/>
      <c r="N405" s="115"/>
      <c r="O405" s="368"/>
      <c r="P405" s="368"/>
      <c r="Q405" s="368"/>
      <c r="R405" s="182" cm="1">
        <f t="array" ref="R405" xml:space="preserve"> SUMPRODUCT( -- ( '2.2 Generelle input'!R$412:R$435 = $D405 ), R$333:R$356 )</f>
        <v>0</v>
      </c>
      <c r="S405" s="182" cm="1">
        <f t="array" ref="S405" xml:space="preserve"> SUMPRODUCT( -- ( '2.2 Generelle input'!S$412:S$435 = $D405 ), S$333:S$356 )</f>
        <v>0</v>
      </c>
      <c r="T405" s="182" cm="1">
        <f t="array" ref="T405" xml:space="preserve"> SUMPRODUCT( -- ( '2.2 Generelle input'!T$412:T$435 = $D405 ), T$333:T$356 )</f>
        <v>0</v>
      </c>
      <c r="U405" s="182" cm="1">
        <f t="array" ref="U405" xml:space="preserve"> SUMPRODUCT( -- ( '2.2 Generelle input'!U$412:U$435 = $D405 ), U$333:U$356 )</f>
        <v>0</v>
      </c>
      <c r="V405" s="182" cm="1">
        <f t="array" ref="V405" xml:space="preserve"> SUMPRODUCT( -- ( '2.2 Generelle input'!V$412:V$435 = $D405 ), V$333:V$356 )</f>
        <v>3.6768057904240106E-2</v>
      </c>
      <c r="W405" s="27"/>
      <c r="X405" s="1"/>
      <c r="Y405" s="182">
        <f t="shared" si="39"/>
        <v>0</v>
      </c>
      <c r="Z405" s="182">
        <f t="shared" si="39"/>
        <v>0</v>
      </c>
      <c r="AA405" s="182">
        <f t="shared" si="39"/>
        <v>0</v>
      </c>
      <c r="AB405" s="182">
        <f t="shared" si="39"/>
        <v>0</v>
      </c>
      <c r="AC405" s="182">
        <f t="shared" si="39"/>
        <v>-3.6768057904240106E-2</v>
      </c>
      <c r="AD405" s="1"/>
      <c r="AE405" s="1"/>
    </row>
    <row r="406" spans="1:31" customFormat="1" ht="15" customHeight="1">
      <c r="A406" s="1"/>
      <c r="B406" s="1"/>
      <c r="C406" s="2"/>
      <c r="D406" s="124"/>
      <c r="E406" s="1"/>
      <c r="F406" s="107"/>
      <c r="G406" s="107"/>
      <c r="H406" s="107"/>
      <c r="I406" s="107"/>
      <c r="J406" s="107"/>
      <c r="K406" s="87"/>
      <c r="L406" s="85"/>
      <c r="M406" s="119"/>
      <c r="N406" s="107"/>
      <c r="O406" s="181"/>
      <c r="P406" s="181"/>
      <c r="Q406" s="181"/>
      <c r="R406" s="181"/>
      <c r="S406" s="181"/>
      <c r="T406" s="181"/>
      <c r="U406" s="181"/>
      <c r="V406" s="181"/>
      <c r="W406" s="1"/>
      <c r="X406" s="1"/>
      <c r="AD406" s="1"/>
      <c r="AE406" s="1"/>
    </row>
    <row r="407" spans="1:31" customFormat="1" ht="15" customHeight="1">
      <c r="A407" s="1"/>
      <c r="B407" s="1"/>
      <c r="C407" s="2"/>
      <c r="D407" s="124"/>
      <c r="E407" s="1"/>
      <c r="F407" s="107"/>
      <c r="G407" s="107"/>
      <c r="H407" s="107"/>
      <c r="I407" s="107"/>
      <c r="J407" s="107"/>
      <c r="K407" s="87"/>
      <c r="L407" s="85"/>
      <c r="M407" s="119"/>
      <c r="N407" s="107"/>
      <c r="O407" s="181"/>
      <c r="P407" s="181"/>
      <c r="Q407" s="181"/>
      <c r="R407" s="181"/>
      <c r="S407" s="181"/>
      <c r="T407" s="181"/>
      <c r="U407" s="181"/>
      <c r="V407" s="181"/>
      <c r="W407" s="1"/>
      <c r="X407" s="1"/>
      <c r="Y407" s="447" t="s">
        <v>541</v>
      </c>
      <c r="Z407" s="181"/>
      <c r="AA407" s="181"/>
      <c r="AB407" s="181"/>
      <c r="AC407" s="181"/>
      <c r="AD407" s="1"/>
      <c r="AE407" s="1"/>
    </row>
    <row r="408" spans="1:31" customFormat="1" ht="15" customHeight="1">
      <c r="A408" s="1"/>
      <c r="B408" s="1"/>
      <c r="C408" s="2"/>
      <c r="D408" s="88" t="s">
        <v>535</v>
      </c>
      <c r="E408" s="1"/>
      <c r="F408" s="107"/>
      <c r="G408" s="107"/>
      <c r="H408" s="107"/>
      <c r="I408" s="107"/>
      <c r="J408" s="107"/>
      <c r="K408" s="87"/>
      <c r="L408" s="85"/>
      <c r="M408" s="85"/>
      <c r="N408" s="107"/>
      <c r="O408" s="107"/>
      <c r="P408" s="107"/>
      <c r="Q408" s="107"/>
      <c r="R408" s="1"/>
      <c r="S408" s="1"/>
      <c r="T408" s="1"/>
      <c r="U408" s="1"/>
      <c r="V408" s="1"/>
      <c r="W408" s="1"/>
      <c r="X408" s="1"/>
      <c r="Y408" s="89" t="s">
        <v>11</v>
      </c>
      <c r="Z408" s="89" t="s">
        <v>12</v>
      </c>
      <c r="AA408" s="89" t="s">
        <v>13</v>
      </c>
      <c r="AB408" s="89" t="s">
        <v>14</v>
      </c>
      <c r="AC408" s="89" t="s">
        <v>15</v>
      </c>
      <c r="AD408" s="1"/>
      <c r="AE408" s="1"/>
    </row>
    <row r="409" spans="1:31" customFormat="1" ht="15" customHeight="1">
      <c r="A409" s="1"/>
      <c r="B409" s="1"/>
      <c r="C409" s="2"/>
      <c r="D409" s="122" t="str">
        <f xml:space="preserve"> '2.1 Model setup'!$K$65</f>
        <v>Lavlast</v>
      </c>
      <c r="E409" s="15"/>
      <c r="F409" s="116"/>
      <c r="G409" s="116"/>
      <c r="H409" s="116"/>
      <c r="I409" s="116"/>
      <c r="J409" s="116"/>
      <c r="K409" s="117" t="s">
        <v>4</v>
      </c>
      <c r="L409" s="123"/>
      <c r="M409" s="142"/>
      <c r="N409" s="116"/>
      <c r="O409" s="369"/>
      <c r="P409" s="369"/>
      <c r="Q409" s="369"/>
      <c r="R409" s="180" cm="1">
        <f t="array" ref="R409" xml:space="preserve"> SUMPRODUCT( -- ( '2.2 Generelle input'!R$438:R$461 = $D409 ), R$361:R$384 )</f>
        <v>0.15134272085964406</v>
      </c>
      <c r="S409" s="180" cm="1">
        <f t="array" ref="S409" xml:space="preserve"> SUMPRODUCT( -- ( '2.2 Generelle input'!S$438:S$461 = $D409 ), S$361:S$384 )</f>
        <v>0.14344384709506461</v>
      </c>
      <c r="T409" s="180" cm="1">
        <f t="array" ref="T409" xml:space="preserve"> SUMPRODUCT( -- ( '2.2 Generelle input'!T$438:T$461 = $D409 ), T$361:T$384 )</f>
        <v>0.13369709633378035</v>
      </c>
      <c r="U409" s="180" cm="1">
        <f t="array" ref="U409" xml:space="preserve"> SUMPRODUCT( -- ( '2.2 Generelle input'!U$438:U$461 = $D409 ), U$361:U$384 )</f>
        <v>0.12718649816781658</v>
      </c>
      <c r="V409" s="180" cm="1">
        <f t="array" ref="V409" xml:space="preserve"> SUMPRODUCT( -- ( '2.2 Generelle input'!V$438:V$461 = $D409 ), V$361:V$384 )</f>
        <v>2.6560625196181679E-2</v>
      </c>
      <c r="W409" s="15"/>
      <c r="X409" s="1"/>
      <c r="Y409" s="180">
        <f t="shared" ref="Y409:AC411" si="40" xml:space="preserve"> R262 - R409</f>
        <v>-0.15134272085964406</v>
      </c>
      <c r="Z409" s="180">
        <f t="shared" si="40"/>
        <v>-0.14344384709506461</v>
      </c>
      <c r="AA409" s="180">
        <f t="shared" si="40"/>
        <v>-0.13369709633378035</v>
      </c>
      <c r="AB409" s="180">
        <f t="shared" si="40"/>
        <v>-0.12718649816781658</v>
      </c>
      <c r="AC409" s="180">
        <f t="shared" si="40"/>
        <v>-2.6560625196181679E-2</v>
      </c>
      <c r="AD409" s="1"/>
      <c r="AE409" s="1"/>
    </row>
    <row r="410" spans="1:31" customFormat="1" ht="15" customHeight="1">
      <c r="A410" s="1"/>
      <c r="B410" s="1"/>
      <c r="C410" s="2"/>
      <c r="D410" s="124" t="str">
        <f xml:space="preserve"> '2.1 Model setup'!$K$66</f>
        <v>Højlast</v>
      </c>
      <c r="E410" s="1"/>
      <c r="F410" s="107"/>
      <c r="G410" s="107"/>
      <c r="H410" s="107"/>
      <c r="I410" s="107"/>
      <c r="J410" s="107"/>
      <c r="K410" s="87" t="s">
        <v>4</v>
      </c>
      <c r="L410" s="85"/>
      <c r="M410" s="119"/>
      <c r="N410" s="107"/>
      <c r="O410" s="370"/>
      <c r="P410" s="370"/>
      <c r="Q410" s="370"/>
      <c r="R410" s="181" cm="1">
        <f t="array" ref="R410" xml:space="preserve"> SUMPRODUCT( -- ( '2.2 Generelle input'!R$438:R$461 = $D410 ), R$361:R$384 )</f>
        <v>0</v>
      </c>
      <c r="S410" s="181" cm="1">
        <f t="array" ref="S410" xml:space="preserve"> SUMPRODUCT( -- ( '2.2 Generelle input'!S$438:S$461 = $D410 ), S$361:S$384 )</f>
        <v>0</v>
      </c>
      <c r="T410" s="181" cm="1">
        <f t="array" ref="T410" xml:space="preserve"> SUMPRODUCT( -- ( '2.2 Generelle input'!T$438:T$461 = $D410 ), T$361:T$384 )</f>
        <v>0</v>
      </c>
      <c r="U410" s="181" cm="1">
        <f t="array" ref="U410" xml:space="preserve"> SUMPRODUCT( -- ( '2.2 Generelle input'!U$438:U$461 = $D410 ), U$361:U$384 )</f>
        <v>0</v>
      </c>
      <c r="V410" s="181" cm="1">
        <f t="array" ref="V410" xml:space="preserve"> SUMPRODUCT( -- ( '2.2 Generelle input'!V$438:V$461 = $D410 ), V$361:V$384 )</f>
        <v>8.6420224099359039E-2</v>
      </c>
      <c r="W410" s="1"/>
      <c r="X410" s="1"/>
      <c r="Y410" s="181">
        <f t="shared" si="40"/>
        <v>0</v>
      </c>
      <c r="Z410" s="181">
        <f t="shared" si="40"/>
        <v>0</v>
      </c>
      <c r="AA410" s="181">
        <f t="shared" si="40"/>
        <v>0</v>
      </c>
      <c r="AB410" s="181">
        <f t="shared" si="40"/>
        <v>0</v>
      </c>
      <c r="AC410" s="181">
        <f t="shared" si="40"/>
        <v>-8.6420224099359039E-2</v>
      </c>
      <c r="AD410" s="1"/>
      <c r="AE410" s="1"/>
    </row>
    <row r="411" spans="1:31" customFormat="1" ht="15" customHeight="1">
      <c r="A411" s="1"/>
      <c r="B411" s="1"/>
      <c r="C411" s="2"/>
      <c r="D411" s="125" t="str">
        <f xml:space="preserve"> '2.1 Model setup'!$K$67</f>
        <v>Spidslast</v>
      </c>
      <c r="E411" s="27"/>
      <c r="F411" s="115"/>
      <c r="G411" s="115"/>
      <c r="H411" s="115"/>
      <c r="I411" s="115"/>
      <c r="J411" s="115"/>
      <c r="K411" s="98" t="s">
        <v>4</v>
      </c>
      <c r="L411" s="99" cm="1">
        <f t="array" ref="L411" xml:space="preserve"> -- ( SUMPRODUCT( -- ( ROUND( R409:V409 + R410:V410 + R411:V411, 5 ) &lt;&gt; ROUND( R385:V385, 5 ) ) ) &gt; 0 )</f>
        <v>0</v>
      </c>
      <c r="M411" s="151"/>
      <c r="N411" s="115"/>
      <c r="O411" s="368"/>
      <c r="P411" s="368"/>
      <c r="Q411" s="368"/>
      <c r="R411" s="182" cm="1">
        <f t="array" ref="R411" xml:space="preserve"> SUMPRODUCT( -- ( '2.2 Generelle input'!R$438:R$461 = $D411 ), R$361:R$384 )</f>
        <v>0</v>
      </c>
      <c r="S411" s="182" cm="1">
        <f t="array" ref="S411" xml:space="preserve"> SUMPRODUCT( -- ( '2.2 Generelle input'!S$438:S$461 = $D411 ), S$361:S$384 )</f>
        <v>0</v>
      </c>
      <c r="T411" s="182" cm="1">
        <f t="array" ref="T411" xml:space="preserve"> SUMPRODUCT( -- ( '2.2 Generelle input'!T$438:T$461 = $D411 ), T$361:T$384 )</f>
        <v>0</v>
      </c>
      <c r="U411" s="182" cm="1">
        <f t="array" ref="U411" xml:space="preserve"> SUMPRODUCT( -- ( '2.2 Generelle input'!U$438:U$461 = $D411 ), U$361:U$384 )</f>
        <v>0</v>
      </c>
      <c r="V411" s="182" cm="1">
        <f t="array" ref="V411" xml:space="preserve"> SUMPRODUCT( -- ( '2.2 Generelle input'!V$438:V$461 = $D411 ), V$361:V$384 )</f>
        <v>2.9290239888054369E-2</v>
      </c>
      <c r="W411" s="27"/>
      <c r="X411" s="1"/>
      <c r="Y411" s="182">
        <f t="shared" si="40"/>
        <v>0</v>
      </c>
      <c r="Z411" s="182">
        <f t="shared" si="40"/>
        <v>0</v>
      </c>
      <c r="AA411" s="182">
        <f t="shared" si="40"/>
        <v>0</v>
      </c>
      <c r="AB411" s="182">
        <f t="shared" si="40"/>
        <v>0</v>
      </c>
      <c r="AC411" s="182">
        <f t="shared" si="40"/>
        <v>-2.9290239888054369E-2</v>
      </c>
      <c r="AD411" s="1"/>
      <c r="AE411" s="1"/>
    </row>
    <row r="412" spans="1:31" customFormat="1" ht="15" customHeight="1">
      <c r="A412" s="1"/>
      <c r="B412" s="1"/>
      <c r="C412" s="2"/>
      <c r="D412" s="124"/>
      <c r="E412" s="1"/>
      <c r="F412" s="107"/>
      <c r="G412" s="107"/>
      <c r="H412" s="107"/>
      <c r="I412" s="107"/>
      <c r="J412" s="107"/>
      <c r="K412" s="87"/>
      <c r="L412" s="85"/>
      <c r="M412" s="119"/>
      <c r="N412" s="107"/>
      <c r="O412" s="181"/>
      <c r="P412" s="181"/>
      <c r="Q412" s="181"/>
      <c r="R412" s="181"/>
      <c r="S412" s="181"/>
      <c r="T412" s="181"/>
      <c r="U412" s="181"/>
      <c r="V412" s="181"/>
      <c r="W412" s="1"/>
      <c r="X412" s="1"/>
      <c r="AD412" s="1"/>
      <c r="AE412" s="1"/>
    </row>
    <row r="413" spans="1:31" customFormat="1" ht="15" customHeight="1">
      <c r="A413" s="1"/>
      <c r="B413" s="1"/>
      <c r="C413" s="2"/>
      <c r="D413" s="124"/>
      <c r="E413" s="1"/>
      <c r="F413" s="107"/>
      <c r="G413" s="107"/>
      <c r="H413" s="107"/>
      <c r="I413" s="107"/>
      <c r="J413" s="107"/>
      <c r="K413" s="87"/>
      <c r="L413" s="85"/>
      <c r="M413" s="119"/>
      <c r="N413" s="107"/>
      <c r="O413" s="181"/>
      <c r="P413" s="181"/>
      <c r="Q413" s="181"/>
      <c r="R413" s="181"/>
      <c r="S413" s="181"/>
      <c r="T413" s="181"/>
      <c r="U413" s="181"/>
      <c r="V413" s="181"/>
      <c r="W413" s="1"/>
      <c r="X413" s="1"/>
      <c r="Y413" s="447" t="s">
        <v>541</v>
      </c>
      <c r="Z413" s="181"/>
      <c r="AA413" s="181"/>
      <c r="AB413" s="181"/>
      <c r="AC413" s="181"/>
      <c r="AD413" s="1"/>
      <c r="AE413" s="1"/>
    </row>
    <row r="414" spans="1:31" customFormat="1" ht="15" customHeight="1">
      <c r="A414" s="1"/>
      <c r="B414" s="1"/>
      <c r="C414" s="2"/>
      <c r="D414" s="88" t="s">
        <v>536</v>
      </c>
      <c r="E414" s="1"/>
      <c r="F414" s="107"/>
      <c r="G414" s="107"/>
      <c r="H414" s="107"/>
      <c r="I414" s="107"/>
      <c r="J414" s="107"/>
      <c r="K414" s="87"/>
      <c r="L414" s="85"/>
      <c r="M414" s="85"/>
      <c r="N414" s="107"/>
      <c r="O414" s="107"/>
      <c r="P414" s="107"/>
      <c r="Q414" s="107"/>
      <c r="R414" s="1"/>
      <c r="S414" s="1"/>
      <c r="T414" s="1"/>
      <c r="U414" s="1"/>
      <c r="V414" s="1"/>
      <c r="W414" s="1"/>
      <c r="X414" s="1"/>
      <c r="Y414" s="89" t="s">
        <v>11</v>
      </c>
      <c r="Z414" s="89" t="s">
        <v>12</v>
      </c>
      <c r="AA414" s="89" t="s">
        <v>13</v>
      </c>
      <c r="AB414" s="89" t="s">
        <v>14</v>
      </c>
      <c r="AC414" s="89" t="s">
        <v>15</v>
      </c>
      <c r="AD414" s="1"/>
      <c r="AE414" s="1"/>
    </row>
    <row r="415" spans="1:31" customFormat="1" ht="15" customHeight="1">
      <c r="A415" s="1"/>
      <c r="B415" s="1"/>
      <c r="C415" s="2"/>
      <c r="D415" s="122" t="str">
        <f xml:space="preserve"> '2.1 Model setup'!$K$65</f>
        <v>Lavlast</v>
      </c>
      <c r="E415" s="15"/>
      <c r="F415" s="116"/>
      <c r="G415" s="116"/>
      <c r="H415" s="116"/>
      <c r="I415" s="116"/>
      <c r="J415" s="116"/>
      <c r="K415" s="117" t="s">
        <v>4</v>
      </c>
      <c r="L415" s="123"/>
      <c r="M415" s="142"/>
      <c r="N415" s="116"/>
      <c r="O415" s="369"/>
      <c r="P415" s="369"/>
      <c r="Q415" s="369"/>
      <c r="R415" s="180">
        <f t="shared" ref="R415:V417" si="41" xml:space="preserve"> R391 + R397 + R403 + R409</f>
        <v>0.34810599675786491</v>
      </c>
      <c r="S415" s="180">
        <f t="shared" si="41"/>
        <v>0.35300930829138766</v>
      </c>
      <c r="T415" s="180">
        <f t="shared" si="41"/>
        <v>0.33152509472857211</v>
      </c>
      <c r="U415" s="180">
        <f t="shared" si="41"/>
        <v>0.29930398999203978</v>
      </c>
      <c r="V415" s="180">
        <f t="shared" si="41"/>
        <v>0.17805744659148284</v>
      </c>
      <c r="W415" s="15"/>
      <c r="X415" s="1"/>
      <c r="Y415" s="180">
        <f t="shared" ref="Y415:AC417" si="42" xml:space="preserve"> Y391 + Y397 + Y403 + Y409</f>
        <v>-0.34810599675786491</v>
      </c>
      <c r="Z415" s="180">
        <f t="shared" si="42"/>
        <v>-0.35300930829138766</v>
      </c>
      <c r="AA415" s="180">
        <f t="shared" si="42"/>
        <v>-0.33152509472857211</v>
      </c>
      <c r="AB415" s="180">
        <f t="shared" si="42"/>
        <v>-0.29930398999203978</v>
      </c>
      <c r="AC415" s="180">
        <f t="shared" si="42"/>
        <v>-0.17805744659148284</v>
      </c>
      <c r="AD415" s="1"/>
      <c r="AE415" s="1"/>
    </row>
    <row r="416" spans="1:31" customFormat="1" ht="15" customHeight="1">
      <c r="A416" s="1"/>
      <c r="B416" s="1"/>
      <c r="C416" s="2"/>
      <c r="D416" s="124" t="str">
        <f xml:space="preserve"> '2.1 Model setup'!$K$66</f>
        <v>Højlast</v>
      </c>
      <c r="E416" s="1"/>
      <c r="F416" s="107"/>
      <c r="G416" s="107"/>
      <c r="H416" s="107"/>
      <c r="I416" s="107"/>
      <c r="J416" s="107"/>
      <c r="K416" s="87" t="s">
        <v>4</v>
      </c>
      <c r="L416" s="85"/>
      <c r="M416" s="119"/>
      <c r="N416" s="107"/>
      <c r="O416" s="370"/>
      <c r="P416" s="370"/>
      <c r="Q416" s="370"/>
      <c r="R416" s="181">
        <f t="shared" si="41"/>
        <v>0.4186292443516858</v>
      </c>
      <c r="S416" s="181">
        <f t="shared" si="41"/>
        <v>0.41168426066296254</v>
      </c>
      <c r="T416" s="181">
        <f t="shared" si="41"/>
        <v>0.41725296897544328</v>
      </c>
      <c r="U416" s="181">
        <f t="shared" si="41"/>
        <v>0.42609846275548269</v>
      </c>
      <c r="V416" s="181">
        <f t="shared" si="41"/>
        <v>0.61170886240689504</v>
      </c>
      <c r="W416" s="1"/>
      <c r="X416" s="1"/>
      <c r="Y416" s="181">
        <f t="shared" si="42"/>
        <v>-0.4186292443516858</v>
      </c>
      <c r="Z416" s="181">
        <f t="shared" si="42"/>
        <v>-0.41168426066296254</v>
      </c>
      <c r="AA416" s="181">
        <f t="shared" si="42"/>
        <v>-0.41725296897544328</v>
      </c>
      <c r="AB416" s="181">
        <f t="shared" si="42"/>
        <v>-0.42609846275548269</v>
      </c>
      <c r="AC416" s="181">
        <f t="shared" si="42"/>
        <v>-0.61170886240689504</v>
      </c>
      <c r="AD416" s="1"/>
      <c r="AE416" s="1"/>
    </row>
    <row r="417" spans="1:31" customFormat="1" ht="15" customHeight="1">
      <c r="A417" s="1"/>
      <c r="B417" s="1"/>
      <c r="C417" s="2"/>
      <c r="D417" s="125" t="str">
        <f xml:space="preserve"> '2.1 Model setup'!$K$67</f>
        <v>Spidslast</v>
      </c>
      <c r="E417" s="27"/>
      <c r="F417" s="115"/>
      <c r="G417" s="115"/>
      <c r="H417" s="115"/>
      <c r="I417" s="115"/>
      <c r="J417" s="115"/>
      <c r="K417" s="98" t="s">
        <v>4</v>
      </c>
      <c r="L417" s="99"/>
      <c r="M417" s="151"/>
      <c r="N417" s="115"/>
      <c r="O417" s="368"/>
      <c r="P417" s="368"/>
      <c r="Q417" s="368"/>
      <c r="R417" s="182">
        <f t="shared" si="41"/>
        <v>0.23326475889044879</v>
      </c>
      <c r="S417" s="182">
        <f t="shared" si="41"/>
        <v>0.23530643104564983</v>
      </c>
      <c r="T417" s="182">
        <f t="shared" si="41"/>
        <v>0.25122193629598449</v>
      </c>
      <c r="U417" s="182">
        <f t="shared" si="41"/>
        <v>0.2745975472524772</v>
      </c>
      <c r="V417" s="182">
        <f t="shared" si="41"/>
        <v>0.21023369100162212</v>
      </c>
      <c r="W417" s="27"/>
      <c r="X417" s="1"/>
      <c r="Y417" s="182">
        <f t="shared" si="42"/>
        <v>-0.23326475889044879</v>
      </c>
      <c r="Z417" s="182">
        <f t="shared" si="42"/>
        <v>-0.23530643104564983</v>
      </c>
      <c r="AA417" s="182">
        <f t="shared" si="42"/>
        <v>-0.25122193629598449</v>
      </c>
      <c r="AB417" s="182">
        <f t="shared" si="42"/>
        <v>-0.2745975472524772</v>
      </c>
      <c r="AC417" s="182">
        <f t="shared" si="42"/>
        <v>-0.21023369100162212</v>
      </c>
      <c r="AD417" s="1"/>
      <c r="AE417" s="1"/>
    </row>
    <row r="418" spans="1:31" customFormat="1" ht="15" customHeight="1">
      <c r="A418" s="1"/>
      <c r="B418" s="1"/>
      <c r="C418" s="2"/>
      <c r="D418" s="124"/>
      <c r="E418" s="1"/>
      <c r="F418" s="107"/>
      <c r="G418" s="107"/>
      <c r="H418" s="107"/>
      <c r="I418" s="107"/>
      <c r="J418" s="107"/>
      <c r="K418" s="87"/>
      <c r="L418" s="85"/>
      <c r="M418" s="119"/>
      <c r="N418" s="107"/>
      <c r="O418" s="107"/>
      <c r="P418" s="107"/>
      <c r="Q418" s="107"/>
      <c r="R418" s="181"/>
      <c r="S418" s="181"/>
      <c r="T418" s="181"/>
      <c r="U418" s="181"/>
      <c r="V418" s="181"/>
      <c r="W418" s="1"/>
      <c r="X418" s="1"/>
      <c r="Y418" s="181"/>
      <c r="Z418" s="181"/>
      <c r="AA418" s="181"/>
      <c r="AB418" s="181"/>
      <c r="AC418" s="181"/>
      <c r="AD418" s="1"/>
      <c r="AE418" s="1"/>
    </row>
    <row r="419" spans="1:31" customFormat="1" ht="15" customHeight="1">
      <c r="A419" s="1"/>
      <c r="B419" s="1"/>
      <c r="C419" s="2"/>
      <c r="D419" s="124"/>
      <c r="E419" s="1"/>
      <c r="F419" s="107"/>
      <c r="G419" s="107"/>
      <c r="H419" s="107"/>
      <c r="I419" s="107"/>
      <c r="J419" s="107"/>
      <c r="K419" s="87"/>
      <c r="L419" s="85"/>
      <c r="M419" s="119"/>
      <c r="N419" s="107"/>
      <c r="O419" s="107"/>
      <c r="P419" s="107"/>
      <c r="Q419" s="107"/>
      <c r="R419" s="181"/>
      <c r="S419" s="181"/>
      <c r="T419" s="181"/>
      <c r="U419" s="181"/>
      <c r="V419" s="181"/>
      <c r="W419" s="1"/>
      <c r="X419" s="1"/>
      <c r="Y419" s="181"/>
      <c r="Z419" s="181"/>
      <c r="AA419" s="181"/>
      <c r="AB419" s="181"/>
      <c r="AC419" s="181"/>
      <c r="AD419" s="1"/>
      <c r="AE419" s="1"/>
    </row>
    <row r="420" spans="1:31" customFormat="1" ht="15" customHeight="1">
      <c r="A420" s="1"/>
      <c r="B420" s="1"/>
      <c r="C420" s="2"/>
      <c r="D420" s="124"/>
      <c r="E420" s="1"/>
      <c r="F420" s="107"/>
      <c r="G420" s="107"/>
      <c r="H420" s="107"/>
      <c r="I420" s="107"/>
      <c r="J420" s="107"/>
      <c r="K420" s="87"/>
      <c r="L420" s="85"/>
      <c r="M420" s="119"/>
      <c r="N420" s="107"/>
      <c r="O420" s="107"/>
      <c r="P420" s="107"/>
      <c r="Q420" s="107"/>
      <c r="R420" s="181"/>
      <c r="S420" s="181"/>
      <c r="T420" s="181"/>
      <c r="U420" s="181"/>
      <c r="V420" s="181"/>
      <c r="W420" s="1"/>
      <c r="X420" s="1"/>
      <c r="Y420" s="181"/>
      <c r="Z420" s="181"/>
      <c r="AA420" s="181"/>
      <c r="AB420" s="181"/>
      <c r="AC420" s="181"/>
      <c r="AD420" s="1"/>
      <c r="AE420" s="1"/>
    </row>
    <row r="421" spans="1:31" customFormat="1" ht="15" customHeight="1">
      <c r="A421" s="1"/>
      <c r="B421" s="1"/>
      <c r="C421" s="2"/>
      <c r="D421" s="124"/>
      <c r="E421" s="1"/>
      <c r="F421" s="107"/>
      <c r="G421" s="107"/>
      <c r="H421" s="107"/>
      <c r="I421" s="107"/>
      <c r="J421" s="107"/>
      <c r="K421" s="87"/>
      <c r="L421" s="85"/>
      <c r="M421" s="119"/>
      <c r="N421" s="107"/>
      <c r="O421" s="107"/>
      <c r="P421" s="107"/>
      <c r="Q421" s="107"/>
      <c r="R421" s="181"/>
      <c r="S421" s="181"/>
      <c r="T421" s="181"/>
      <c r="U421" s="181"/>
      <c r="V421" s="181"/>
      <c r="W421" s="1"/>
      <c r="X421" s="1"/>
      <c r="Y421" s="181"/>
      <c r="Z421" s="181"/>
      <c r="AA421" s="181"/>
      <c r="AB421" s="181"/>
      <c r="AC421" s="181"/>
      <c r="AD421" s="1"/>
      <c r="AE421" s="1"/>
    </row>
    <row r="422" spans="1:31" customFormat="1" ht="15" customHeight="1">
      <c r="A422" s="1"/>
      <c r="B422" s="1"/>
      <c r="C422" s="2"/>
      <c r="D422" s="124"/>
      <c r="E422" s="1"/>
      <c r="F422" s="107"/>
      <c r="G422" s="107"/>
      <c r="H422" s="107"/>
      <c r="I422" s="107"/>
      <c r="J422" s="107"/>
      <c r="K422" s="87"/>
      <c r="L422" s="85"/>
      <c r="M422" s="119"/>
      <c r="N422" s="107"/>
      <c r="O422" s="107"/>
      <c r="P422" s="107"/>
      <c r="Q422" s="107"/>
      <c r="R422" s="181"/>
      <c r="S422" s="181"/>
      <c r="T422" s="181"/>
      <c r="U422" s="181"/>
      <c r="V422" s="181"/>
      <c r="W422" s="1"/>
      <c r="X422" s="1"/>
      <c r="Y422" s="181"/>
      <c r="Z422" s="181"/>
      <c r="AA422" s="181"/>
      <c r="AB422" s="181"/>
      <c r="AC422" s="181"/>
      <c r="AD422" s="1"/>
      <c r="AE422" s="1"/>
    </row>
    <row r="423" spans="1:31" customFormat="1" ht="15" customHeight="1">
      <c r="A423" s="1"/>
      <c r="B423" s="1"/>
      <c r="C423" s="2"/>
      <c r="D423" s="124"/>
      <c r="E423" s="1"/>
      <c r="F423" s="107"/>
      <c r="G423" s="107"/>
      <c r="H423" s="107"/>
      <c r="I423" s="107"/>
      <c r="J423" s="107"/>
      <c r="K423" s="87"/>
      <c r="L423" s="85"/>
      <c r="M423" s="119"/>
      <c r="N423" s="107"/>
      <c r="O423" s="107"/>
      <c r="P423" s="107"/>
      <c r="Q423" s="107"/>
      <c r="R423" s="181"/>
      <c r="S423" s="181"/>
      <c r="T423" s="181"/>
      <c r="U423" s="181"/>
      <c r="V423" s="181"/>
      <c r="W423" s="1"/>
      <c r="X423" s="1"/>
      <c r="Y423" s="181"/>
      <c r="Z423" s="181"/>
      <c r="AA423" s="181"/>
      <c r="AB423" s="181"/>
      <c r="AC423" s="181"/>
      <c r="AD423" s="1"/>
      <c r="AE423" s="1"/>
    </row>
    <row r="424" spans="1:31" customFormat="1" ht="15" customHeight="1">
      <c r="A424" s="1"/>
      <c r="B424" s="1"/>
      <c r="C424" s="2"/>
      <c r="D424" s="124"/>
      <c r="E424" s="1"/>
      <c r="F424" s="107"/>
      <c r="G424" s="107"/>
      <c r="H424" s="107"/>
      <c r="I424" s="107"/>
      <c r="J424" s="107"/>
      <c r="K424" s="87"/>
      <c r="L424" s="85"/>
      <c r="M424" s="119"/>
      <c r="N424" s="107"/>
      <c r="O424" s="107"/>
      <c r="P424" s="107"/>
      <c r="Q424" s="107"/>
      <c r="R424" s="181"/>
      <c r="S424" s="181"/>
      <c r="T424" s="181"/>
      <c r="U424" s="181"/>
      <c r="V424" s="181"/>
      <c r="W424" s="1"/>
      <c r="X424" s="1"/>
      <c r="Y424" s="181"/>
      <c r="Z424" s="181"/>
      <c r="AA424" s="181"/>
      <c r="AB424" s="181"/>
      <c r="AC424" s="181"/>
      <c r="AD424" s="1"/>
      <c r="AE424" s="1"/>
    </row>
    <row r="425" spans="1:31" customFormat="1" ht="15" customHeight="1">
      <c r="A425" s="1"/>
      <c r="B425" s="1"/>
      <c r="C425" s="2"/>
      <c r="D425" s="124"/>
      <c r="E425" s="1"/>
      <c r="F425" s="107"/>
      <c r="G425" s="107"/>
      <c r="H425" s="107"/>
      <c r="I425" s="107"/>
      <c r="J425" s="107"/>
      <c r="K425" s="87"/>
      <c r="L425" s="85"/>
      <c r="M425" s="119"/>
      <c r="N425" s="107"/>
      <c r="O425" s="107"/>
      <c r="P425" s="107"/>
      <c r="Q425" s="107"/>
      <c r="R425" s="181"/>
      <c r="S425" s="181"/>
      <c r="T425" s="181"/>
      <c r="U425" s="181"/>
      <c r="V425" s="181"/>
      <c r="W425" s="1"/>
      <c r="X425" s="1"/>
      <c r="Y425" s="181"/>
      <c r="Z425" s="181"/>
      <c r="AA425" s="181"/>
      <c r="AB425" s="181"/>
      <c r="AC425" s="181"/>
      <c r="AD425" s="1"/>
      <c r="AE425" s="1"/>
    </row>
    <row r="426" spans="1:31" customFormat="1" ht="15" customHeight="1">
      <c r="A426" s="1"/>
      <c r="B426" s="1"/>
      <c r="C426" s="2"/>
      <c r="D426" s="124"/>
      <c r="E426" s="1"/>
      <c r="F426" s="107"/>
      <c r="G426" s="107"/>
      <c r="H426" s="107"/>
      <c r="I426" s="107"/>
      <c r="J426" s="107"/>
      <c r="K426" s="87"/>
      <c r="L426" s="85"/>
      <c r="M426" s="119"/>
      <c r="N426" s="107"/>
      <c r="O426" s="107"/>
      <c r="P426" s="107"/>
      <c r="Q426" s="107"/>
      <c r="R426" s="181"/>
      <c r="S426" s="181"/>
      <c r="T426" s="181"/>
      <c r="U426" s="181"/>
      <c r="V426" s="181"/>
      <c r="W426" s="1"/>
      <c r="X426" s="1"/>
      <c r="Y426" s="181"/>
      <c r="Z426" s="181"/>
      <c r="AA426" s="181"/>
      <c r="AB426" s="181"/>
      <c r="AC426" s="181"/>
      <c r="AD426" s="1"/>
      <c r="AE426" s="1"/>
    </row>
    <row r="427" spans="1:31" customFormat="1" ht="15" customHeight="1">
      <c r="A427" s="1"/>
      <c r="B427" s="1"/>
      <c r="C427" s="2"/>
      <c r="D427" s="124"/>
      <c r="E427" s="1"/>
      <c r="F427" s="107"/>
      <c r="G427" s="107"/>
      <c r="H427" s="107"/>
      <c r="I427" s="107"/>
      <c r="J427" s="107"/>
      <c r="K427" s="87"/>
      <c r="L427" s="85"/>
      <c r="M427" s="119"/>
      <c r="N427" s="107"/>
      <c r="O427" s="107"/>
      <c r="P427" s="107"/>
      <c r="Q427" s="107"/>
      <c r="R427" s="181"/>
      <c r="S427" s="181"/>
      <c r="T427" s="181"/>
      <c r="U427" s="181"/>
      <c r="V427" s="181"/>
      <c r="W427" s="1"/>
      <c r="X427" s="1"/>
      <c r="Y427" s="181"/>
      <c r="Z427" s="181"/>
      <c r="AA427" s="181"/>
      <c r="AB427" s="181"/>
      <c r="AC427" s="181"/>
      <c r="AD427" s="1"/>
      <c r="AE427" s="1"/>
    </row>
    <row r="428" spans="1:31" customFormat="1" ht="15" customHeight="1">
      <c r="A428" s="1"/>
      <c r="B428" s="1"/>
      <c r="C428" s="2"/>
      <c r="D428" s="124"/>
      <c r="E428" s="1"/>
      <c r="F428" s="107"/>
      <c r="G428" s="107"/>
      <c r="H428" s="107"/>
      <c r="I428" s="107"/>
      <c r="J428" s="107"/>
      <c r="K428" s="87"/>
      <c r="L428" s="85"/>
      <c r="M428" s="119"/>
      <c r="N428" s="107"/>
      <c r="O428" s="107"/>
      <c r="P428" s="107"/>
      <c r="Q428" s="107"/>
      <c r="R428" s="181"/>
      <c r="S428" s="181"/>
      <c r="T428" s="181"/>
      <c r="U428" s="181"/>
      <c r="V428" s="181"/>
      <c r="W428" s="1"/>
      <c r="X428" s="1"/>
      <c r="Y428" s="181"/>
      <c r="Z428" s="181"/>
      <c r="AA428" s="181"/>
      <c r="AB428" s="181"/>
      <c r="AC428" s="181"/>
      <c r="AD428" s="1"/>
      <c r="AE428" s="1"/>
    </row>
    <row r="429" spans="1:31" customFormat="1" ht="15" customHeight="1">
      <c r="A429" s="1"/>
      <c r="B429" s="1"/>
      <c r="C429" s="2"/>
      <c r="D429" s="124"/>
      <c r="E429" s="1"/>
      <c r="F429" s="107"/>
      <c r="G429" s="107"/>
      <c r="H429" s="107"/>
      <c r="I429" s="107"/>
      <c r="J429" s="107"/>
      <c r="K429" s="87"/>
      <c r="L429" s="85"/>
      <c r="M429" s="119"/>
      <c r="N429" s="107"/>
      <c r="O429" s="107"/>
      <c r="P429" s="107"/>
      <c r="Q429" s="107"/>
      <c r="R429" s="181"/>
      <c r="S429" s="181"/>
      <c r="T429" s="181"/>
      <c r="U429" s="181"/>
      <c r="V429" s="181"/>
      <c r="W429" s="1"/>
      <c r="X429" s="1"/>
      <c r="Y429" s="181"/>
      <c r="Z429" s="181"/>
      <c r="AA429" s="181"/>
      <c r="AB429" s="181"/>
      <c r="AC429" s="181"/>
      <c r="AD429" s="1"/>
      <c r="AE429" s="1"/>
    </row>
    <row r="430" spans="1:31" customFormat="1" ht="15" customHeight="1">
      <c r="A430" s="1"/>
      <c r="B430" s="1"/>
      <c r="C430" s="2"/>
      <c r="D430" s="124"/>
      <c r="E430" s="1"/>
      <c r="F430" s="107"/>
      <c r="G430" s="107"/>
      <c r="H430" s="107"/>
      <c r="I430" s="107"/>
      <c r="J430" s="107"/>
      <c r="K430" s="87"/>
      <c r="L430" s="85"/>
      <c r="M430" s="119"/>
      <c r="N430" s="107"/>
      <c r="O430" s="107"/>
      <c r="P430" s="107"/>
      <c r="Q430" s="107"/>
      <c r="R430" s="181"/>
      <c r="S430" s="181"/>
      <c r="T430" s="181"/>
      <c r="U430" s="181"/>
      <c r="V430" s="181"/>
      <c r="W430" s="1"/>
      <c r="X430" s="1"/>
      <c r="Y430" s="181"/>
      <c r="Z430" s="181"/>
      <c r="AA430" s="181"/>
      <c r="AB430" s="181"/>
      <c r="AC430" s="181"/>
      <c r="AD430" s="1"/>
      <c r="AE430" s="1"/>
    </row>
    <row r="431" spans="1:31" customFormat="1" ht="15" customHeight="1">
      <c r="A431" s="1"/>
      <c r="B431" s="1"/>
      <c r="C431" s="2"/>
      <c r="D431" s="124"/>
      <c r="E431" s="1"/>
      <c r="F431" s="107"/>
      <c r="G431" s="107"/>
      <c r="H431" s="107"/>
      <c r="I431" s="107"/>
      <c r="J431" s="107"/>
      <c r="K431" s="87"/>
      <c r="L431" s="85"/>
      <c r="M431" s="119"/>
      <c r="N431" s="107"/>
      <c r="O431" s="107"/>
      <c r="P431" s="107"/>
      <c r="Q431" s="107"/>
      <c r="R431" s="181"/>
      <c r="S431" s="181"/>
      <c r="T431" s="181"/>
      <c r="U431" s="181"/>
      <c r="V431" s="181"/>
      <c r="W431" s="1"/>
      <c r="X431" s="1"/>
      <c r="Y431" s="181"/>
      <c r="Z431" s="181"/>
      <c r="AA431" s="181"/>
      <c r="AB431" s="181"/>
      <c r="AC431" s="181"/>
      <c r="AD431" s="1"/>
      <c r="AE431" s="1"/>
    </row>
    <row r="432" spans="1:31" customFormat="1" ht="15" customHeight="1">
      <c r="A432" s="1"/>
      <c r="B432" s="1"/>
      <c r="C432" s="2"/>
      <c r="D432" s="124"/>
      <c r="E432" s="1"/>
      <c r="F432" s="107"/>
      <c r="G432" s="107"/>
      <c r="H432" s="107"/>
      <c r="I432" s="107"/>
      <c r="J432" s="107"/>
      <c r="K432" s="87"/>
      <c r="L432" s="85"/>
      <c r="M432" s="119"/>
      <c r="N432" s="107"/>
      <c r="O432" s="107"/>
      <c r="P432" s="107"/>
      <c r="Q432" s="107"/>
      <c r="R432" s="181"/>
      <c r="S432" s="181"/>
      <c r="T432" s="181"/>
      <c r="U432" s="181"/>
      <c r="V432" s="181"/>
      <c r="W432" s="1"/>
      <c r="X432" s="1"/>
      <c r="Y432" s="181"/>
      <c r="Z432" s="181"/>
      <c r="AA432" s="181"/>
      <c r="AB432" s="181"/>
      <c r="AC432" s="181"/>
      <c r="AD432" s="1"/>
      <c r="AE432" s="1"/>
    </row>
    <row r="433" spans="1:31" customFormat="1" ht="15" customHeight="1">
      <c r="A433" s="1"/>
      <c r="B433" s="1"/>
      <c r="C433" s="2"/>
      <c r="D433" s="124"/>
      <c r="E433" s="1"/>
      <c r="F433" s="107"/>
      <c r="G433" s="107"/>
      <c r="H433" s="107"/>
      <c r="I433" s="107"/>
      <c r="J433" s="107"/>
      <c r="K433" s="87"/>
      <c r="L433" s="85"/>
      <c r="M433" s="119"/>
      <c r="N433" s="107"/>
      <c r="O433" s="107"/>
      <c r="P433" s="107"/>
      <c r="Q433" s="107"/>
      <c r="R433" s="181"/>
      <c r="S433" s="181"/>
      <c r="T433" s="181"/>
      <c r="U433" s="181"/>
      <c r="V433" s="181"/>
      <c r="W433" s="1"/>
      <c r="X433" s="1"/>
      <c r="Y433" s="181"/>
      <c r="Z433" s="181"/>
      <c r="AA433" s="181"/>
      <c r="AB433" s="181"/>
      <c r="AC433" s="181"/>
      <c r="AD433" s="1"/>
      <c r="AE433" s="1"/>
    </row>
    <row r="434" spans="1:31" customFormat="1" ht="15" customHeight="1">
      <c r="A434" s="1"/>
      <c r="B434" s="1"/>
      <c r="C434" s="2"/>
      <c r="D434" s="85"/>
      <c r="E434" s="1"/>
      <c r="F434" s="86"/>
      <c r="G434" s="86"/>
      <c r="H434" s="86"/>
      <c r="I434" s="86"/>
      <c r="J434" s="86"/>
      <c r="K434" s="87"/>
      <c r="L434" s="85"/>
      <c r="M434" s="85"/>
      <c r="N434" s="86"/>
      <c r="O434" s="86"/>
      <c r="P434" s="86"/>
      <c r="Q434" s="86"/>
      <c r="R434" s="1"/>
      <c r="S434" s="1"/>
      <c r="T434" s="1"/>
      <c r="U434" s="1"/>
      <c r="V434" s="1"/>
      <c r="W434" s="1"/>
      <c r="X434" s="1"/>
      <c r="Y434" s="1"/>
      <c r="Z434" s="1"/>
      <c r="AA434" s="1"/>
      <c r="AB434" s="1"/>
      <c r="AC434" s="1"/>
      <c r="AD434" s="1"/>
      <c r="AE434" s="1"/>
    </row>
    <row r="435" spans="1:31" s="475" customFormat="1" ht="15" customHeight="1">
      <c r="B435" s="479" t="s">
        <v>104</v>
      </c>
      <c r="C435" s="477"/>
      <c r="D435" s="478"/>
      <c r="K435" s="472"/>
    </row>
  </sheetData>
  <sheetProtection sheet="1" objects="1" scenarios="1"/>
  <protectedRanges>
    <protectedRange sqref="R13:AF18" name="Range1"/>
  </protectedRanges>
  <conditionalFormatting sqref="I4:I5">
    <cfRule type="cellIs" dxfId="141" priority="135" operator="between">
      <formula>-ErrorTolerance</formula>
      <formula>ErrorTolerance</formula>
    </cfRule>
  </conditionalFormatting>
  <conditionalFormatting sqref="J2:Q3 B2:E3">
    <cfRule type="expression" dxfId="140" priority="136">
      <formula>$I$4&lt;ErrorTolerance</formula>
    </cfRule>
  </conditionalFormatting>
  <conditionalFormatting sqref="B3">
    <cfRule type="expression" dxfId="139" priority="137">
      <formula>$I$5&gt;=ErrorTolerance</formula>
    </cfRule>
  </conditionalFormatting>
  <conditionalFormatting sqref="I6">
    <cfRule type="cellIs" dxfId="138" priority="91" operator="between">
      <formula>-ErrorTolerance</formula>
      <formula>ErrorTolerance</formula>
    </cfRule>
  </conditionalFormatting>
  <conditionalFormatting sqref="I7">
    <cfRule type="cellIs" dxfId="137" priority="90" operator="between">
      <formula>-ErrorTolerance</formula>
      <formula>ErrorTolerance</formula>
    </cfRule>
  </conditionalFormatting>
  <conditionalFormatting sqref="H2">
    <cfRule type="expression" dxfId="136" priority="83">
      <formula>Model.Navigation.View=No</formula>
    </cfRule>
  </conditionalFormatting>
  <conditionalFormatting sqref="H2">
    <cfRule type="expression" dxfId="135" priority="82">
      <formula>Model.Navigation.View=No</formula>
    </cfRule>
  </conditionalFormatting>
  <conditionalFormatting sqref="F2">
    <cfRule type="expression" dxfId="134" priority="81">
      <formula>Model.Navigation.View=No</formula>
    </cfRule>
  </conditionalFormatting>
  <conditionalFormatting sqref="F2">
    <cfRule type="expression" dxfId="133" priority="80">
      <formula>Model.Navigation.View=No</formula>
    </cfRule>
  </conditionalFormatting>
  <conditionalFormatting sqref="I2">
    <cfRule type="expression" dxfId="132" priority="79">
      <formula>Model.Navigation.View=No</formula>
    </cfRule>
  </conditionalFormatting>
  <conditionalFormatting sqref="I2">
    <cfRule type="expression" dxfId="131" priority="78">
      <formula>Model.Navigation.View=No</formula>
    </cfRule>
  </conditionalFormatting>
  <conditionalFormatting sqref="M15 M391:M395 M406:M407 M418:M433">
    <cfRule type="cellIs" dxfId="130" priority="53" operator="greaterThan">
      <formula>0</formula>
    </cfRule>
  </conditionalFormatting>
  <conditionalFormatting sqref="L15 L391:L395 L406:L407 L418:L433">
    <cfRule type="cellIs" dxfId="129" priority="54" operator="greaterThan">
      <formula>0</formula>
    </cfRule>
  </conditionalFormatting>
  <conditionalFormatting sqref="L277:L300">
    <cfRule type="cellIs" dxfId="128" priority="50" operator="greaterThan">
      <formula>0</formula>
    </cfRule>
  </conditionalFormatting>
  <conditionalFormatting sqref="M277:M300">
    <cfRule type="cellIs" dxfId="127" priority="49" operator="greaterThan">
      <formula>0</formula>
    </cfRule>
  </conditionalFormatting>
  <conditionalFormatting sqref="L305:L328">
    <cfRule type="cellIs" dxfId="126" priority="48" operator="greaterThan">
      <formula>0</formula>
    </cfRule>
  </conditionalFormatting>
  <conditionalFormatting sqref="M305:M328">
    <cfRule type="cellIs" dxfId="125" priority="47" operator="greaterThan">
      <formula>0</formula>
    </cfRule>
  </conditionalFormatting>
  <conditionalFormatting sqref="L333:L356">
    <cfRule type="cellIs" dxfId="124" priority="46" operator="greaterThan">
      <formula>0</formula>
    </cfRule>
  </conditionalFormatting>
  <conditionalFormatting sqref="M333:M356">
    <cfRule type="cellIs" dxfId="123" priority="45" operator="greaterThan">
      <formula>0</formula>
    </cfRule>
  </conditionalFormatting>
  <conditionalFormatting sqref="L361:L384">
    <cfRule type="cellIs" dxfId="122" priority="44" operator="greaterThan">
      <formula>0</formula>
    </cfRule>
  </conditionalFormatting>
  <conditionalFormatting sqref="M361:M384">
    <cfRule type="cellIs" dxfId="121" priority="43" operator="greaterThan">
      <formula>0</formula>
    </cfRule>
  </conditionalFormatting>
  <conditionalFormatting sqref="L22:L45">
    <cfRule type="cellIs" dxfId="120" priority="42" operator="greaterThan">
      <formula>0</formula>
    </cfRule>
  </conditionalFormatting>
  <conditionalFormatting sqref="M22:M45">
    <cfRule type="cellIs" dxfId="119" priority="41" operator="greaterThan">
      <formula>0</formula>
    </cfRule>
  </conditionalFormatting>
  <conditionalFormatting sqref="L49:L72">
    <cfRule type="cellIs" dxfId="118" priority="40" operator="greaterThan">
      <formula>0</formula>
    </cfRule>
  </conditionalFormatting>
  <conditionalFormatting sqref="M49:M72">
    <cfRule type="cellIs" dxfId="117" priority="39" operator="greaterThan">
      <formula>0</formula>
    </cfRule>
  </conditionalFormatting>
  <conditionalFormatting sqref="L76:L99">
    <cfRule type="cellIs" dxfId="116" priority="38" operator="greaterThan">
      <formula>0</formula>
    </cfRule>
  </conditionalFormatting>
  <conditionalFormatting sqref="M76:M99">
    <cfRule type="cellIs" dxfId="115" priority="37" operator="greaterThan">
      <formula>0</formula>
    </cfRule>
  </conditionalFormatting>
  <conditionalFormatting sqref="L103:L126">
    <cfRule type="cellIs" dxfId="114" priority="36" operator="greaterThan">
      <formula>0</formula>
    </cfRule>
  </conditionalFormatting>
  <conditionalFormatting sqref="M103:M126">
    <cfRule type="cellIs" dxfId="113" priority="35" operator="greaterThan">
      <formula>0</formula>
    </cfRule>
  </conditionalFormatting>
  <conditionalFormatting sqref="L130">
    <cfRule type="cellIs" dxfId="112" priority="34" operator="greaterThan">
      <formula>0</formula>
    </cfRule>
  </conditionalFormatting>
  <conditionalFormatting sqref="M130">
    <cfRule type="cellIs" dxfId="111" priority="33" operator="greaterThan">
      <formula>0</formula>
    </cfRule>
  </conditionalFormatting>
  <conditionalFormatting sqref="G2">
    <cfRule type="expression" dxfId="110" priority="32">
      <formula>Model.Navigation.View=No</formula>
    </cfRule>
  </conditionalFormatting>
  <conditionalFormatting sqref="G2">
    <cfRule type="expression" dxfId="109" priority="31">
      <formula>Model.Navigation.View=No</formula>
    </cfRule>
  </conditionalFormatting>
  <conditionalFormatting sqref="L400:L401 L412:L413">
    <cfRule type="cellIs" dxfId="108" priority="30" operator="greaterThan">
      <formula>0</formula>
    </cfRule>
  </conditionalFormatting>
  <conditionalFormatting sqref="M400:M401 M412:M413">
    <cfRule type="cellIs" dxfId="107" priority="29" operator="greaterThan">
      <formula>0</formula>
    </cfRule>
  </conditionalFormatting>
  <conditionalFormatting sqref="L397:L399">
    <cfRule type="cellIs" dxfId="106" priority="28" operator="greaterThan">
      <formula>0</formula>
    </cfRule>
  </conditionalFormatting>
  <conditionalFormatting sqref="M397:M399">
    <cfRule type="cellIs" dxfId="105" priority="27" operator="greaterThan">
      <formula>0</formula>
    </cfRule>
  </conditionalFormatting>
  <conditionalFormatting sqref="L403:L405">
    <cfRule type="cellIs" dxfId="104" priority="26" operator="greaterThan">
      <formula>0</formula>
    </cfRule>
  </conditionalFormatting>
  <conditionalFormatting sqref="M403:M405">
    <cfRule type="cellIs" dxfId="103" priority="25" operator="greaterThan">
      <formula>0</formula>
    </cfRule>
  </conditionalFormatting>
  <conditionalFormatting sqref="L409:L411">
    <cfRule type="cellIs" dxfId="102" priority="24" operator="greaterThan">
      <formula>0</formula>
    </cfRule>
  </conditionalFormatting>
  <conditionalFormatting sqref="M409:M411">
    <cfRule type="cellIs" dxfId="101" priority="23" operator="greaterThan">
      <formula>0</formula>
    </cfRule>
  </conditionalFormatting>
  <conditionalFormatting sqref="L415:L417">
    <cfRule type="cellIs" dxfId="100" priority="22" operator="greaterThan">
      <formula>0</formula>
    </cfRule>
  </conditionalFormatting>
  <conditionalFormatting sqref="M415:M417">
    <cfRule type="cellIs" dxfId="99" priority="21" operator="greaterThan">
      <formula>0</formula>
    </cfRule>
  </conditionalFormatting>
  <conditionalFormatting sqref="L137:L160">
    <cfRule type="cellIs" dxfId="98" priority="20" operator="greaterThan">
      <formula>0</formula>
    </cfRule>
  </conditionalFormatting>
  <conditionalFormatting sqref="M137:M160">
    <cfRule type="cellIs" dxfId="97" priority="19" operator="greaterThan">
      <formula>0</formula>
    </cfRule>
  </conditionalFormatting>
  <conditionalFormatting sqref="L164:L187">
    <cfRule type="cellIs" dxfId="96" priority="18" operator="greaterThan">
      <formula>0</formula>
    </cfRule>
  </conditionalFormatting>
  <conditionalFormatting sqref="M164:M187">
    <cfRule type="cellIs" dxfId="95" priority="17" operator="greaterThan">
      <formula>0</formula>
    </cfRule>
  </conditionalFormatting>
  <conditionalFormatting sqref="L191:L214">
    <cfRule type="cellIs" dxfId="94" priority="16" operator="greaterThan">
      <formula>0</formula>
    </cfRule>
  </conditionalFormatting>
  <conditionalFormatting sqref="M191:M214">
    <cfRule type="cellIs" dxfId="93" priority="15" operator="greaterThan">
      <formula>0</formula>
    </cfRule>
  </conditionalFormatting>
  <conditionalFormatting sqref="L218:L241">
    <cfRule type="cellIs" dxfId="92" priority="14" operator="greaterThan">
      <formula>0</formula>
    </cfRule>
  </conditionalFormatting>
  <conditionalFormatting sqref="M218:M241">
    <cfRule type="cellIs" dxfId="91" priority="13" operator="greaterThan">
      <formula>0</formula>
    </cfRule>
  </conditionalFormatting>
  <conditionalFormatting sqref="M247:M250 M260">
    <cfRule type="cellIs" dxfId="90" priority="11" operator="greaterThan">
      <formula>0</formula>
    </cfRule>
  </conditionalFormatting>
  <conditionalFormatting sqref="L247:L250 L260">
    <cfRule type="cellIs" dxfId="89" priority="12" operator="greaterThan">
      <formula>0</formula>
    </cfRule>
  </conditionalFormatting>
  <conditionalFormatting sqref="L255 L265">
    <cfRule type="cellIs" dxfId="88" priority="10" operator="greaterThan">
      <formula>0</formula>
    </cfRule>
  </conditionalFormatting>
  <conditionalFormatting sqref="M255 M265">
    <cfRule type="cellIs" dxfId="87" priority="9" operator="greaterThan">
      <formula>0</formula>
    </cfRule>
  </conditionalFormatting>
  <conditionalFormatting sqref="L252:L254">
    <cfRule type="cellIs" dxfId="86" priority="8" operator="greaterThan">
      <formula>0</formula>
    </cfRule>
  </conditionalFormatting>
  <conditionalFormatting sqref="M252:M254">
    <cfRule type="cellIs" dxfId="85" priority="7" operator="greaterThan">
      <formula>0</formula>
    </cfRule>
  </conditionalFormatting>
  <conditionalFormatting sqref="L257:L259">
    <cfRule type="cellIs" dxfId="84" priority="6" operator="greaterThan">
      <formula>0</formula>
    </cfRule>
  </conditionalFormatting>
  <conditionalFormatting sqref="M257:M259">
    <cfRule type="cellIs" dxfId="83" priority="5" operator="greaterThan">
      <formula>0</formula>
    </cfRule>
  </conditionalFormatting>
  <conditionalFormatting sqref="L262:L264">
    <cfRule type="cellIs" dxfId="82" priority="4" operator="greaterThan">
      <formula>0</formula>
    </cfRule>
  </conditionalFormatting>
  <conditionalFormatting sqref="M262:M264">
    <cfRule type="cellIs" dxfId="81" priority="3" operator="greaterThan">
      <formula>0</formula>
    </cfRule>
  </conditionalFormatting>
  <conditionalFormatting sqref="L267:L269">
    <cfRule type="cellIs" dxfId="80" priority="2" operator="greaterThan">
      <formula>0</formula>
    </cfRule>
  </conditionalFormatting>
  <conditionalFormatting sqref="M267:M269">
    <cfRule type="cellIs" dxfId="79" priority="1" operator="greaterThan">
      <formula>0</formula>
    </cfRule>
  </conditionalFormatting>
  <hyperlinks>
    <hyperlink ref="G2" location="'Hjælpeark, forbrugsnøgler'!B11" tooltip="Gå til toppen af arket" display="'Hjælpeark, forbrugsnøgler'!B11" xr:uid="{C40AE5A9-6348-4D27-91D2-F3FCBEFC4964}"/>
    <hyperlink ref="H2" location="'2.3 Selskabsspecifikke input'!B2" tooltip="Gå til selskabsspecifikke input" display="'2.3 Selskabsspecifikke input'!B2" xr:uid="{D5D84268-7BA1-482E-BE26-580BF4371B4E}"/>
    <hyperlink ref="F2" location="Modeloverblik!B2" tooltip="Gå til modelbeskrivelse" display="Modeloverblik!B2" xr:uid="{DDE419B2-A813-47AC-B33B-FE9FACBC2EFC}"/>
    <hyperlink ref="I2" location="'4.1 Fejl- og kontroloversigt'!B2" tooltip="Gå til fejl- og kontrolchecks" display="'4.1 Fejl- og kontroloversigt'!B2" xr:uid="{82C3850D-0D52-4E34-A106-CAC6AF515143}"/>
  </hyperlinks>
  <pageMargins left="0.70866141732283472" right="0.70866141732283472" top="0.74803149606299213" bottom="0.74803149606299213" header="0.31496062992125984" footer="0.31496062992125984"/>
  <pageSetup paperSize="9" scale="31"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ignoredErrors>
    <ignoredError sqref="D34" twoDigitTextYear="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2D97C-CF85-43F7-9CEF-3D23AC87C2DC}">
  <sheetPr>
    <tabColor theme="1"/>
    <outlinePr summaryBelow="0"/>
    <pageSetUpPr fitToPage="1"/>
  </sheetPr>
  <dimension ref="A1:AM206"/>
  <sheetViews>
    <sheetView showGridLines="0" zoomScale="85" zoomScaleNormal="85" workbookViewId="0">
      <pane xSplit="14" ySplit="10" topLeftCell="O11" activePane="bottomRight" state="frozen"/>
      <selection pane="topRight" activeCell="O1" sqref="O1"/>
      <selection pane="bottomLeft" activeCell="A11" sqref="A11"/>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16" width="18.6640625" style="1" customWidth="1"/>
    <col min="17" max="17" width="18.6640625" style="1" hidden="1" customWidth="1"/>
    <col min="18" max="23" width="18.6640625" style="1" customWidth="1"/>
    <col min="24" max="24" width="5.6640625" style="1" customWidth="1"/>
    <col min="25" max="25" width="67.1640625" style="1" customWidth="1"/>
    <col min="26" max="38" width="16.6640625" style="1" customWidth="1"/>
    <col min="39" max="16384" width="16.6640625" style="1" hidden="1"/>
  </cols>
  <sheetData>
    <row r="1" spans="1:39" ht="4.9000000000000004" customHeight="1"/>
    <row r="2" spans="1:39" ht="19.899999999999999" customHeight="1">
      <c r="B2" s="6" t="str">
        <f ca="1" xml:space="preserve"> MID( CELL("filename", B2), FIND("]", CELL("filename",B2) ) + 1, Model.MaxChars)</f>
        <v>Hjælpeark, fall-back-metoden</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1:39"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1:39" ht="15" customHeight="1">
      <c r="F4" s="74" t="s">
        <v>274</v>
      </c>
      <c r="G4" s="2"/>
      <c r="I4" s="25">
        <f xml:space="preserve"> SUM(L:L)</f>
        <v>0</v>
      </c>
    </row>
    <row r="5" spans="1:39" ht="15" customHeight="1">
      <c r="F5" s="74" t="s">
        <v>275</v>
      </c>
      <c r="G5" s="2"/>
      <c r="I5" s="84">
        <f xml:space="preserve"> SUM(M:M)</f>
        <v>5</v>
      </c>
      <c r="AB5"/>
    </row>
    <row r="6" spans="1:39" ht="15" customHeight="1">
      <c r="F6" s="74" t="s">
        <v>276</v>
      </c>
      <c r="G6" s="2"/>
      <c r="I6" s="25">
        <f xml:space="preserve"> SUM( L:L ) + SUM( '1.1 Provenu'!L:L ) + SUM( '1.2 Tarifoversigt'!L:L) + SUM( '1.3 Varslingsanalyse'!L:L) + SUM( '1.4 Hoveddata'!L:L) + SUM('2.1 Model setup'!L:L ) + SUM('2.2 Generelle input'!L:L ) + SUM( '2.3 Selskabsspecifikke input'!L:L) + SUM( '3.1 Opsplitning af forbrug'!L:L) + SUM( '3.2 Abonnement'!L:L) + SUM( '3.3 Forbrugstariffer og effekt'!L:L) + SUM( '3.4 Tidsdifferentieret tarif'!L:L) + SUM('3.5 Indfødningstarif'!L:L)+ SUM( 'Hjælpeark, forbrugsnøgler'!L:L)</f>
        <v>0</v>
      </c>
      <c r="AB6"/>
    </row>
    <row r="7" spans="1:39" ht="15" customHeight="1">
      <c r="F7" s="75" t="s">
        <v>236</v>
      </c>
      <c r="G7" s="26"/>
      <c r="H7" s="27"/>
      <c r="I7" s="329">
        <f xml:space="preserve"> '1.3 Varslingsanalyse'!I7</f>
        <v>0</v>
      </c>
      <c r="AB7"/>
    </row>
    <row r="8" spans="1:39" ht="15" customHeight="1">
      <c r="L8" s="484" t="str">
        <f xml:space="preserve"> Header.Labels</f>
        <v>Checks</v>
      </c>
      <c r="M8" s="484"/>
    </row>
    <row r="9" spans="1:39" ht="5.0999999999999996" customHeight="1">
      <c r="E9" s="14"/>
      <c r="F9" s="28"/>
      <c r="G9" s="28"/>
      <c r="H9" s="28"/>
      <c r="I9" s="28"/>
      <c r="J9" s="28"/>
      <c r="L9" s="485"/>
      <c r="M9" s="473"/>
      <c r="N9" s="28"/>
      <c r="O9" s="28"/>
      <c r="P9" s="28"/>
      <c r="Q9" s="28"/>
    </row>
    <row r="10" spans="1:39"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 xml:space="preserve"> Header.Labels</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c r="Y10" s="475" t="s">
        <v>363</v>
      </c>
    </row>
    <row r="11" spans="1:39" s="15" customFormat="1" ht="15" customHeight="1">
      <c r="C11" s="16"/>
      <c r="D11" s="17"/>
      <c r="F11" s="1"/>
      <c r="K11" s="19"/>
    </row>
    <row r="12" spans="1:39" s="475" customFormat="1" ht="15" customHeight="1">
      <c r="B12" s="479" t="str">
        <f xml:space="preserve"> COUNTA(B$10:B11) &amp; ") Totale omkostninger"</f>
        <v>1) Totale omkostninger</v>
      </c>
      <c r="C12" s="477"/>
      <c r="D12" s="478"/>
      <c r="K12" s="472"/>
    </row>
    <row r="13" spans="1:39" customFormat="1" ht="15" customHeight="1">
      <c r="A13" s="1"/>
      <c r="B13" s="1"/>
      <c r="C13" s="2"/>
      <c r="D13" s="85"/>
      <c r="E13" s="1"/>
      <c r="F13" s="86"/>
      <c r="G13" s="86"/>
      <c r="H13" s="86"/>
      <c r="I13" s="86"/>
      <c r="J13" s="86"/>
      <c r="K13" s="87"/>
      <c r="L13" s="85"/>
      <c r="M13" s="85"/>
      <c r="N13" s="86"/>
      <c r="O13" s="86"/>
      <c r="P13" s="86"/>
      <c r="Q13" s="86"/>
      <c r="R13" s="1"/>
      <c r="S13" s="1"/>
      <c r="T13" s="1"/>
      <c r="U13" s="1"/>
      <c r="V13" s="1"/>
      <c r="W13" s="1"/>
      <c r="X13" s="1"/>
      <c r="Y13" s="1"/>
    </row>
    <row r="14" spans="1:39" customFormat="1" ht="15" customHeight="1">
      <c r="A14" s="1"/>
      <c r="B14" s="1"/>
      <c r="C14" s="2"/>
      <c r="D14" s="85"/>
      <c r="E14" s="1"/>
      <c r="F14" s="86"/>
      <c r="G14" s="86"/>
      <c r="H14" s="86"/>
      <c r="I14" s="86"/>
      <c r="J14" s="86"/>
      <c r="K14" s="87"/>
      <c r="L14" s="85"/>
      <c r="M14" s="85"/>
      <c r="N14" s="86"/>
      <c r="O14" s="658" t="s">
        <v>672</v>
      </c>
      <c r="P14" s="658"/>
      <c r="Q14" s="656"/>
      <c r="R14" s="658" t="s">
        <v>673</v>
      </c>
      <c r="S14" s="660" t="s">
        <v>674</v>
      </c>
      <c r="T14" s="660" t="s">
        <v>675</v>
      </c>
      <c r="U14" s="660" t="s">
        <v>676</v>
      </c>
      <c r="V14" s="660" t="s">
        <v>677</v>
      </c>
      <c r="W14" s="1"/>
      <c r="X14" s="1"/>
      <c r="Y14" s="1"/>
    </row>
    <row r="15" spans="1:39" customFormat="1" ht="15" customHeight="1">
      <c r="A15" s="1"/>
      <c r="B15" s="1"/>
      <c r="C15" s="2"/>
      <c r="D15" s="97" t="s">
        <v>49</v>
      </c>
      <c r="E15" s="27"/>
      <c r="F15" s="86"/>
      <c r="G15" s="86"/>
      <c r="H15" s="86"/>
      <c r="I15" s="86"/>
      <c r="J15" s="86"/>
      <c r="K15" s="98"/>
      <c r="L15" s="99"/>
      <c r="M15" s="85"/>
      <c r="N15" s="107" t="s">
        <v>16</v>
      </c>
      <c r="O15" s="659"/>
      <c r="P15" s="659"/>
      <c r="Q15" s="657"/>
      <c r="R15" s="659"/>
      <c r="S15" s="661"/>
      <c r="T15" s="661"/>
      <c r="U15" s="661"/>
      <c r="V15" s="661"/>
      <c r="W15" s="89" t="s">
        <v>183</v>
      </c>
      <c r="X15" s="89"/>
      <c r="Y15" s="260" t="s">
        <v>362</v>
      </c>
      <c r="AC15" s="108"/>
      <c r="AM15" s="109"/>
    </row>
    <row r="16" spans="1:39" customFormat="1" ht="15" customHeight="1">
      <c r="A16" s="1"/>
      <c r="B16" s="1"/>
      <c r="C16" s="2"/>
      <c r="D16" s="85" t="str">
        <f>'2.1 Model setup'!K91</f>
        <v>1.1 Drift og vedligeholdelse af transformerstationer</v>
      </c>
      <c r="E16" s="1"/>
      <c r="F16" s="100"/>
      <c r="G16" s="100"/>
      <c r="H16" s="100"/>
      <c r="I16" s="100"/>
      <c r="J16" s="100"/>
      <c r="K16" s="87" t="str">
        <f t="shared" ref="K16:K20" si="0" xml:space="preserve"> Model.Units</f>
        <v>DKKt</v>
      </c>
      <c r="L16" s="85">
        <f xml:space="preserve"> --  ( COUNTIF( N16:W16, "&lt;0" ) &gt; 0 ) +  -- ( COUNTIF( N16:W16, "*" ) &gt; 0 )</f>
        <v>0</v>
      </c>
      <c r="M16" s="142">
        <f xml:space="preserve"> -- ( OR( N16 = 0, N16 = "" ) )</f>
        <v>1</v>
      </c>
      <c r="N16" s="365"/>
      <c r="O16" s="513"/>
      <c r="P16" s="502"/>
      <c r="Q16" s="502"/>
      <c r="R16" s="307"/>
      <c r="S16" s="308"/>
      <c r="T16" s="309"/>
      <c r="U16" s="308"/>
      <c r="V16" s="310"/>
      <c r="W16" s="18">
        <f xml:space="preserve"> N16 - SUM( O16:V16 )</f>
        <v>0</v>
      </c>
      <c r="X16" s="111"/>
      <c r="Y16" s="121"/>
    </row>
    <row r="17" spans="1:25" customFormat="1" ht="15" customHeight="1">
      <c r="A17" s="1"/>
      <c r="B17" s="1"/>
      <c r="C17" s="2"/>
      <c r="D17" s="85" t="str">
        <f>'2.1 Model setup'!K92</f>
        <v>1.2 Drift og vedligeholdelse af ledningsnet</v>
      </c>
      <c r="E17" s="1"/>
      <c r="F17" s="102"/>
      <c r="G17" s="102"/>
      <c r="H17" s="102"/>
      <c r="I17" s="102"/>
      <c r="J17" s="102"/>
      <c r="K17" s="87" t="str">
        <f t="shared" si="0"/>
        <v>DKKt</v>
      </c>
      <c r="L17" s="85">
        <f xml:space="preserve"> --  ( COUNTIF( N17:W17, "&lt;0" ) &gt; 0 ) +  -- ( COUNTIF( N17:W17, "*" ) &gt; 0 )</f>
        <v>0</v>
      </c>
      <c r="M17" s="119">
        <f xml:space="preserve"> -- ( OR( N17 = 0, N17 = "" ) )</f>
        <v>1</v>
      </c>
      <c r="N17" s="366"/>
      <c r="O17" s="512"/>
      <c r="P17" s="501"/>
      <c r="Q17" s="501"/>
      <c r="R17" s="511"/>
      <c r="S17" s="501"/>
      <c r="T17" s="286"/>
      <c r="U17" s="501"/>
      <c r="V17" s="288"/>
      <c r="W17" s="4">
        <f xml:space="preserve"> N17 - SUM( O17:V17 )</f>
        <v>0</v>
      </c>
      <c r="X17" s="111"/>
      <c r="Y17" s="121"/>
    </row>
    <row r="18" spans="1:25" customFormat="1" ht="15" customHeight="1">
      <c r="A18" s="1"/>
      <c r="B18" s="1"/>
      <c r="C18" s="2"/>
      <c r="D18" s="85" t="str">
        <f>'2.1 Model setup'!K93</f>
        <v>4.1 Omkostninger vedrørende nettab i transformerstationer</v>
      </c>
      <c r="E18" s="1"/>
      <c r="F18" s="102"/>
      <c r="G18" s="102"/>
      <c r="H18" s="102"/>
      <c r="I18" s="102"/>
      <c r="J18" s="102"/>
      <c r="K18" s="87" t="str">
        <f t="shared" si="0"/>
        <v>DKKt</v>
      </c>
      <c r="L18" s="85">
        <f xml:space="preserve"> --  ( COUNTIF( N18:W18, "&lt;0" ) &gt; 0 ) +  -- ( COUNTIF( N18:W18, "*" ) &gt; 0 )</f>
        <v>0</v>
      </c>
      <c r="M18" s="119">
        <f t="shared" ref="M18:M20" si="1" xml:space="preserve"> -- ( OR( N18 = 0, N18 = "" ) )</f>
        <v>1</v>
      </c>
      <c r="N18" s="366"/>
      <c r="O18" s="512"/>
      <c r="P18" s="501"/>
      <c r="Q18" s="501"/>
      <c r="R18" s="313"/>
      <c r="S18" s="130"/>
      <c r="T18" s="313"/>
      <c r="U18" s="130"/>
      <c r="V18" s="516"/>
      <c r="W18" s="4">
        <f xml:space="preserve"> N18 - SUM( O18:V18 )</f>
        <v>0</v>
      </c>
      <c r="X18" s="111"/>
      <c r="Y18" s="121"/>
    </row>
    <row r="19" spans="1:25" customFormat="1" ht="15" customHeight="1">
      <c r="A19" s="1"/>
      <c r="B19" s="1"/>
      <c r="C19" s="2"/>
      <c r="D19" s="85" t="str">
        <f>'2.1 Model setup'!K94</f>
        <v>4.2 Omkostninger vedrørende nettab i ledningsnettet</v>
      </c>
      <c r="E19" s="1"/>
      <c r="F19" s="102"/>
      <c r="G19" s="102"/>
      <c r="H19" s="102"/>
      <c r="I19" s="102"/>
      <c r="J19" s="102"/>
      <c r="K19" s="87" t="str">
        <f t="shared" si="0"/>
        <v>DKKt</v>
      </c>
      <c r="L19" s="85">
        <f xml:space="preserve"> --  ( COUNTIF( N19:W19, "&lt;0" ) &gt; 0 ) +  -- ( COUNTIF( N19:W19, "*" ) &gt; 0 )</f>
        <v>0</v>
      </c>
      <c r="M19" s="119">
        <f t="shared" si="1"/>
        <v>1</v>
      </c>
      <c r="N19" s="606"/>
      <c r="O19" s="512"/>
      <c r="P19" s="501"/>
      <c r="Q19" s="501"/>
      <c r="R19" s="511"/>
      <c r="S19" s="501"/>
      <c r="T19" s="286"/>
      <c r="U19" s="501"/>
      <c r="V19" s="288"/>
      <c r="W19" s="4">
        <f xml:space="preserve"> N19 - SUM( O19:V19 )</f>
        <v>0</v>
      </c>
      <c r="X19" s="111"/>
      <c r="Y19" s="121"/>
    </row>
    <row r="20" spans="1:25" customFormat="1" ht="15" customHeight="1">
      <c r="A20" s="1"/>
      <c r="B20" s="1"/>
      <c r="C20" s="2"/>
      <c r="D20" s="105" t="s">
        <v>16</v>
      </c>
      <c r="E20" s="33"/>
      <c r="F20" s="96"/>
      <c r="G20" s="96"/>
      <c r="H20" s="96"/>
      <c r="I20" s="96"/>
      <c r="J20" s="96"/>
      <c r="K20" s="106" t="str">
        <f t="shared" si="0"/>
        <v>DKKt</v>
      </c>
      <c r="L20" s="90"/>
      <c r="M20" s="139">
        <f t="shared" si="1"/>
        <v>1</v>
      </c>
      <c r="N20" s="315">
        <f xml:space="preserve"> SUM( N16:N19 )</f>
        <v>0</v>
      </c>
      <c r="O20" s="186">
        <f xml:space="preserve"> SUM( O16:O19 )</f>
        <v>0</v>
      </c>
      <c r="P20" s="186">
        <f xml:space="preserve"> SUM( P16:P19 )</f>
        <v>0</v>
      </c>
      <c r="Q20" s="514"/>
      <c r="R20" s="186">
        <f t="shared" ref="R20:W20" si="2" xml:space="preserve"> SUM( R16:R19 )</f>
        <v>0</v>
      </c>
      <c r="S20" s="186">
        <f t="shared" si="2"/>
        <v>0</v>
      </c>
      <c r="T20" s="186">
        <f t="shared" si="2"/>
        <v>0</v>
      </c>
      <c r="U20" s="186">
        <f t="shared" si="2"/>
        <v>0</v>
      </c>
      <c r="V20" s="186">
        <f t="shared" si="2"/>
        <v>0</v>
      </c>
      <c r="W20" s="35">
        <f t="shared" si="2"/>
        <v>0</v>
      </c>
      <c r="X20" s="111"/>
      <c r="Y20" s="121"/>
    </row>
    <row r="21" spans="1:25" customFormat="1" ht="15" customHeight="1">
      <c r="A21" s="1"/>
      <c r="B21" s="1"/>
      <c r="C21" s="2"/>
      <c r="D21" s="85"/>
      <c r="E21" s="1"/>
      <c r="F21" s="86"/>
      <c r="G21" s="86"/>
      <c r="H21" s="86"/>
      <c r="I21" s="86"/>
      <c r="J21" s="86"/>
      <c r="K21" s="87"/>
      <c r="L21" s="85"/>
      <c r="M21" s="85"/>
      <c r="N21" s="86"/>
      <c r="O21" s="86"/>
      <c r="P21" s="86"/>
      <c r="Q21" s="86"/>
      <c r="R21" s="1"/>
      <c r="S21" s="1"/>
      <c r="T21" s="1"/>
      <c r="U21" s="1"/>
      <c r="V21" s="1"/>
      <c r="W21" s="1"/>
      <c r="X21" s="1"/>
      <c r="Y21" s="1"/>
    </row>
    <row r="22" spans="1:25" customFormat="1" ht="15" customHeight="1">
      <c r="A22" s="1"/>
      <c r="B22" s="1"/>
      <c r="C22" s="2"/>
      <c r="D22" s="85"/>
      <c r="E22" s="1"/>
      <c r="F22" s="86"/>
      <c r="G22" s="86"/>
      <c r="H22" s="86"/>
      <c r="I22" s="86"/>
      <c r="J22" s="86"/>
      <c r="K22" s="87"/>
      <c r="L22" s="85"/>
      <c r="M22" s="85"/>
      <c r="N22" s="86"/>
      <c r="O22" s="86"/>
      <c r="P22" s="86"/>
      <c r="Q22" s="86"/>
      <c r="R22" s="1"/>
      <c r="S22" s="1"/>
      <c r="T22" s="1"/>
      <c r="U22" s="1"/>
      <c r="V22" s="1"/>
      <c r="W22" s="1"/>
      <c r="X22" s="1"/>
      <c r="Y22" s="1"/>
    </row>
    <row r="23" spans="1:25" customFormat="1" ht="15" customHeight="1">
      <c r="A23" s="1"/>
      <c r="B23" s="1"/>
      <c r="C23" s="2"/>
      <c r="D23" s="85"/>
      <c r="E23" s="1"/>
      <c r="F23" s="107"/>
      <c r="G23" s="107"/>
      <c r="H23" s="107"/>
      <c r="I23" s="107"/>
      <c r="J23" s="107"/>
      <c r="K23" s="87"/>
      <c r="L23" s="85"/>
      <c r="M23" s="85"/>
      <c r="N23" s="107"/>
      <c r="O23" s="107"/>
      <c r="P23" s="107"/>
      <c r="Q23" s="107"/>
      <c r="R23" s="1"/>
      <c r="S23" s="1"/>
      <c r="T23" s="1"/>
      <c r="U23" s="1"/>
      <c r="V23" s="1"/>
      <c r="W23" s="1"/>
      <c r="X23" s="1"/>
      <c r="Y23" s="1"/>
    </row>
    <row r="24" spans="1:25" s="475" customFormat="1" ht="15" customHeight="1">
      <c r="B24" s="479" t="str">
        <f xml:space="preserve"> COUNTA(B$10:B23) &amp; ") Valg af skaleringsfaktor"</f>
        <v>2) Valg af skaleringsfaktor</v>
      </c>
      <c r="C24" s="477"/>
      <c r="D24" s="478"/>
      <c r="K24" s="472"/>
    </row>
    <row r="25" spans="1:25" customFormat="1" ht="15" customHeight="1">
      <c r="A25" s="1"/>
      <c r="B25" s="1"/>
      <c r="C25" s="2"/>
      <c r="D25" s="85"/>
      <c r="E25" s="1"/>
      <c r="F25" s="107"/>
      <c r="G25" s="107"/>
      <c r="H25" s="107"/>
      <c r="I25" s="107"/>
      <c r="J25" s="107"/>
      <c r="K25" s="87"/>
      <c r="L25" s="85"/>
      <c r="M25" s="85"/>
      <c r="N25" s="107"/>
      <c r="O25" s="107"/>
      <c r="P25" s="107"/>
      <c r="Q25" s="107"/>
      <c r="R25" s="1"/>
      <c r="S25" s="1"/>
      <c r="T25" s="1"/>
      <c r="U25" s="1"/>
      <c r="V25" s="1"/>
      <c r="W25" s="1"/>
      <c r="X25" s="1"/>
      <c r="Y25" s="1"/>
    </row>
    <row r="26" spans="1:25" ht="15" customHeight="1">
      <c r="D26" s="35" t="s">
        <v>638</v>
      </c>
      <c r="E26" s="27"/>
      <c r="F26" s="27"/>
      <c r="G26" s="27"/>
      <c r="H26" s="27"/>
      <c r="I26" s="27"/>
      <c r="J26" s="27"/>
      <c r="K26" s="32"/>
      <c r="L26" s="27"/>
      <c r="M26" s="27"/>
      <c r="N26" s="27"/>
      <c r="O26" s="27"/>
      <c r="P26" s="27"/>
      <c r="Q26" s="27"/>
      <c r="R26" s="27"/>
      <c r="S26" s="27"/>
      <c r="T26" s="27"/>
      <c r="U26" s="27"/>
      <c r="V26" s="27"/>
      <c r="W26" s="27"/>
      <c r="Y26" s="260" t="s">
        <v>362</v>
      </c>
    </row>
    <row r="27" spans="1:25" ht="15" customHeight="1">
      <c r="D27" s="33" t="s">
        <v>130</v>
      </c>
      <c r="E27" s="33"/>
      <c r="F27" s="33"/>
      <c r="G27" s="33"/>
      <c r="H27" s="33"/>
      <c r="I27" s="33"/>
      <c r="J27" s="33"/>
      <c r="K27" s="34" t="s">
        <v>41</v>
      </c>
      <c r="L27" s="33"/>
      <c r="M27" s="33"/>
      <c r="N27" s="604" t="s">
        <v>662</v>
      </c>
      <c r="O27" s="33"/>
      <c r="P27" s="33"/>
      <c r="Q27" s="33"/>
      <c r="R27" s="33"/>
      <c r="S27" s="33"/>
      <c r="T27" s="33"/>
      <c r="U27" s="33"/>
      <c r="V27" s="33"/>
      <c r="W27" s="33"/>
    </row>
    <row r="28" spans="1:25" ht="15" customHeight="1">
      <c r="D28" s="1"/>
    </row>
    <row r="29" spans="1:25" ht="15" customHeight="1">
      <c r="D29" s="1"/>
    </row>
    <row r="30" spans="1:25" customFormat="1" ht="15" customHeight="1">
      <c r="A30" s="1"/>
      <c r="B30" s="1"/>
      <c r="C30" s="2"/>
      <c r="D30" s="85"/>
      <c r="E30" s="1"/>
      <c r="F30" s="107"/>
      <c r="G30" s="107"/>
      <c r="H30" s="107"/>
      <c r="I30" s="107"/>
      <c r="J30" s="107"/>
      <c r="K30" s="87"/>
      <c r="L30" s="85"/>
      <c r="M30" s="85"/>
      <c r="N30" s="107"/>
      <c r="O30" s="107"/>
      <c r="P30" s="107"/>
      <c r="Q30" s="107"/>
      <c r="R30" s="1"/>
      <c r="S30" s="1"/>
      <c r="T30" s="1"/>
      <c r="U30" s="1"/>
      <c r="V30" s="1"/>
      <c r="W30" s="1"/>
      <c r="X30" s="1"/>
      <c r="Y30" s="1"/>
    </row>
    <row r="31" spans="1:25" s="475" customFormat="1" ht="15" customHeight="1">
      <c r="B31" s="479" t="str">
        <f xml:space="preserve"> COUNTA(B$10:B30) &amp; ") Overblik over mængder"</f>
        <v>3) Overblik over mængder</v>
      </c>
      <c r="C31" s="477"/>
      <c r="D31" s="478"/>
      <c r="K31" s="472"/>
    </row>
    <row r="32" spans="1:25" customFormat="1" ht="15" customHeight="1">
      <c r="A32" s="1"/>
      <c r="B32" s="1"/>
      <c r="C32" s="2"/>
      <c r="D32" s="88"/>
      <c r="E32" s="1"/>
      <c r="F32" s="107"/>
      <c r="G32" s="107"/>
      <c r="H32" s="107"/>
      <c r="I32" s="107"/>
      <c r="J32" s="107"/>
      <c r="K32" s="114"/>
      <c r="L32" s="85"/>
      <c r="M32" s="85"/>
      <c r="N32" s="107"/>
      <c r="O32" s="107"/>
      <c r="P32" s="107"/>
      <c r="Q32" s="107"/>
      <c r="R32" s="1"/>
      <c r="S32" s="1"/>
      <c r="T32" s="1"/>
      <c r="U32" s="1"/>
      <c r="V32" s="1"/>
      <c r="W32" s="1"/>
      <c r="X32" s="1"/>
      <c r="Y32" s="1"/>
    </row>
    <row r="33" spans="1:25" customFormat="1" ht="15" customHeight="1">
      <c r="A33" s="1"/>
      <c r="B33" s="1"/>
      <c r="C33" s="2"/>
      <c r="D33" s="88" t="s">
        <v>567</v>
      </c>
      <c r="E33" s="1"/>
      <c r="F33" s="107"/>
      <c r="G33" s="107"/>
      <c r="H33" s="107"/>
      <c r="I33" s="107"/>
      <c r="J33" s="107"/>
      <c r="K33" s="114"/>
      <c r="L33" s="85"/>
      <c r="M33" s="85"/>
      <c r="N33" s="107"/>
      <c r="O33" s="107"/>
      <c r="P33" s="107"/>
      <c r="Q33" s="107"/>
      <c r="R33" s="1"/>
      <c r="S33" s="1"/>
      <c r="T33" s="1"/>
      <c r="U33" s="1"/>
      <c r="V33" s="1"/>
      <c r="W33" s="89" t="s">
        <v>16</v>
      </c>
      <c r="X33" s="89"/>
      <c r="Y33" s="522"/>
    </row>
    <row r="34" spans="1:25" customFormat="1" ht="15" customHeight="1">
      <c r="A34" s="1"/>
      <c r="B34" s="1"/>
      <c r="C34" s="2"/>
      <c r="D34" s="123" t="s">
        <v>572</v>
      </c>
      <c r="E34" s="15"/>
      <c r="F34" s="116"/>
      <c r="G34" s="116"/>
      <c r="H34" s="116"/>
      <c r="I34" s="116"/>
      <c r="J34" s="116"/>
      <c r="K34" s="117" t="str">
        <f>Model.Units2</f>
        <v>kWh</v>
      </c>
      <c r="L34" s="123"/>
      <c r="M34" s="142"/>
      <c r="N34" s="116"/>
      <c r="O34" s="369"/>
      <c r="P34" s="369"/>
      <c r="Q34" s="369"/>
      <c r="R34" s="537">
        <f>'2.3 Selskabsspecifikke input'!R298</f>
        <v>0</v>
      </c>
      <c r="S34" s="537">
        <f>'2.3 Selskabsspecifikke input'!S298</f>
        <v>0</v>
      </c>
      <c r="T34" s="537">
        <f>'2.3 Selskabsspecifikke input'!T298</f>
        <v>0</v>
      </c>
      <c r="U34" s="537">
        <f>'2.3 Selskabsspecifikke input'!U298</f>
        <v>0</v>
      </c>
      <c r="V34" s="537">
        <f>'2.3 Selskabsspecifikke input'!V298</f>
        <v>0</v>
      </c>
      <c r="W34" s="18">
        <f xml:space="preserve"> SUM( O34:V34 )</f>
        <v>0</v>
      </c>
      <c r="X34" s="89"/>
      <c r="Y34" s="522"/>
    </row>
    <row r="35" spans="1:25" customFormat="1" ht="15" customHeight="1">
      <c r="A35" s="1"/>
      <c r="B35" s="1"/>
      <c r="C35" s="2"/>
      <c r="D35" s="85" t="s">
        <v>123</v>
      </c>
      <c r="E35" s="1"/>
      <c r="F35" s="107"/>
      <c r="G35" s="107"/>
      <c r="H35" s="107"/>
      <c r="I35" s="107"/>
      <c r="J35" s="107"/>
      <c r="K35" s="87" t="str">
        <f>Model.Units2</f>
        <v>kWh</v>
      </c>
      <c r="L35" s="85"/>
      <c r="M35" s="119"/>
      <c r="N35" s="107"/>
      <c r="O35" s="370"/>
      <c r="P35" s="370"/>
      <c r="Q35" s="370"/>
      <c r="R35" s="231">
        <f>'2.3 Selskabsspecifikke input'!R184</f>
        <v>0</v>
      </c>
      <c r="S35" s="231">
        <f>'2.3 Selskabsspecifikke input'!S184</f>
        <v>0</v>
      </c>
      <c r="T35" s="231">
        <f>'2.3 Selskabsspecifikke input'!T184</f>
        <v>0</v>
      </c>
      <c r="U35" s="231">
        <f>'2.3 Selskabsspecifikke input'!U184</f>
        <v>0</v>
      </c>
      <c r="V35" s="231">
        <f>'2.3 Selskabsspecifikke input'!V184</f>
        <v>0</v>
      </c>
      <c r="W35" s="4">
        <f xml:space="preserve"> SUM( O35:V35 )</f>
        <v>0</v>
      </c>
      <c r="X35" s="89"/>
      <c r="Y35" s="522"/>
    </row>
    <row r="36" spans="1:25" customFormat="1" ht="15" customHeight="1">
      <c r="A36" s="1"/>
      <c r="B36" s="1"/>
      <c r="C36" s="2"/>
      <c r="D36" s="99" t="s">
        <v>573</v>
      </c>
      <c r="E36" s="27"/>
      <c r="F36" s="115"/>
      <c r="G36" s="115"/>
      <c r="H36" s="115"/>
      <c r="I36" s="115"/>
      <c r="J36" s="115"/>
      <c r="K36" s="98" t="str">
        <f>Model.Units2</f>
        <v>kWh</v>
      </c>
      <c r="L36" s="99"/>
      <c r="M36" s="151"/>
      <c r="N36" s="115"/>
      <c r="O36" s="510">
        <f xml:space="preserve"> '2.3 Selskabsspecifikke input'!O310</f>
        <v>0</v>
      </c>
      <c r="P36" s="510">
        <f xml:space="preserve"> '2.3 Selskabsspecifikke input'!P310</f>
        <v>0</v>
      </c>
      <c r="Q36" s="368"/>
      <c r="R36" s="510">
        <f xml:space="preserve"> '2.3 Selskabsspecifikke input'!R310</f>
        <v>0</v>
      </c>
      <c r="S36" s="510">
        <f xml:space="preserve"> '2.3 Selskabsspecifikke input'!S310</f>
        <v>0</v>
      </c>
      <c r="T36" s="510">
        <f xml:space="preserve"> '2.3 Selskabsspecifikke input'!T310</f>
        <v>0</v>
      </c>
      <c r="U36" s="510">
        <f xml:space="preserve"> '2.3 Selskabsspecifikke input'!U310</f>
        <v>0</v>
      </c>
      <c r="V36" s="510">
        <f xml:space="preserve"> '2.3 Selskabsspecifikke input'!V310</f>
        <v>0</v>
      </c>
      <c r="W36" s="35">
        <f xml:space="preserve"> SUM( O36:V36 )</f>
        <v>0</v>
      </c>
      <c r="X36" s="89"/>
      <c r="Y36" s="522"/>
    </row>
    <row r="37" spans="1:25" customFormat="1" ht="15" customHeight="1">
      <c r="A37" s="1"/>
      <c r="B37" s="1"/>
      <c r="C37" s="2"/>
      <c r="D37" s="97" t="s">
        <v>571</v>
      </c>
      <c r="E37" s="27"/>
      <c r="F37" s="115"/>
      <c r="G37" s="115"/>
      <c r="H37" s="115"/>
      <c r="I37" s="115"/>
      <c r="J37" s="115"/>
      <c r="K37" s="98" t="str">
        <f>Model.Units2</f>
        <v>kWh</v>
      </c>
      <c r="L37" s="99"/>
      <c r="M37" s="151"/>
      <c r="N37" s="115"/>
      <c r="O37" s="35">
        <f t="shared" ref="O37" si="3" xml:space="preserve"> SUM(O34:O36)</f>
        <v>0</v>
      </c>
      <c r="P37" s="35">
        <f t="shared" ref="P37" si="4" xml:space="preserve"> SUM(P34:P36)</f>
        <v>0</v>
      </c>
      <c r="Q37" s="417"/>
      <c r="R37" s="35">
        <f t="shared" ref="R37:W37" si="5" xml:space="preserve"> SUM(R34:R36)</f>
        <v>0</v>
      </c>
      <c r="S37" s="35">
        <f t="shared" si="5"/>
        <v>0</v>
      </c>
      <c r="T37" s="35">
        <f t="shared" si="5"/>
        <v>0</v>
      </c>
      <c r="U37" s="35">
        <f t="shared" si="5"/>
        <v>0</v>
      </c>
      <c r="V37" s="35">
        <f t="shared" si="5"/>
        <v>0</v>
      </c>
      <c r="W37" s="35">
        <f t="shared" si="5"/>
        <v>0</v>
      </c>
      <c r="X37" s="111"/>
      <c r="Y37" s="121"/>
    </row>
    <row r="38" spans="1:25" customFormat="1" ht="15" customHeight="1">
      <c r="A38" s="1"/>
      <c r="B38" s="1"/>
      <c r="C38" s="2"/>
      <c r="D38" s="85"/>
      <c r="E38" s="1"/>
      <c r="F38" s="107"/>
      <c r="G38" s="107"/>
      <c r="H38" s="107"/>
      <c r="I38" s="107"/>
      <c r="J38" s="107"/>
      <c r="K38" s="87"/>
      <c r="L38" s="85"/>
      <c r="M38" s="85"/>
      <c r="N38" s="107"/>
      <c r="O38" s="107"/>
      <c r="P38" s="107"/>
      <c r="Q38" s="107"/>
      <c r="R38" s="1"/>
      <c r="S38" s="1"/>
      <c r="T38" s="1"/>
      <c r="U38" s="1"/>
      <c r="V38" s="1"/>
      <c r="W38" s="1"/>
      <c r="X38" s="1"/>
      <c r="Y38" s="1"/>
    </row>
    <row r="39" spans="1:25" customFormat="1" ht="15" customHeight="1">
      <c r="A39" s="1"/>
      <c r="B39" s="1"/>
      <c r="C39" s="2"/>
      <c r="D39" s="85"/>
      <c r="E39" s="1"/>
      <c r="F39" s="107"/>
      <c r="G39" s="107"/>
      <c r="H39" s="107"/>
      <c r="I39" s="107"/>
      <c r="J39" s="107"/>
      <c r="K39" s="87"/>
      <c r="L39" s="85"/>
      <c r="M39" s="85"/>
      <c r="N39" s="107"/>
      <c r="O39" s="107"/>
      <c r="P39" s="107"/>
      <c r="Q39" s="107"/>
      <c r="R39" s="1"/>
      <c r="S39" s="1"/>
      <c r="T39" s="1"/>
      <c r="U39" s="1"/>
      <c r="V39" s="1"/>
      <c r="W39" s="1"/>
      <c r="X39" s="1"/>
      <c r="Y39" s="1"/>
    </row>
    <row r="40" spans="1:25" customFormat="1" ht="15" customHeight="1">
      <c r="A40" s="1"/>
      <c r="B40" s="1"/>
      <c r="C40" s="2"/>
      <c r="D40" s="85"/>
      <c r="E40" s="1"/>
      <c r="F40" s="107"/>
      <c r="G40" s="107"/>
      <c r="H40" s="107"/>
      <c r="I40" s="107"/>
      <c r="J40" s="107"/>
      <c r="K40" s="87"/>
      <c r="L40" s="85"/>
      <c r="M40" s="85"/>
      <c r="N40" s="107"/>
      <c r="O40" s="107"/>
      <c r="P40" s="107"/>
      <c r="Q40" s="107"/>
      <c r="R40" s="1"/>
      <c r="S40" s="1"/>
      <c r="T40" s="1"/>
      <c r="U40" s="1"/>
      <c r="V40" s="1"/>
      <c r="W40" s="1"/>
      <c r="X40" s="1"/>
      <c r="Y40" s="1"/>
    </row>
    <row r="41" spans="1:25" s="475" customFormat="1" ht="15" customHeight="1">
      <c r="B41" s="479" t="str">
        <f xml:space="preserve"> COUNTA(B$10:B40) &amp; ") Fordeling af residual"</f>
        <v>4) Fordeling af residual</v>
      </c>
      <c r="C41" s="477"/>
      <c r="D41" s="478"/>
      <c r="K41" s="472"/>
    </row>
    <row r="42" spans="1:25" customFormat="1" ht="15" customHeight="1">
      <c r="A42" s="1"/>
      <c r="B42" s="1"/>
      <c r="C42" s="2"/>
      <c r="D42" s="85"/>
      <c r="E42" s="1"/>
      <c r="F42" s="107"/>
      <c r="G42" s="107"/>
      <c r="H42" s="107"/>
      <c r="I42" s="107"/>
      <c r="J42" s="107"/>
      <c r="K42" s="87"/>
      <c r="L42" s="85"/>
      <c r="M42" s="85"/>
      <c r="N42" s="107"/>
      <c r="O42" s="107"/>
      <c r="P42" s="107"/>
      <c r="Q42" s="107"/>
      <c r="R42" s="1"/>
      <c r="S42" s="1"/>
      <c r="T42" s="1"/>
      <c r="U42" s="1"/>
      <c r="V42" s="1"/>
      <c r="W42" s="1"/>
      <c r="X42" s="1"/>
      <c r="Y42" s="1"/>
    </row>
    <row r="43" spans="1:25" customFormat="1" ht="15" customHeight="1">
      <c r="A43" s="1"/>
      <c r="B43" s="1"/>
      <c r="C43" s="2"/>
      <c r="D43" s="4" t="s">
        <v>266</v>
      </c>
      <c r="E43" s="1"/>
      <c r="F43" s="107"/>
      <c r="G43" s="107"/>
      <c r="H43" s="107"/>
      <c r="I43" s="107"/>
      <c r="J43" s="107"/>
      <c r="K43" s="87"/>
      <c r="L43" s="85"/>
      <c r="M43" s="85"/>
      <c r="N43" s="107"/>
      <c r="O43" s="107"/>
      <c r="P43" s="107"/>
      <c r="Q43" s="107"/>
      <c r="R43" s="107"/>
      <c r="S43" s="107"/>
      <c r="T43" s="107"/>
      <c r="U43" s="107"/>
      <c r="V43" s="107"/>
      <c r="W43" s="107"/>
      <c r="X43" s="1"/>
      <c r="Y43" s="1"/>
    </row>
    <row r="44" spans="1:25" customFormat="1" ht="15" customHeight="1">
      <c r="A44" s="1"/>
      <c r="B44" s="1"/>
      <c r="C44" s="2"/>
      <c r="D44" s="123" t="str">
        <f>'2.1 Model setup'!K91</f>
        <v>1.1 Drift og vedligeholdelse af transformerstationer</v>
      </c>
      <c r="E44" s="15"/>
      <c r="F44" s="15"/>
      <c r="G44" s="15"/>
      <c r="H44" s="15"/>
      <c r="I44" s="15"/>
      <c r="J44" s="15"/>
      <c r="K44" s="19" t="str">
        <f>'2.2 Generelle input'!K203</f>
        <v>#</v>
      </c>
      <c r="L44" s="15"/>
      <c r="M44" s="15"/>
      <c r="N44" s="15">
        <f>'2.2 Generelle input'!N203</f>
        <v>1</v>
      </c>
      <c r="O44" s="404"/>
      <c r="P44" s="404"/>
      <c r="Q44" s="404"/>
      <c r="R44" s="404"/>
      <c r="S44" s="404"/>
      <c r="T44" s="404"/>
      <c r="U44" s="404"/>
      <c r="V44" s="404"/>
      <c r="W44" s="404"/>
      <c r="X44" s="1"/>
      <c r="Y44" s="1"/>
    </row>
    <row r="45" spans="1:25" customFormat="1" ht="15" customHeight="1">
      <c r="A45" s="1"/>
      <c r="B45" s="1"/>
      <c r="C45" s="2"/>
      <c r="D45" s="85" t="str">
        <f>'2.1 Model setup'!K92</f>
        <v>1.2 Drift og vedligeholdelse af ledningsnet</v>
      </c>
      <c r="E45" s="1"/>
      <c r="F45" s="1"/>
      <c r="G45" s="1"/>
      <c r="H45" s="1"/>
      <c r="I45" s="1"/>
      <c r="J45" s="1"/>
      <c r="K45" s="5" t="str">
        <f>'2.2 Generelle input'!K204</f>
        <v>#</v>
      </c>
      <c r="L45" s="1"/>
      <c r="M45" s="1"/>
      <c r="N45" s="1">
        <f>'2.2 Generelle input'!N204</f>
        <v>1</v>
      </c>
      <c r="O45" s="405"/>
      <c r="P45" s="405"/>
      <c r="Q45" s="405"/>
      <c r="R45" s="405"/>
      <c r="S45" s="405"/>
      <c r="T45" s="405"/>
      <c r="U45" s="405"/>
      <c r="V45" s="405"/>
      <c r="W45" s="405"/>
      <c r="X45" s="1"/>
      <c r="Y45" s="1"/>
    </row>
    <row r="46" spans="1:25" customFormat="1" ht="15" customHeight="1">
      <c r="A46" s="1"/>
      <c r="B46" s="1"/>
      <c r="C46" s="2"/>
      <c r="D46" s="85" t="str">
        <f>'2.1 Model setup'!K93</f>
        <v>4.1 Omkostninger vedrørende nettab i transformerstationer</v>
      </c>
      <c r="E46" s="1"/>
      <c r="F46" s="1"/>
      <c r="G46" s="1"/>
      <c r="H46" s="1"/>
      <c r="I46" s="1"/>
      <c r="J46" s="1"/>
      <c r="K46" s="5" t="str">
        <f>'2.2 Generelle input'!K211</f>
        <v>#</v>
      </c>
      <c r="L46" s="1"/>
      <c r="M46" s="1"/>
      <c r="N46" s="1">
        <f>'2.2 Generelle input'!N211</f>
        <v>0</v>
      </c>
      <c r="O46" s="405"/>
      <c r="P46" s="405"/>
      <c r="Q46" s="405"/>
      <c r="R46" s="405"/>
      <c r="S46" s="405"/>
      <c r="T46" s="405"/>
      <c r="U46" s="405"/>
      <c r="V46" s="405"/>
      <c r="W46" s="405"/>
      <c r="X46" s="1"/>
      <c r="Y46" s="1"/>
    </row>
    <row r="47" spans="1:25" customFormat="1" ht="15" customHeight="1">
      <c r="A47" s="1"/>
      <c r="B47" s="1"/>
      <c r="C47" s="2"/>
      <c r="D47" s="99" t="str">
        <f>'2.1 Model setup'!K94</f>
        <v>4.2 Omkostninger vedrørende nettab i ledningsnettet</v>
      </c>
      <c r="E47" s="27"/>
      <c r="F47" s="27"/>
      <c r="G47" s="27"/>
      <c r="H47" s="27"/>
      <c r="I47" s="27"/>
      <c r="J47" s="27"/>
      <c r="K47" s="32" t="str">
        <f>'2.2 Generelle input'!K212</f>
        <v>#</v>
      </c>
      <c r="L47" s="27"/>
      <c r="M47" s="27"/>
      <c r="N47" s="27">
        <f>'2.2 Generelle input'!N212</f>
        <v>0</v>
      </c>
      <c r="O47" s="406"/>
      <c r="P47" s="406"/>
      <c r="Q47" s="406"/>
      <c r="R47" s="406"/>
      <c r="S47" s="406"/>
      <c r="T47" s="406"/>
      <c r="U47" s="406"/>
      <c r="V47" s="406"/>
      <c r="W47" s="406"/>
      <c r="X47" s="1"/>
      <c r="Y47" s="1"/>
    </row>
    <row r="48" spans="1:25" customFormat="1" ht="15" customHeight="1">
      <c r="A48" s="1"/>
      <c r="B48" s="1"/>
      <c r="C48" s="2"/>
      <c r="D48" s="85"/>
      <c r="E48" s="1"/>
      <c r="F48" s="107"/>
      <c r="G48" s="107"/>
      <c r="H48" s="107"/>
      <c r="I48" s="107"/>
      <c r="J48" s="107"/>
      <c r="K48" s="87"/>
      <c r="L48" s="85"/>
      <c r="M48" s="85"/>
      <c r="N48" s="87"/>
      <c r="O48" s="107"/>
      <c r="P48" s="107"/>
      <c r="Q48" s="107"/>
      <c r="R48" s="107"/>
      <c r="S48" s="107"/>
      <c r="T48" s="107"/>
      <c r="U48" s="107"/>
      <c r="V48" s="107"/>
      <c r="W48" s="107"/>
      <c r="X48" s="1"/>
      <c r="Y48" s="1"/>
    </row>
    <row r="49" spans="1:25" customFormat="1" ht="15" customHeight="1">
      <c r="A49" s="1"/>
      <c r="B49" s="1"/>
      <c r="C49" s="2"/>
      <c r="D49" s="88" t="s">
        <v>590</v>
      </c>
      <c r="E49" s="1"/>
      <c r="F49" s="107"/>
      <c r="G49" s="107"/>
      <c r="H49" s="107"/>
      <c r="I49" s="107"/>
      <c r="J49" s="107"/>
      <c r="K49" s="87"/>
      <c r="L49" s="85"/>
      <c r="M49" s="85"/>
      <c r="N49" s="107"/>
      <c r="O49" s="107"/>
      <c r="P49" s="107"/>
      <c r="Q49" s="107"/>
      <c r="R49" s="107"/>
      <c r="S49" s="107"/>
      <c r="T49" s="107"/>
      <c r="U49" s="107"/>
      <c r="V49" s="107"/>
      <c r="W49" s="107"/>
      <c r="X49" s="1"/>
      <c r="Y49" s="1"/>
    </row>
    <row r="50" spans="1:25" customFormat="1" ht="15" customHeight="1">
      <c r="A50" s="1"/>
      <c r="B50" s="1"/>
      <c r="C50" s="2"/>
      <c r="D50" s="123" t="str">
        <f>'2.1 Model setup'!K91</f>
        <v>1.1 Drift og vedligeholdelse af transformerstationer</v>
      </c>
      <c r="E50" s="15"/>
      <c r="F50" s="116"/>
      <c r="G50" s="116"/>
      <c r="H50" s="116"/>
      <c r="I50" s="116"/>
      <c r="J50" s="116"/>
      <c r="K50" s="117" t="s">
        <v>41</v>
      </c>
      <c r="L50" s="123"/>
      <c r="M50" s="142"/>
      <c r="N50" s="519"/>
      <c r="O50" s="193">
        <f xml:space="preserve"> IFERROR( INDEX( '2.2 Generelle input'!O$248:O$262,  MATCH( $D50,'2.2 Generelle input'!$D$248:$D$262, 0 ) ), 0 )</f>
        <v>0</v>
      </c>
      <c r="P50" s="193">
        <f xml:space="preserve"> IFERROR( INDEX( '2.2 Generelle input'!P$248:P$262,  MATCH( $D50,'2.2 Generelle input'!$D$248:$D$262, 0 ) ), 0 )</f>
        <v>0</v>
      </c>
      <c r="Q50" s="193">
        <f xml:space="preserve"> IFERROR( INDEX( '2.2 Generelle input'!Q$248:Q$262,  MATCH( $D50,'2.2 Generelle input'!$D$248:$D$262, 0 ) ), 0 )</f>
        <v>0</v>
      </c>
      <c r="R50" s="193">
        <f xml:space="preserve"> IFERROR( INDEX( '2.2 Generelle input'!R$248:R$262,  MATCH( $D50,'2.2 Generelle input'!$D$248:$D$262, 0 ) ), 0 )</f>
        <v>1</v>
      </c>
      <c r="S50" s="193">
        <f xml:space="preserve"> IFERROR( INDEX( '2.2 Generelle input'!S$248:S$262,  MATCH( $D50,'2.2 Generelle input'!$D$248:$D$262, 0 ) ), 0 )</f>
        <v>1</v>
      </c>
      <c r="T50" s="193">
        <f xml:space="preserve"> IFERROR( INDEX( '2.2 Generelle input'!T$248:T$262,  MATCH( $D50,'2.2 Generelle input'!$D$248:$D$262, 0 ) ), 0 )</f>
        <v>1</v>
      </c>
      <c r="U50" s="193">
        <f xml:space="preserve"> IFERROR( INDEX( '2.2 Generelle input'!U$248:U$262,  MATCH( $D50,'2.2 Generelle input'!$D$248:$D$262, 0 ) ), 0 )</f>
        <v>1</v>
      </c>
      <c r="V50" s="193">
        <f xml:space="preserve"> IFERROR( INDEX( '2.2 Generelle input'!V$248:V$262,  MATCH( $D50,'2.2 Generelle input'!$D$248:$D$262, 0 ) ), 0 )</f>
        <v>1</v>
      </c>
      <c r="W50" s="193"/>
      <c r="X50" s="1"/>
      <c r="Y50" s="1"/>
    </row>
    <row r="51" spans="1:25" customFormat="1" ht="15" customHeight="1">
      <c r="A51" s="1"/>
      <c r="B51" s="1"/>
      <c r="C51" s="2"/>
      <c r="D51" s="85" t="str">
        <f>'2.1 Model setup'!K92</f>
        <v>1.2 Drift og vedligeholdelse af ledningsnet</v>
      </c>
      <c r="E51" s="1"/>
      <c r="F51" s="107"/>
      <c r="G51" s="107"/>
      <c r="H51" s="107"/>
      <c r="I51" s="107"/>
      <c r="J51" s="107"/>
      <c r="K51" s="87" t="s">
        <v>41</v>
      </c>
      <c r="L51" s="85"/>
      <c r="M51" s="119"/>
      <c r="N51" s="518"/>
      <c r="O51" s="194">
        <f xml:space="preserve"> IFERROR( INDEX( '2.2 Generelle input'!O$248:O$262,  MATCH( $D51,'2.2 Generelle input'!$D$248:$D$262, 0 ) ), 0 )</f>
        <v>0</v>
      </c>
      <c r="P51" s="194">
        <f xml:space="preserve"> IFERROR( INDEX( '2.2 Generelle input'!P$248:P$262,  MATCH( $D51,'2.2 Generelle input'!$D$248:$D$262, 0 ) ), 0 )</f>
        <v>0</v>
      </c>
      <c r="Q51" s="194">
        <f xml:space="preserve"> IFERROR( INDEX( '2.2 Generelle input'!Q$248:Q$262,  MATCH( $D51,'2.2 Generelle input'!$D$248:$D$262, 0 ) ), 0 )</f>
        <v>0</v>
      </c>
      <c r="R51" s="194">
        <f xml:space="preserve"> IFERROR( INDEX( '2.2 Generelle input'!R$248:R$262,  MATCH( $D51,'2.2 Generelle input'!$D$248:$D$262, 0 ) ), 0 )</f>
        <v>1</v>
      </c>
      <c r="S51" s="194">
        <f xml:space="preserve"> IFERROR( INDEX( '2.2 Generelle input'!S$248:S$262,  MATCH( $D51,'2.2 Generelle input'!$D$248:$D$262, 0 ) ), 0 )</f>
        <v>1</v>
      </c>
      <c r="T51" s="194">
        <f xml:space="preserve"> IFERROR( INDEX( '2.2 Generelle input'!T$248:T$262,  MATCH( $D51,'2.2 Generelle input'!$D$248:$D$262, 0 ) ), 0 )</f>
        <v>1</v>
      </c>
      <c r="U51" s="194">
        <f xml:space="preserve"> IFERROR( INDEX( '2.2 Generelle input'!U$248:U$262,  MATCH( $D51,'2.2 Generelle input'!$D$248:$D$262, 0 ) ), 0 )</f>
        <v>1</v>
      </c>
      <c r="V51" s="194">
        <f xml:space="preserve"> IFERROR( INDEX( '2.2 Generelle input'!V$248:V$262,  MATCH( $D51,'2.2 Generelle input'!$D$248:$D$262, 0 ) ), 0 )</f>
        <v>1</v>
      </c>
      <c r="W51" s="194"/>
      <c r="X51" s="1"/>
      <c r="Y51" s="1"/>
    </row>
    <row r="52" spans="1:25" customFormat="1" ht="15" customHeight="1">
      <c r="A52" s="1"/>
      <c r="B52" s="1"/>
      <c r="C52" s="2"/>
      <c r="D52" s="85" t="str">
        <f>'2.1 Model setup'!K93</f>
        <v>4.1 Omkostninger vedrørende nettab i transformerstationer</v>
      </c>
      <c r="E52" s="1"/>
      <c r="F52" s="107"/>
      <c r="G52" s="107"/>
      <c r="H52" s="107"/>
      <c r="I52" s="107"/>
      <c r="J52" s="107"/>
      <c r="K52" s="87" t="s">
        <v>41</v>
      </c>
      <c r="L52" s="85"/>
      <c r="M52" s="119"/>
      <c r="N52" s="518"/>
      <c r="O52" s="194">
        <f xml:space="preserve"> IFERROR( INDEX( '2.2 Generelle input'!O$248:O$262,  MATCH( $D52,'2.2 Generelle input'!$D$248:$D$262, 0 ) ), 0 )</f>
        <v>0</v>
      </c>
      <c r="P52" s="194">
        <f xml:space="preserve"> IFERROR( INDEX( '2.2 Generelle input'!P$248:P$262,  MATCH( $D52,'2.2 Generelle input'!$D$248:$D$262, 0 ) ), 0 )</f>
        <v>0</v>
      </c>
      <c r="Q52" s="194">
        <f xml:space="preserve"> IFERROR( INDEX( '2.2 Generelle input'!Q$248:Q$262,  MATCH( $D52,'2.2 Generelle input'!$D$248:$D$262, 0 ) ), 0 )</f>
        <v>0</v>
      </c>
      <c r="R52" s="194">
        <f xml:space="preserve"> IFERROR( INDEX( '2.2 Generelle input'!R$248:R$262,  MATCH( $D52,'2.2 Generelle input'!$D$248:$D$262, 0 ) ), 0 )</f>
        <v>1</v>
      </c>
      <c r="S52" s="194">
        <f xml:space="preserve"> IFERROR( INDEX( '2.2 Generelle input'!S$248:S$262,  MATCH( $D52,'2.2 Generelle input'!$D$248:$D$262, 0 ) ), 0 )</f>
        <v>1</v>
      </c>
      <c r="T52" s="194">
        <f xml:space="preserve"> IFERROR( INDEX( '2.2 Generelle input'!T$248:T$262,  MATCH( $D52,'2.2 Generelle input'!$D$248:$D$262, 0 ) ), 0 )</f>
        <v>1</v>
      </c>
      <c r="U52" s="194">
        <f xml:space="preserve"> IFERROR( INDEX( '2.2 Generelle input'!U$248:U$262,  MATCH( $D52,'2.2 Generelle input'!$D$248:$D$262, 0 ) ), 0 )</f>
        <v>1</v>
      </c>
      <c r="V52" s="194">
        <f xml:space="preserve"> IFERROR( INDEX( '2.2 Generelle input'!V$248:V$262,  MATCH( $D52,'2.2 Generelle input'!$D$248:$D$262, 0 ) ), 0 )</f>
        <v>1</v>
      </c>
      <c r="W52" s="194"/>
      <c r="X52" s="1"/>
      <c r="Y52" s="1"/>
    </row>
    <row r="53" spans="1:25" customFormat="1" ht="15" customHeight="1">
      <c r="A53" s="1"/>
      <c r="B53" s="1"/>
      <c r="C53" s="2"/>
      <c r="D53" s="99" t="str">
        <f>'2.1 Model setup'!K94</f>
        <v>4.2 Omkostninger vedrørende nettab i ledningsnettet</v>
      </c>
      <c r="E53" s="27"/>
      <c r="F53" s="115"/>
      <c r="G53" s="115"/>
      <c r="H53" s="115"/>
      <c r="I53" s="115"/>
      <c r="J53" s="115"/>
      <c r="K53" s="98" t="s">
        <v>41</v>
      </c>
      <c r="L53" s="99"/>
      <c r="M53" s="151"/>
      <c r="N53" s="585"/>
      <c r="O53" s="195">
        <f xml:space="preserve"> IFERROR( INDEX( '2.2 Generelle input'!O$248:O$262,  MATCH( $D53,'2.2 Generelle input'!$D$248:$D$262, 0 ) ), 0 )</f>
        <v>0</v>
      </c>
      <c r="P53" s="195">
        <f xml:space="preserve"> IFERROR( INDEX( '2.2 Generelle input'!P$248:P$262,  MATCH( $D53,'2.2 Generelle input'!$D$248:$D$262, 0 ) ), 0 )</f>
        <v>0</v>
      </c>
      <c r="Q53" s="195">
        <f xml:space="preserve"> IFERROR( INDEX( '2.2 Generelle input'!Q$248:Q$262,  MATCH( $D53,'2.2 Generelle input'!$D$248:$D$262, 0 ) ), 0 )</f>
        <v>0</v>
      </c>
      <c r="R53" s="195">
        <f xml:space="preserve"> IFERROR( INDEX( '2.2 Generelle input'!R$248:R$262,  MATCH( $D53,'2.2 Generelle input'!$D$248:$D$262, 0 ) ), 0 )</f>
        <v>1</v>
      </c>
      <c r="S53" s="195">
        <f xml:space="preserve"> IFERROR( INDEX( '2.2 Generelle input'!S$248:S$262,  MATCH( $D53,'2.2 Generelle input'!$D$248:$D$262, 0 ) ), 0 )</f>
        <v>1</v>
      </c>
      <c r="T53" s="195">
        <f xml:space="preserve"> IFERROR( INDEX( '2.2 Generelle input'!T$248:T$262,  MATCH( $D53,'2.2 Generelle input'!$D$248:$D$262, 0 ) ), 0 )</f>
        <v>1</v>
      </c>
      <c r="U53" s="195">
        <f xml:space="preserve"> IFERROR( INDEX( '2.2 Generelle input'!U$248:U$262,  MATCH( $D53,'2.2 Generelle input'!$D$248:$D$262, 0 ) ), 0 )</f>
        <v>1</v>
      </c>
      <c r="V53" s="195">
        <f xml:space="preserve"> IFERROR( INDEX( '2.2 Generelle input'!V$248:V$262,  MATCH( $D53,'2.2 Generelle input'!$D$248:$D$262, 0 ) ), 0 )</f>
        <v>1</v>
      </c>
      <c r="W53" s="195"/>
      <c r="X53" s="1"/>
      <c r="Y53" s="1"/>
    </row>
    <row r="54" spans="1:25" customFormat="1" ht="15" customHeight="1">
      <c r="A54" s="1"/>
      <c r="B54" s="1"/>
      <c r="C54" s="2"/>
      <c r="D54" s="1"/>
      <c r="E54" s="1"/>
      <c r="F54" s="107"/>
      <c r="G54" s="107"/>
      <c r="H54" s="107"/>
      <c r="I54" s="107"/>
      <c r="J54" s="107"/>
      <c r="K54" s="87"/>
      <c r="L54" s="85"/>
      <c r="M54" s="119"/>
      <c r="N54" s="518"/>
      <c r="O54" s="518"/>
      <c r="P54" s="518"/>
      <c r="Q54" s="518"/>
      <c r="R54" s="518"/>
      <c r="S54" s="518"/>
      <c r="T54" s="518"/>
      <c r="U54" s="518"/>
      <c r="V54" s="518"/>
      <c r="W54" s="518"/>
      <c r="X54" s="1"/>
      <c r="Y54" s="1"/>
    </row>
    <row r="55" spans="1:25" customFormat="1" ht="15" customHeight="1">
      <c r="A55" s="1"/>
      <c r="B55" s="1"/>
      <c r="C55" s="2"/>
      <c r="D55" s="88" t="s">
        <v>576</v>
      </c>
      <c r="E55" s="1"/>
      <c r="F55" s="107"/>
      <c r="G55" s="107"/>
      <c r="H55" s="107"/>
      <c r="I55" s="107"/>
      <c r="J55" s="107"/>
      <c r="K55" s="87"/>
      <c r="L55" s="85"/>
      <c r="M55" s="85"/>
      <c r="N55" s="107"/>
      <c r="O55" s="107"/>
      <c r="P55" s="107"/>
      <c r="Q55" s="107"/>
      <c r="R55" s="1"/>
      <c r="S55" s="1"/>
      <c r="T55" s="1"/>
      <c r="U55" s="1"/>
      <c r="V55" s="1"/>
      <c r="W55" s="89" t="s">
        <v>16</v>
      </c>
      <c r="X55" s="1"/>
      <c r="Y55" s="1"/>
    </row>
    <row r="56" spans="1:25" customFormat="1" ht="15" customHeight="1">
      <c r="A56" s="1"/>
      <c r="B56" s="1"/>
      <c r="C56" s="2"/>
      <c r="D56" s="123" t="str">
        <f>'2.1 Model setup'!K91</f>
        <v>1.1 Drift og vedligeholdelse af transformerstationer</v>
      </c>
      <c r="E56" s="15"/>
      <c r="F56" s="116"/>
      <c r="G56" s="116"/>
      <c r="H56" s="116"/>
      <c r="I56" s="116"/>
      <c r="J56" s="116"/>
      <c r="K56" s="117" t="str">
        <f>Model.Units2</f>
        <v>kWh</v>
      </c>
      <c r="L56" s="180"/>
      <c r="M56" s="180"/>
      <c r="N56" s="180"/>
      <c r="O56" s="15">
        <f t="shared" ref="O56:V59" si="6">(O$34+O$35*$N44+O$36)*O50</f>
        <v>0</v>
      </c>
      <c r="P56" s="15">
        <f t="shared" si="6"/>
        <v>0</v>
      </c>
      <c r="Q56" s="15">
        <f t="shared" si="6"/>
        <v>0</v>
      </c>
      <c r="R56" s="15">
        <f t="shared" si="6"/>
        <v>0</v>
      </c>
      <c r="S56" s="15">
        <f t="shared" si="6"/>
        <v>0</v>
      </c>
      <c r="T56" s="15">
        <f t="shared" si="6"/>
        <v>0</v>
      </c>
      <c r="U56" s="15">
        <f t="shared" si="6"/>
        <v>0</v>
      </c>
      <c r="V56" s="15">
        <f t="shared" si="6"/>
        <v>0</v>
      </c>
      <c r="W56" s="18">
        <f xml:space="preserve"> SUM( O56:V56 )</f>
        <v>0</v>
      </c>
      <c r="X56" s="111"/>
      <c r="Y56" s="121"/>
    </row>
    <row r="57" spans="1:25" customFormat="1" ht="15" customHeight="1">
      <c r="A57" s="1"/>
      <c r="B57" s="1"/>
      <c r="C57" s="2"/>
      <c r="D57" s="85" t="str">
        <f>'2.1 Model setup'!K92</f>
        <v>1.2 Drift og vedligeholdelse af ledningsnet</v>
      </c>
      <c r="E57" s="1"/>
      <c r="F57" s="107"/>
      <c r="G57" s="107"/>
      <c r="H57" s="107"/>
      <c r="I57" s="107"/>
      <c r="J57" s="107"/>
      <c r="K57" s="87" t="str">
        <f>Model.Units2</f>
        <v>kWh</v>
      </c>
      <c r="L57" s="181"/>
      <c r="M57" s="181"/>
      <c r="N57" s="181"/>
      <c r="O57" s="1">
        <f t="shared" si="6"/>
        <v>0</v>
      </c>
      <c r="P57" s="1">
        <f t="shared" si="6"/>
        <v>0</v>
      </c>
      <c r="Q57" s="1">
        <f t="shared" si="6"/>
        <v>0</v>
      </c>
      <c r="R57" s="1">
        <f t="shared" si="6"/>
        <v>0</v>
      </c>
      <c r="S57" s="1">
        <f t="shared" si="6"/>
        <v>0</v>
      </c>
      <c r="T57" s="1">
        <f t="shared" si="6"/>
        <v>0</v>
      </c>
      <c r="U57" s="1">
        <f t="shared" si="6"/>
        <v>0</v>
      </c>
      <c r="V57" s="1">
        <f t="shared" si="6"/>
        <v>0</v>
      </c>
      <c r="W57" s="4">
        <f xml:space="preserve"> SUM( O57:V57 )</f>
        <v>0</v>
      </c>
      <c r="X57" s="111"/>
      <c r="Y57" s="121"/>
    </row>
    <row r="58" spans="1:25" customFormat="1" ht="15" customHeight="1">
      <c r="A58" s="1"/>
      <c r="B58" s="1"/>
      <c r="C58" s="2"/>
      <c r="D58" s="85" t="str">
        <f>'2.1 Model setup'!K93</f>
        <v>4.1 Omkostninger vedrørende nettab i transformerstationer</v>
      </c>
      <c r="E58" s="1"/>
      <c r="F58" s="107"/>
      <c r="G58" s="107"/>
      <c r="H58" s="107"/>
      <c r="I58" s="107"/>
      <c r="J58" s="107"/>
      <c r="K58" s="87" t="str">
        <f>Model.Units2</f>
        <v>kWh</v>
      </c>
      <c r="L58" s="181"/>
      <c r="M58" s="181"/>
      <c r="N58" s="181"/>
      <c r="O58" s="1">
        <f t="shared" si="6"/>
        <v>0</v>
      </c>
      <c r="P58" s="1">
        <f t="shared" si="6"/>
        <v>0</v>
      </c>
      <c r="Q58" s="1">
        <f t="shared" si="6"/>
        <v>0</v>
      </c>
      <c r="R58" s="1">
        <f t="shared" si="6"/>
        <v>0</v>
      </c>
      <c r="S58" s="1">
        <f t="shared" si="6"/>
        <v>0</v>
      </c>
      <c r="T58" s="1">
        <f t="shared" si="6"/>
        <v>0</v>
      </c>
      <c r="U58" s="1">
        <f t="shared" si="6"/>
        <v>0</v>
      </c>
      <c r="V58" s="1">
        <f t="shared" si="6"/>
        <v>0</v>
      </c>
      <c r="W58" s="4">
        <f xml:space="preserve"> SUM( O58:V58 )</f>
        <v>0</v>
      </c>
      <c r="X58" s="111"/>
      <c r="Y58" s="121"/>
    </row>
    <row r="59" spans="1:25" customFormat="1" ht="15" customHeight="1">
      <c r="A59" s="1"/>
      <c r="B59" s="1"/>
      <c r="C59" s="2"/>
      <c r="D59" s="99" t="str">
        <f>'2.1 Model setup'!K94</f>
        <v>4.2 Omkostninger vedrørende nettab i ledningsnettet</v>
      </c>
      <c r="E59" s="27"/>
      <c r="F59" s="115"/>
      <c r="G59" s="115"/>
      <c r="H59" s="115"/>
      <c r="I59" s="115"/>
      <c r="J59" s="115"/>
      <c r="K59" s="98" t="str">
        <f>Model.Units2</f>
        <v>kWh</v>
      </c>
      <c r="L59" s="182"/>
      <c r="M59" s="182"/>
      <c r="N59" s="182"/>
      <c r="O59" s="27">
        <f t="shared" si="6"/>
        <v>0</v>
      </c>
      <c r="P59" s="27">
        <f t="shared" si="6"/>
        <v>0</v>
      </c>
      <c r="Q59" s="27">
        <f t="shared" si="6"/>
        <v>0</v>
      </c>
      <c r="R59" s="27">
        <f t="shared" si="6"/>
        <v>0</v>
      </c>
      <c r="S59" s="27">
        <f t="shared" si="6"/>
        <v>0</v>
      </c>
      <c r="T59" s="27">
        <f t="shared" si="6"/>
        <v>0</v>
      </c>
      <c r="U59" s="27">
        <f t="shared" si="6"/>
        <v>0</v>
      </c>
      <c r="V59" s="27">
        <f t="shared" si="6"/>
        <v>0</v>
      </c>
      <c r="W59" s="35">
        <f xml:space="preserve"> SUM( O59:V59 )</f>
        <v>0</v>
      </c>
      <c r="X59" s="111"/>
      <c r="Y59" s="121"/>
    </row>
    <row r="60" spans="1:25" customFormat="1" ht="15" customHeight="1">
      <c r="A60" s="1"/>
      <c r="B60" s="1"/>
      <c r="C60" s="2"/>
      <c r="D60" s="85"/>
      <c r="E60" s="1"/>
      <c r="F60" s="107"/>
      <c r="G60" s="107"/>
      <c r="H60" s="107"/>
      <c r="I60" s="107"/>
      <c r="J60" s="107"/>
      <c r="K60" s="87"/>
      <c r="L60" s="85"/>
      <c r="M60" s="85"/>
      <c r="N60" s="107"/>
      <c r="O60" s="107"/>
      <c r="P60" s="107"/>
      <c r="Q60" s="107"/>
      <c r="R60" s="1"/>
      <c r="S60" s="1"/>
      <c r="T60" s="1"/>
      <c r="U60" s="1"/>
      <c r="V60" s="1"/>
      <c r="W60" s="1"/>
      <c r="X60" s="1"/>
      <c r="Y60" s="1"/>
    </row>
    <row r="61" spans="1:25" customFormat="1" ht="15" customHeight="1">
      <c r="A61" s="1"/>
      <c r="B61" s="1"/>
      <c r="C61" s="2"/>
      <c r="D61" s="88" t="s">
        <v>574</v>
      </c>
      <c r="E61" s="1"/>
      <c r="F61" s="107"/>
      <c r="G61" s="107"/>
      <c r="H61" s="107"/>
      <c r="I61" s="107"/>
      <c r="J61" s="107"/>
      <c r="K61" s="87"/>
      <c r="L61" s="85"/>
      <c r="M61" s="85"/>
      <c r="N61" s="107"/>
      <c r="O61" s="107"/>
      <c r="P61" s="107"/>
      <c r="Q61" s="107"/>
      <c r="R61" s="1"/>
      <c r="S61" s="1"/>
      <c r="T61" s="1"/>
      <c r="U61" s="1"/>
      <c r="V61" s="1"/>
      <c r="W61" s="89" t="s">
        <v>16</v>
      </c>
      <c r="X61" s="1"/>
      <c r="Y61" s="1"/>
    </row>
    <row r="62" spans="1:25" customFormat="1" ht="15" customHeight="1">
      <c r="A62" s="1"/>
      <c r="B62" s="1"/>
      <c r="C62" s="2"/>
      <c r="D62" s="123" t="str">
        <f>'2.1 Model setup'!K91</f>
        <v>1.1 Drift og vedligeholdelse af transformerstationer</v>
      </c>
      <c r="E62" s="15"/>
      <c r="F62" s="116"/>
      <c r="G62" s="116"/>
      <c r="H62" s="116"/>
      <c r="I62" s="116"/>
      <c r="J62" s="116"/>
      <c r="K62" s="117" t="s">
        <v>4</v>
      </c>
      <c r="L62" s="123">
        <f xml:space="preserve"> -- ( IF( AND( COUNTIF( R62:V62, "&lt;&gt;0" ) = 0, COUNTIF( O62:P62, "&lt;&gt;0") = 0 ), 0, ROUND( SUM( O62:V62 ), 5 ) &lt;&gt; 100% ) )</f>
        <v>0</v>
      </c>
      <c r="M62" s="180"/>
      <c r="N62" s="180"/>
      <c r="O62" s="597">
        <f t="shared" ref="O62:P65" si="7">IF($W56=0,0,O56/$W56)</f>
        <v>0</v>
      </c>
      <c r="P62" s="597">
        <f t="shared" si="7"/>
        <v>0</v>
      </c>
      <c r="Q62" s="404"/>
      <c r="R62" s="597">
        <f t="shared" ref="R62:V65" si="8">IF($W56=0,0,R56/$W56)</f>
        <v>0</v>
      </c>
      <c r="S62" s="597">
        <f t="shared" si="8"/>
        <v>0</v>
      </c>
      <c r="T62" s="597">
        <f t="shared" si="8"/>
        <v>0</v>
      </c>
      <c r="U62" s="597">
        <f t="shared" si="8"/>
        <v>0</v>
      </c>
      <c r="V62" s="597">
        <f t="shared" si="8"/>
        <v>0</v>
      </c>
      <c r="W62" s="354">
        <f xml:space="preserve"> SUM( O62:V62 )</f>
        <v>0</v>
      </c>
      <c r="X62" s="111"/>
      <c r="Y62" s="121"/>
    </row>
    <row r="63" spans="1:25" customFormat="1" ht="15" customHeight="1">
      <c r="A63" s="1"/>
      <c r="B63" s="1"/>
      <c r="C63" s="2"/>
      <c r="D63" s="85" t="str">
        <f>'2.1 Model setup'!K92</f>
        <v>1.2 Drift og vedligeholdelse af ledningsnet</v>
      </c>
      <c r="E63" s="1"/>
      <c r="F63" s="107"/>
      <c r="G63" s="107"/>
      <c r="H63" s="107"/>
      <c r="I63" s="107"/>
      <c r="J63" s="107"/>
      <c r="K63" s="87" t="s">
        <v>4</v>
      </c>
      <c r="L63" s="85">
        <f t="shared" ref="L63:L65" si="9" xml:space="preserve"> -- ( IF( AND( COUNTIF( R63:V63, "&lt;&gt;0" ) = 0, COUNTIF( O63:P63, "&lt;&gt;0") = 0 ), 0, ROUND( SUM( O63:V63 ), 5 ) &lt;&gt; 100% ) )</f>
        <v>0</v>
      </c>
      <c r="M63" s="181"/>
      <c r="N63" s="181"/>
      <c r="O63" s="181">
        <f t="shared" si="7"/>
        <v>0</v>
      </c>
      <c r="P63" s="181">
        <f t="shared" si="7"/>
        <v>0</v>
      </c>
      <c r="Q63" s="405"/>
      <c r="R63" s="181">
        <f t="shared" si="8"/>
        <v>0</v>
      </c>
      <c r="S63" s="181">
        <f t="shared" si="8"/>
        <v>0</v>
      </c>
      <c r="T63" s="181">
        <f t="shared" si="8"/>
        <v>0</v>
      </c>
      <c r="U63" s="181">
        <f t="shared" si="8"/>
        <v>0</v>
      </c>
      <c r="V63" s="181">
        <f t="shared" si="8"/>
        <v>0</v>
      </c>
      <c r="W63" s="198">
        <f xml:space="preserve"> SUM( O63:V63 )</f>
        <v>0</v>
      </c>
      <c r="X63" s="111"/>
      <c r="Y63" s="121"/>
    </row>
    <row r="64" spans="1:25" customFormat="1" ht="15" customHeight="1">
      <c r="A64" s="1"/>
      <c r="B64" s="1"/>
      <c r="C64" s="2"/>
      <c r="D64" s="85" t="str">
        <f>'2.1 Model setup'!K93</f>
        <v>4.1 Omkostninger vedrørende nettab i transformerstationer</v>
      </c>
      <c r="E64" s="1"/>
      <c r="F64" s="107"/>
      <c r="G64" s="107"/>
      <c r="H64" s="107"/>
      <c r="I64" s="107"/>
      <c r="J64" s="107"/>
      <c r="K64" s="87" t="s">
        <v>4</v>
      </c>
      <c r="L64" s="85">
        <f t="shared" si="9"/>
        <v>0</v>
      </c>
      <c r="M64" s="181"/>
      <c r="N64" s="181"/>
      <c r="O64" s="181">
        <f t="shared" si="7"/>
        <v>0</v>
      </c>
      <c r="P64" s="181">
        <f t="shared" si="7"/>
        <v>0</v>
      </c>
      <c r="Q64" s="405"/>
      <c r="R64" s="181">
        <f t="shared" si="8"/>
        <v>0</v>
      </c>
      <c r="S64" s="181">
        <f t="shared" si="8"/>
        <v>0</v>
      </c>
      <c r="T64" s="181">
        <f t="shared" si="8"/>
        <v>0</v>
      </c>
      <c r="U64" s="181">
        <f t="shared" si="8"/>
        <v>0</v>
      </c>
      <c r="V64" s="181">
        <f t="shared" si="8"/>
        <v>0</v>
      </c>
      <c r="W64" s="198">
        <f xml:space="preserve"> SUM( O64:V64 )</f>
        <v>0</v>
      </c>
      <c r="X64" s="111"/>
      <c r="Y64" s="121"/>
    </row>
    <row r="65" spans="1:25" customFormat="1" ht="15" customHeight="1">
      <c r="A65" s="1"/>
      <c r="B65" s="1"/>
      <c r="C65" s="2"/>
      <c r="D65" s="99" t="str">
        <f>'2.1 Model setup'!K94</f>
        <v>4.2 Omkostninger vedrørende nettab i ledningsnettet</v>
      </c>
      <c r="E65" s="27"/>
      <c r="F65" s="115"/>
      <c r="G65" s="115"/>
      <c r="H65" s="115"/>
      <c r="I65" s="115"/>
      <c r="J65" s="115"/>
      <c r="K65" s="98" t="s">
        <v>4</v>
      </c>
      <c r="L65" s="99">
        <f t="shared" si="9"/>
        <v>0</v>
      </c>
      <c r="M65" s="182"/>
      <c r="N65" s="182"/>
      <c r="O65" s="182">
        <f t="shared" si="7"/>
        <v>0</v>
      </c>
      <c r="P65" s="182">
        <f t="shared" si="7"/>
        <v>0</v>
      </c>
      <c r="Q65" s="406"/>
      <c r="R65" s="182">
        <f t="shared" si="8"/>
        <v>0</v>
      </c>
      <c r="S65" s="182">
        <f t="shared" si="8"/>
        <v>0</v>
      </c>
      <c r="T65" s="182">
        <f t="shared" si="8"/>
        <v>0</v>
      </c>
      <c r="U65" s="182">
        <f t="shared" si="8"/>
        <v>0</v>
      </c>
      <c r="V65" s="182">
        <f t="shared" si="8"/>
        <v>0</v>
      </c>
      <c r="W65" s="199">
        <f xml:space="preserve"> SUM( O65:V65 )</f>
        <v>0</v>
      </c>
      <c r="X65" s="111"/>
      <c r="Y65" s="121"/>
    </row>
    <row r="66" spans="1:25" customFormat="1" ht="15" customHeight="1">
      <c r="A66" s="1"/>
      <c r="B66" s="1"/>
      <c r="C66" s="2"/>
      <c r="D66" s="85"/>
      <c r="E66" s="1"/>
      <c r="F66" s="107"/>
      <c r="G66" s="107"/>
      <c r="H66" s="107"/>
      <c r="I66" s="107"/>
      <c r="J66" s="107"/>
      <c r="K66" s="87"/>
      <c r="L66" s="85"/>
      <c r="M66" s="85"/>
      <c r="N66" s="107"/>
      <c r="O66" s="107"/>
      <c r="P66" s="107"/>
      <c r="Q66" s="107"/>
      <c r="R66" s="1"/>
      <c r="S66" s="1"/>
      <c r="T66" s="1"/>
      <c r="U66" s="1"/>
      <c r="V66" s="1"/>
      <c r="W66" s="1"/>
      <c r="X66" s="1"/>
      <c r="Y66" s="1"/>
    </row>
    <row r="67" spans="1:25" customFormat="1" ht="15" customHeight="1">
      <c r="A67" s="1"/>
      <c r="B67" s="1"/>
      <c r="C67" s="2"/>
      <c r="D67" s="88" t="s">
        <v>575</v>
      </c>
      <c r="E67" s="1"/>
      <c r="F67" s="107"/>
      <c r="G67" s="107"/>
      <c r="H67" s="107"/>
      <c r="I67" s="107"/>
      <c r="J67" s="107"/>
      <c r="K67" s="87"/>
      <c r="L67" s="85"/>
      <c r="M67" s="85"/>
      <c r="N67" s="107"/>
      <c r="O67" s="107"/>
      <c r="P67" s="107"/>
      <c r="Q67" s="107"/>
      <c r="R67" s="1"/>
      <c r="S67" s="1"/>
      <c r="T67" s="1"/>
      <c r="U67" s="1"/>
      <c r="V67" s="1"/>
      <c r="W67" s="89" t="s">
        <v>16</v>
      </c>
      <c r="X67" s="1"/>
      <c r="Y67" s="1"/>
    </row>
    <row r="68" spans="1:25" customFormat="1" ht="15" customHeight="1">
      <c r="A68" s="1"/>
      <c r="B68" s="1"/>
      <c r="C68" s="2"/>
      <c r="D68" s="123" t="str">
        <f>'2.1 Model setup'!K91</f>
        <v>1.1 Drift og vedligeholdelse af transformerstationer</v>
      </c>
      <c r="E68" s="15"/>
      <c r="F68" s="116"/>
      <c r="G68" s="116"/>
      <c r="H68" s="116"/>
      <c r="I68" s="116"/>
      <c r="J68" s="116"/>
      <c r="K68" s="117" t="str">
        <f>Model.Units</f>
        <v>DKKt</v>
      </c>
      <c r="L68" s="123"/>
      <c r="M68" s="142"/>
      <c r="N68" s="116"/>
      <c r="O68" s="15">
        <f t="shared" ref="O68:P71" si="10">O16</f>
        <v>0</v>
      </c>
      <c r="P68" s="15">
        <f t="shared" si="10"/>
        <v>0</v>
      </c>
      <c r="Q68" s="502"/>
      <c r="R68" s="15">
        <f t="shared" ref="R68:V71" si="11">R16</f>
        <v>0</v>
      </c>
      <c r="S68" s="15">
        <f t="shared" si="11"/>
        <v>0</v>
      </c>
      <c r="T68" s="15">
        <f t="shared" si="11"/>
        <v>0</v>
      </c>
      <c r="U68" s="15">
        <f t="shared" si="11"/>
        <v>0</v>
      </c>
      <c r="V68" s="15">
        <f t="shared" si="11"/>
        <v>0</v>
      </c>
      <c r="W68" s="18">
        <f xml:space="preserve"> SUM( O68:V68 )</f>
        <v>0</v>
      </c>
      <c r="X68" s="1"/>
      <c r="Y68" s="1"/>
    </row>
    <row r="69" spans="1:25" customFormat="1" ht="15" customHeight="1">
      <c r="A69" s="1"/>
      <c r="B69" s="1"/>
      <c r="C69" s="2"/>
      <c r="D69" s="85" t="str">
        <f>'2.1 Model setup'!K92</f>
        <v>1.2 Drift og vedligeholdelse af ledningsnet</v>
      </c>
      <c r="E69" s="1"/>
      <c r="F69" s="107"/>
      <c r="G69" s="107"/>
      <c r="H69" s="107"/>
      <c r="I69" s="107"/>
      <c r="J69" s="107"/>
      <c r="K69" s="87" t="str">
        <f>Model.Units</f>
        <v>DKKt</v>
      </c>
      <c r="L69" s="85"/>
      <c r="M69" s="119"/>
      <c r="N69" s="107"/>
      <c r="O69" s="1">
        <f t="shared" si="10"/>
        <v>0</v>
      </c>
      <c r="P69" s="1">
        <f t="shared" si="10"/>
        <v>0</v>
      </c>
      <c r="Q69" s="501"/>
      <c r="R69" s="1">
        <f t="shared" si="11"/>
        <v>0</v>
      </c>
      <c r="S69" s="1">
        <f t="shared" si="11"/>
        <v>0</v>
      </c>
      <c r="T69" s="1">
        <f t="shared" si="11"/>
        <v>0</v>
      </c>
      <c r="U69" s="1">
        <f t="shared" si="11"/>
        <v>0</v>
      </c>
      <c r="V69" s="1">
        <f t="shared" si="11"/>
        <v>0</v>
      </c>
      <c r="W69" s="4">
        <f xml:space="preserve"> SUM( O69:V69 )</f>
        <v>0</v>
      </c>
      <c r="X69" s="1"/>
      <c r="Y69" s="1"/>
    </row>
    <row r="70" spans="1:25" customFormat="1" ht="15" customHeight="1">
      <c r="A70" s="1"/>
      <c r="B70" s="1"/>
      <c r="C70" s="2"/>
      <c r="D70" s="85" t="str">
        <f>'2.1 Model setup'!K93</f>
        <v>4.1 Omkostninger vedrørende nettab i transformerstationer</v>
      </c>
      <c r="E70" s="1"/>
      <c r="F70" s="107"/>
      <c r="G70" s="107"/>
      <c r="H70" s="107"/>
      <c r="I70" s="107"/>
      <c r="J70" s="107"/>
      <c r="K70" s="87" t="str">
        <f>Model.Units</f>
        <v>DKKt</v>
      </c>
      <c r="L70" s="85"/>
      <c r="M70" s="119"/>
      <c r="N70" s="107"/>
      <c r="O70" s="1">
        <f t="shared" si="10"/>
        <v>0</v>
      </c>
      <c r="P70" s="1">
        <f t="shared" si="10"/>
        <v>0</v>
      </c>
      <c r="Q70" s="501"/>
      <c r="R70" s="1">
        <f t="shared" si="11"/>
        <v>0</v>
      </c>
      <c r="S70" s="1">
        <f t="shared" si="11"/>
        <v>0</v>
      </c>
      <c r="T70" s="1">
        <f t="shared" si="11"/>
        <v>0</v>
      </c>
      <c r="U70" s="1">
        <f t="shared" si="11"/>
        <v>0</v>
      </c>
      <c r="V70" s="1">
        <f t="shared" si="11"/>
        <v>0</v>
      </c>
      <c r="W70" s="4">
        <f xml:space="preserve"> SUM( O70:V70 )</f>
        <v>0</v>
      </c>
      <c r="X70" s="1"/>
      <c r="Y70" s="1"/>
    </row>
    <row r="71" spans="1:25" customFormat="1" ht="15" customHeight="1">
      <c r="A71" s="1"/>
      <c r="B71" s="1"/>
      <c r="C71" s="2"/>
      <c r="D71" s="99" t="str">
        <f>'2.1 Model setup'!K94</f>
        <v>4.2 Omkostninger vedrørende nettab i ledningsnettet</v>
      </c>
      <c r="E71" s="27"/>
      <c r="F71" s="115"/>
      <c r="G71" s="115"/>
      <c r="H71" s="115"/>
      <c r="I71" s="115"/>
      <c r="J71" s="115"/>
      <c r="K71" s="98" t="str">
        <f>Model.Units</f>
        <v>DKKt</v>
      </c>
      <c r="L71" s="99"/>
      <c r="M71" s="151"/>
      <c r="N71" s="115"/>
      <c r="O71" s="27">
        <f t="shared" si="10"/>
        <v>0</v>
      </c>
      <c r="P71" s="27">
        <f t="shared" si="10"/>
        <v>0</v>
      </c>
      <c r="Q71" s="503"/>
      <c r="R71" s="27">
        <f t="shared" si="11"/>
        <v>0</v>
      </c>
      <c r="S71" s="27">
        <f t="shared" si="11"/>
        <v>0</v>
      </c>
      <c r="T71" s="27">
        <f t="shared" si="11"/>
        <v>0</v>
      </c>
      <c r="U71" s="27">
        <f t="shared" si="11"/>
        <v>0</v>
      </c>
      <c r="V71" s="27">
        <f t="shared" si="11"/>
        <v>0</v>
      </c>
      <c r="W71" s="35">
        <f xml:space="preserve"> SUM( O71:V71 )</f>
        <v>0</v>
      </c>
      <c r="X71" s="1"/>
      <c r="Y71" s="1"/>
    </row>
    <row r="72" spans="1:25" customFormat="1" ht="15" customHeight="1">
      <c r="A72" s="1"/>
      <c r="B72" s="1"/>
      <c r="C72" s="2"/>
      <c r="D72" s="97" t="s">
        <v>16</v>
      </c>
      <c r="E72" s="27"/>
      <c r="F72" s="104"/>
      <c r="G72" s="104"/>
      <c r="H72" s="104"/>
      <c r="I72" s="104"/>
      <c r="J72" s="104"/>
      <c r="K72" s="127" t="str">
        <f xml:space="preserve"> Model.Units</f>
        <v>DKKt</v>
      </c>
      <c r="L72" s="99"/>
      <c r="M72" s="151"/>
      <c r="N72" s="315"/>
      <c r="O72" s="35">
        <f xml:space="preserve"> SUM( O68:O71 )</f>
        <v>0</v>
      </c>
      <c r="P72" s="35">
        <f xml:space="preserve"> SUM( P68:P71 )</f>
        <v>0</v>
      </c>
      <c r="Q72" s="417"/>
      <c r="R72" s="35">
        <f t="shared" ref="R72:W72" si="12" xml:space="preserve"> SUM( R68:R71 )</f>
        <v>0</v>
      </c>
      <c r="S72" s="35">
        <f t="shared" si="12"/>
        <v>0</v>
      </c>
      <c r="T72" s="35">
        <f t="shared" si="12"/>
        <v>0</v>
      </c>
      <c r="U72" s="35">
        <f t="shared" si="12"/>
        <v>0</v>
      </c>
      <c r="V72" s="35">
        <f t="shared" si="12"/>
        <v>0</v>
      </c>
      <c r="W72" s="35">
        <f t="shared" si="12"/>
        <v>0</v>
      </c>
      <c r="X72" s="111"/>
      <c r="Y72" s="121"/>
    </row>
    <row r="73" spans="1:25" customFormat="1" ht="15" customHeight="1">
      <c r="A73" s="1"/>
      <c r="B73" s="1"/>
      <c r="C73" s="2"/>
      <c r="D73" s="85"/>
      <c r="E73" s="1"/>
      <c r="F73" s="107"/>
      <c r="G73" s="107"/>
      <c r="H73" s="107"/>
      <c r="I73" s="107"/>
      <c r="J73" s="107"/>
      <c r="K73" s="87"/>
      <c r="L73" s="85"/>
      <c r="M73" s="85"/>
      <c r="N73" s="107"/>
      <c r="O73" s="107"/>
      <c r="P73" s="107"/>
      <c r="Q73" s="107"/>
      <c r="R73" s="1"/>
      <c r="S73" s="1"/>
      <c r="T73" s="1"/>
      <c r="U73" s="1"/>
      <c r="V73" s="1"/>
      <c r="W73" s="1"/>
      <c r="X73" s="1"/>
      <c r="Y73" s="1"/>
    </row>
    <row r="74" spans="1:25" customFormat="1" ht="15" customHeight="1">
      <c r="A74" s="1"/>
      <c r="B74" s="1"/>
      <c r="C74" s="2"/>
      <c r="D74" s="88" t="s">
        <v>85</v>
      </c>
      <c r="E74" s="1"/>
      <c r="F74" s="107"/>
      <c r="G74" s="107"/>
      <c r="H74" s="107"/>
      <c r="I74" s="107"/>
      <c r="J74" s="107"/>
      <c r="K74" s="87"/>
      <c r="L74" s="85"/>
      <c r="M74" s="85"/>
      <c r="N74" s="107"/>
      <c r="O74" s="107"/>
      <c r="P74" s="107"/>
      <c r="Q74" s="107"/>
      <c r="R74" s="1"/>
      <c r="S74" s="1"/>
      <c r="T74" s="1"/>
      <c r="U74" s="1"/>
      <c r="V74" s="1"/>
      <c r="W74" s="89" t="s">
        <v>16</v>
      </c>
      <c r="X74" s="1"/>
      <c r="Y74" s="1"/>
    </row>
    <row r="75" spans="1:25" customFormat="1" ht="15" customHeight="1">
      <c r="A75" s="1"/>
      <c r="B75" s="1"/>
      <c r="C75" s="2"/>
      <c r="D75" s="123" t="str">
        <f>'2.1 Model setup'!K91</f>
        <v>1.1 Drift og vedligeholdelse af transformerstationer</v>
      </c>
      <c r="E75" s="15"/>
      <c r="F75" s="116"/>
      <c r="G75" s="116"/>
      <c r="H75" s="116"/>
      <c r="I75" s="116"/>
      <c r="J75" s="116"/>
      <c r="K75" s="117" t="str">
        <f>Model.Units</f>
        <v>DKKt</v>
      </c>
      <c r="L75" s="123">
        <f xml:space="preserve"> -- ( ROUND( W75, 5 ) &lt;&gt; ROUND( W16, 5 ) )</f>
        <v>0</v>
      </c>
      <c r="M75" s="142"/>
      <c r="N75" s="116"/>
      <c r="O75" s="15">
        <f t="shared" ref="O75:P78" si="13">O62*$W16</f>
        <v>0</v>
      </c>
      <c r="P75" s="15">
        <f t="shared" si="13"/>
        <v>0</v>
      </c>
      <c r="Q75" s="502"/>
      <c r="R75" s="15">
        <f t="shared" ref="R75:V78" si="14">R62*$W16</f>
        <v>0</v>
      </c>
      <c r="S75" s="15">
        <f t="shared" si="14"/>
        <v>0</v>
      </c>
      <c r="T75" s="15">
        <f t="shared" si="14"/>
        <v>0</v>
      </c>
      <c r="U75" s="15">
        <f t="shared" si="14"/>
        <v>0</v>
      </c>
      <c r="V75" s="15">
        <f t="shared" si="14"/>
        <v>0</v>
      </c>
      <c r="W75" s="18">
        <f xml:space="preserve"> SUM( O75:V75 )</f>
        <v>0</v>
      </c>
      <c r="X75" s="1"/>
      <c r="Y75" s="1"/>
    </row>
    <row r="76" spans="1:25" customFormat="1" ht="15" customHeight="1">
      <c r="A76" s="1"/>
      <c r="B76" s="1"/>
      <c r="C76" s="2"/>
      <c r="D76" s="85" t="str">
        <f>'2.1 Model setup'!K92</f>
        <v>1.2 Drift og vedligeholdelse af ledningsnet</v>
      </c>
      <c r="E76" s="1"/>
      <c r="F76" s="107"/>
      <c r="G76" s="107"/>
      <c r="H76" s="107"/>
      <c r="I76" s="107"/>
      <c r="J76" s="107"/>
      <c r="K76" s="87" t="str">
        <f>Model.Units</f>
        <v>DKKt</v>
      </c>
      <c r="L76" s="85">
        <f xml:space="preserve"> -- ( ROUND( W76, 5 ) &lt;&gt; ROUND( W17, 5 ) )</f>
        <v>0</v>
      </c>
      <c r="M76" s="119"/>
      <c r="N76" s="107"/>
      <c r="O76" s="1">
        <f t="shared" si="13"/>
        <v>0</v>
      </c>
      <c r="P76" s="1">
        <f t="shared" si="13"/>
        <v>0</v>
      </c>
      <c r="Q76" s="501"/>
      <c r="R76" s="1">
        <f t="shared" si="14"/>
        <v>0</v>
      </c>
      <c r="S76" s="1">
        <f t="shared" si="14"/>
        <v>0</v>
      </c>
      <c r="T76" s="1">
        <f t="shared" si="14"/>
        <v>0</v>
      </c>
      <c r="U76" s="1">
        <f t="shared" si="14"/>
        <v>0</v>
      </c>
      <c r="V76" s="1">
        <f t="shared" si="14"/>
        <v>0</v>
      </c>
      <c r="W76" s="4">
        <f xml:space="preserve"> SUM( O76:V76 )</f>
        <v>0</v>
      </c>
      <c r="X76" s="1"/>
      <c r="Y76" s="1"/>
    </row>
    <row r="77" spans="1:25" customFormat="1" ht="15" customHeight="1">
      <c r="A77" s="1"/>
      <c r="B77" s="1"/>
      <c r="C77" s="2"/>
      <c r="D77" s="85" t="str">
        <f>'2.1 Model setup'!K93</f>
        <v>4.1 Omkostninger vedrørende nettab i transformerstationer</v>
      </c>
      <c r="E77" s="1"/>
      <c r="F77" s="107"/>
      <c r="G77" s="107"/>
      <c r="H77" s="107"/>
      <c r="I77" s="107"/>
      <c r="J77" s="107"/>
      <c r="K77" s="87" t="str">
        <f>Model.Units</f>
        <v>DKKt</v>
      </c>
      <c r="L77" s="85">
        <f xml:space="preserve"> -- ( ROUND( W77, 5 ) &lt;&gt; ROUND( W18, 5 ) )</f>
        <v>0</v>
      </c>
      <c r="M77" s="119"/>
      <c r="N77" s="107"/>
      <c r="O77" s="1">
        <f t="shared" si="13"/>
        <v>0</v>
      </c>
      <c r="P77" s="1">
        <f t="shared" si="13"/>
        <v>0</v>
      </c>
      <c r="Q77" s="501"/>
      <c r="R77" s="1">
        <f t="shared" si="14"/>
        <v>0</v>
      </c>
      <c r="S77" s="1">
        <f t="shared" si="14"/>
        <v>0</v>
      </c>
      <c r="T77" s="1">
        <f t="shared" si="14"/>
        <v>0</v>
      </c>
      <c r="U77" s="1">
        <f t="shared" si="14"/>
        <v>0</v>
      </c>
      <c r="V77" s="1">
        <f t="shared" si="14"/>
        <v>0</v>
      </c>
      <c r="W77" s="4">
        <f xml:space="preserve"> SUM( O77:V77 )</f>
        <v>0</v>
      </c>
      <c r="X77" s="1"/>
      <c r="Y77" s="1"/>
    </row>
    <row r="78" spans="1:25" customFormat="1" ht="15" customHeight="1">
      <c r="A78" s="1"/>
      <c r="B78" s="1"/>
      <c r="C78" s="2"/>
      <c r="D78" s="99" t="str">
        <f>'2.1 Model setup'!K94</f>
        <v>4.2 Omkostninger vedrørende nettab i ledningsnettet</v>
      </c>
      <c r="E78" s="27"/>
      <c r="F78" s="115"/>
      <c r="G78" s="115"/>
      <c r="H78" s="115"/>
      <c r="I78" s="115"/>
      <c r="J78" s="115"/>
      <c r="K78" s="98" t="str">
        <f>Model.Units</f>
        <v>DKKt</v>
      </c>
      <c r="L78" s="99">
        <f xml:space="preserve"> -- ( ROUND( W78, 5 ) &lt;&gt; ROUND( W19, 5 ) )</f>
        <v>0</v>
      </c>
      <c r="M78" s="151"/>
      <c r="N78" s="115"/>
      <c r="O78" s="27">
        <f t="shared" si="13"/>
        <v>0</v>
      </c>
      <c r="P78" s="27">
        <f t="shared" si="13"/>
        <v>0</v>
      </c>
      <c r="Q78" s="503"/>
      <c r="R78" s="27">
        <f t="shared" si="14"/>
        <v>0</v>
      </c>
      <c r="S78" s="27">
        <f t="shared" si="14"/>
        <v>0</v>
      </c>
      <c r="T78" s="27">
        <f t="shared" si="14"/>
        <v>0</v>
      </c>
      <c r="U78" s="27">
        <f t="shared" si="14"/>
        <v>0</v>
      </c>
      <c r="V78" s="27">
        <f t="shared" si="14"/>
        <v>0</v>
      </c>
      <c r="W78" s="35">
        <f xml:space="preserve"> SUM( O78:V78 )</f>
        <v>0</v>
      </c>
      <c r="X78" s="1"/>
      <c r="Y78" s="1"/>
    </row>
    <row r="79" spans="1:25" customFormat="1" ht="15" customHeight="1">
      <c r="A79" s="1"/>
      <c r="B79" s="1"/>
      <c r="C79" s="2"/>
      <c r="D79" s="97" t="s">
        <v>16</v>
      </c>
      <c r="E79" s="27"/>
      <c r="F79" s="104"/>
      <c r="G79" s="104"/>
      <c r="H79" s="104"/>
      <c r="I79" s="104"/>
      <c r="J79" s="104"/>
      <c r="K79" s="127" t="str">
        <f xml:space="preserve"> Model.Units</f>
        <v>DKKt</v>
      </c>
      <c r="L79" s="99">
        <f xml:space="preserve"> -- ( ROUND( W79, 5 ) &lt;&gt; ROUND( W20, 5 ) )</f>
        <v>0</v>
      </c>
      <c r="M79" s="151"/>
      <c r="N79" s="315"/>
      <c r="O79" s="35">
        <f xml:space="preserve"> SUM( O75:O78 )</f>
        <v>0</v>
      </c>
      <c r="P79" s="35">
        <f xml:space="preserve"> SUM( P75:P78 )</f>
        <v>0</v>
      </c>
      <c r="Q79" s="417"/>
      <c r="R79" s="35">
        <f t="shared" ref="R79:W79" si="15" xml:space="preserve"> SUM( R75:R78 )</f>
        <v>0</v>
      </c>
      <c r="S79" s="35">
        <f t="shared" si="15"/>
        <v>0</v>
      </c>
      <c r="T79" s="35">
        <f t="shared" si="15"/>
        <v>0</v>
      </c>
      <c r="U79" s="35">
        <f t="shared" si="15"/>
        <v>0</v>
      </c>
      <c r="V79" s="35">
        <f t="shared" si="15"/>
        <v>0</v>
      </c>
      <c r="W79" s="35">
        <f t="shared" si="15"/>
        <v>0</v>
      </c>
      <c r="X79" s="111"/>
      <c r="Y79" s="121"/>
    </row>
    <row r="80" spans="1:25" customFormat="1" ht="15" customHeight="1">
      <c r="A80" s="1"/>
      <c r="B80" s="1"/>
      <c r="C80" s="2"/>
      <c r="D80" s="85"/>
      <c r="E80" s="1"/>
      <c r="F80" s="107"/>
      <c r="G80" s="107"/>
      <c r="H80" s="107"/>
      <c r="I80" s="107"/>
      <c r="J80" s="107"/>
      <c r="K80" s="87"/>
      <c r="L80" s="85"/>
      <c r="M80" s="85"/>
      <c r="N80" s="107"/>
      <c r="O80" s="107"/>
      <c r="P80" s="107"/>
      <c r="Q80" s="107"/>
      <c r="R80" s="1"/>
      <c r="S80" s="1"/>
      <c r="T80" s="1"/>
      <c r="U80" s="1"/>
      <c r="V80" s="1"/>
      <c r="W80" s="1"/>
      <c r="X80" s="1"/>
      <c r="Y80" s="1"/>
    </row>
    <row r="81" spans="1:25" customFormat="1" ht="15" customHeight="1">
      <c r="A81" s="1"/>
      <c r="B81" s="1"/>
      <c r="C81" s="2"/>
      <c r="D81" s="88" t="s">
        <v>286</v>
      </c>
      <c r="E81" s="1"/>
      <c r="F81" s="107"/>
      <c r="G81" s="107"/>
      <c r="H81" s="107"/>
      <c r="I81" s="107"/>
      <c r="J81" s="107"/>
      <c r="K81" s="87"/>
      <c r="L81" s="85"/>
      <c r="M81" s="85"/>
      <c r="N81" s="107"/>
      <c r="O81" s="107"/>
      <c r="P81" s="107"/>
      <c r="Q81" s="107"/>
      <c r="R81" s="1"/>
      <c r="S81" s="1"/>
      <c r="T81" s="1"/>
      <c r="U81" s="1"/>
      <c r="V81" s="1"/>
      <c r="W81" s="89" t="s">
        <v>16</v>
      </c>
      <c r="X81" s="1"/>
      <c r="Y81" s="1"/>
    </row>
    <row r="82" spans="1:25" customFormat="1" ht="15" customHeight="1">
      <c r="A82" s="1"/>
      <c r="B82" s="1"/>
      <c r="C82" s="2"/>
      <c r="D82" s="123" t="str">
        <f>'2.1 Model setup'!K91</f>
        <v>1.1 Drift og vedligeholdelse af transformerstationer</v>
      </c>
      <c r="E82" s="15"/>
      <c r="F82" s="116"/>
      <c r="G82" s="116"/>
      <c r="H82" s="116"/>
      <c r="I82" s="116"/>
      <c r="J82" s="116"/>
      <c r="K82" s="117" t="str">
        <f>Model.Units</f>
        <v>DKKt</v>
      </c>
      <c r="L82" s="123">
        <f xml:space="preserve"> -- ( ROUND( W82, 5 ) &lt;&gt; ROUND( N16, 5 ) )</f>
        <v>0</v>
      </c>
      <c r="M82" s="142"/>
      <c r="N82" s="116"/>
      <c r="O82" s="15">
        <f t="shared" ref="O82:P85" si="16">O68+O75</f>
        <v>0</v>
      </c>
      <c r="P82" s="15">
        <f t="shared" si="16"/>
        <v>0</v>
      </c>
      <c r="Q82" s="502"/>
      <c r="R82" s="15">
        <f t="shared" ref="R82:V85" si="17">R68+R75</f>
        <v>0</v>
      </c>
      <c r="S82" s="15">
        <f t="shared" si="17"/>
        <v>0</v>
      </c>
      <c r="T82" s="15">
        <f t="shared" si="17"/>
        <v>0</v>
      </c>
      <c r="U82" s="15">
        <f t="shared" si="17"/>
        <v>0</v>
      </c>
      <c r="V82" s="15">
        <f t="shared" si="17"/>
        <v>0</v>
      </c>
      <c r="W82" s="18">
        <f xml:space="preserve"> SUM( O82:V82 )</f>
        <v>0</v>
      </c>
      <c r="X82" s="1"/>
      <c r="Y82" s="1"/>
    </row>
    <row r="83" spans="1:25" customFormat="1" ht="15" customHeight="1">
      <c r="A83" s="1"/>
      <c r="B83" s="1"/>
      <c r="C83" s="2"/>
      <c r="D83" s="85" t="str">
        <f>'2.1 Model setup'!K92</f>
        <v>1.2 Drift og vedligeholdelse af ledningsnet</v>
      </c>
      <c r="E83" s="1"/>
      <c r="F83" s="107"/>
      <c r="G83" s="107"/>
      <c r="H83" s="107"/>
      <c r="I83" s="107"/>
      <c r="J83" s="107"/>
      <c r="K83" s="87" t="str">
        <f>Model.Units</f>
        <v>DKKt</v>
      </c>
      <c r="L83" s="85">
        <f xml:space="preserve"> -- ( ROUND( W83, 5 ) &lt;&gt; ROUND( N17, 5 ) )</f>
        <v>0</v>
      </c>
      <c r="M83" s="119"/>
      <c r="N83" s="107"/>
      <c r="O83" s="1">
        <f t="shared" si="16"/>
        <v>0</v>
      </c>
      <c r="P83" s="1">
        <f t="shared" si="16"/>
        <v>0</v>
      </c>
      <c r="Q83" s="501"/>
      <c r="R83" s="1">
        <f t="shared" si="17"/>
        <v>0</v>
      </c>
      <c r="S83" s="1">
        <f t="shared" si="17"/>
        <v>0</v>
      </c>
      <c r="T83" s="1">
        <f t="shared" si="17"/>
        <v>0</v>
      </c>
      <c r="U83" s="1">
        <f t="shared" si="17"/>
        <v>0</v>
      </c>
      <c r="V83" s="1">
        <f t="shared" si="17"/>
        <v>0</v>
      </c>
      <c r="W83" s="4">
        <f xml:space="preserve"> SUM( O83:V83 )</f>
        <v>0</v>
      </c>
      <c r="X83" s="1"/>
      <c r="Y83" s="1"/>
    </row>
    <row r="84" spans="1:25" customFormat="1" ht="15" customHeight="1">
      <c r="A84" s="1"/>
      <c r="B84" s="1"/>
      <c r="C84" s="2"/>
      <c r="D84" s="85" t="str">
        <f>'2.1 Model setup'!K93</f>
        <v>4.1 Omkostninger vedrørende nettab i transformerstationer</v>
      </c>
      <c r="E84" s="1"/>
      <c r="F84" s="107"/>
      <c r="G84" s="107"/>
      <c r="H84" s="107"/>
      <c r="I84" s="107"/>
      <c r="J84" s="107"/>
      <c r="K84" s="87" t="str">
        <f>Model.Units</f>
        <v>DKKt</v>
      </c>
      <c r="L84" s="85">
        <f xml:space="preserve"> -- ( ROUND( W84, 5 ) &lt;&gt; ROUND( N18, 5 ) )</f>
        <v>0</v>
      </c>
      <c r="M84" s="119"/>
      <c r="N84" s="107"/>
      <c r="O84" s="1">
        <f t="shared" si="16"/>
        <v>0</v>
      </c>
      <c r="P84" s="1">
        <f t="shared" si="16"/>
        <v>0</v>
      </c>
      <c r="Q84" s="501"/>
      <c r="R84" s="1">
        <f t="shared" si="17"/>
        <v>0</v>
      </c>
      <c r="S84" s="1">
        <f t="shared" si="17"/>
        <v>0</v>
      </c>
      <c r="T84" s="1">
        <f t="shared" si="17"/>
        <v>0</v>
      </c>
      <c r="U84" s="1">
        <f t="shared" si="17"/>
        <v>0</v>
      </c>
      <c r="V84" s="1">
        <f t="shared" si="17"/>
        <v>0</v>
      </c>
      <c r="W84" s="4">
        <f xml:space="preserve"> SUM( O84:V84 )</f>
        <v>0</v>
      </c>
      <c r="X84" s="1"/>
      <c r="Y84" s="1"/>
    </row>
    <row r="85" spans="1:25" customFormat="1" ht="15" customHeight="1">
      <c r="A85" s="1"/>
      <c r="B85" s="1"/>
      <c r="C85" s="2"/>
      <c r="D85" s="99" t="str">
        <f>'2.1 Model setup'!K94</f>
        <v>4.2 Omkostninger vedrørende nettab i ledningsnettet</v>
      </c>
      <c r="E85" s="27"/>
      <c r="F85" s="115"/>
      <c r="G85" s="115"/>
      <c r="H85" s="115"/>
      <c r="I85" s="115"/>
      <c r="J85" s="115"/>
      <c r="K85" s="98" t="str">
        <f>Model.Units</f>
        <v>DKKt</v>
      </c>
      <c r="L85" s="99">
        <f xml:space="preserve"> -- ( ROUND( W85, 5 ) &lt;&gt; ROUND( N19, 5 ) )</f>
        <v>0</v>
      </c>
      <c r="M85" s="151"/>
      <c r="N85" s="115"/>
      <c r="O85" s="27">
        <f t="shared" si="16"/>
        <v>0</v>
      </c>
      <c r="P85" s="27">
        <f t="shared" si="16"/>
        <v>0</v>
      </c>
      <c r="Q85" s="503"/>
      <c r="R85" s="27">
        <f t="shared" si="17"/>
        <v>0</v>
      </c>
      <c r="S85" s="27">
        <f t="shared" si="17"/>
        <v>0</v>
      </c>
      <c r="T85" s="27">
        <f t="shared" si="17"/>
        <v>0</v>
      </c>
      <c r="U85" s="27">
        <f t="shared" si="17"/>
        <v>0</v>
      </c>
      <c r="V85" s="27">
        <f t="shared" si="17"/>
        <v>0</v>
      </c>
      <c r="W85" s="35">
        <f xml:space="preserve"> SUM( O85:V85 )</f>
        <v>0</v>
      </c>
      <c r="X85" s="1"/>
      <c r="Y85" s="1"/>
    </row>
    <row r="86" spans="1:25" customFormat="1" ht="15" customHeight="1">
      <c r="A86" s="1"/>
      <c r="B86" s="1"/>
      <c r="C86" s="2"/>
      <c r="D86" s="97" t="s">
        <v>16</v>
      </c>
      <c r="E86" s="27"/>
      <c r="F86" s="104"/>
      <c r="G86" s="104"/>
      <c r="H86" s="104"/>
      <c r="I86" s="104"/>
      <c r="J86" s="104"/>
      <c r="K86" s="127" t="str">
        <f xml:space="preserve"> Model.Units</f>
        <v>DKKt</v>
      </c>
      <c r="L86" s="99">
        <f xml:space="preserve"> -- ( ROUND( W86, 5 ) &lt;&gt; ROUND( N20, 5 ) )</f>
        <v>0</v>
      </c>
      <c r="M86" s="151"/>
      <c r="N86" s="315"/>
      <c r="O86" s="35">
        <f xml:space="preserve"> SUM( O82:O85 )</f>
        <v>0</v>
      </c>
      <c r="P86" s="35">
        <f xml:space="preserve"> SUM( P82:P85 )</f>
        <v>0</v>
      </c>
      <c r="Q86" s="417"/>
      <c r="R86" s="35">
        <f t="shared" ref="R86:W86" si="18" xml:space="preserve"> SUM( R82:R85 )</f>
        <v>0</v>
      </c>
      <c r="S86" s="35">
        <f t="shared" si="18"/>
        <v>0</v>
      </c>
      <c r="T86" s="35">
        <f t="shared" si="18"/>
        <v>0</v>
      </c>
      <c r="U86" s="35">
        <f t="shared" si="18"/>
        <v>0</v>
      </c>
      <c r="V86" s="35">
        <f t="shared" si="18"/>
        <v>0</v>
      </c>
      <c r="W86" s="35">
        <f t="shared" si="18"/>
        <v>0</v>
      </c>
      <c r="X86" s="111"/>
      <c r="Y86" s="121"/>
    </row>
    <row r="87" spans="1:25" customFormat="1" ht="15" customHeight="1">
      <c r="A87" s="1"/>
      <c r="B87" s="1"/>
      <c r="C87" s="2"/>
      <c r="D87" s="88"/>
      <c r="E87" s="1"/>
      <c r="F87" s="102"/>
      <c r="G87" s="102"/>
      <c r="H87" s="102"/>
      <c r="I87" s="102"/>
      <c r="J87" s="102"/>
      <c r="K87" s="114"/>
      <c r="L87" s="85"/>
      <c r="M87" s="119"/>
      <c r="N87" s="524"/>
      <c r="O87" s="4"/>
      <c r="P87" s="4"/>
      <c r="Q87" s="4"/>
      <c r="R87" s="4"/>
      <c r="S87" s="4"/>
      <c r="T87" s="4"/>
      <c r="U87" s="4"/>
      <c r="V87" s="4"/>
      <c r="W87" s="4"/>
      <c r="X87" s="111"/>
      <c r="Y87" s="121"/>
    </row>
    <row r="88" spans="1:25" customFormat="1" ht="15" customHeight="1">
      <c r="A88" s="1"/>
      <c r="B88" s="1"/>
      <c r="C88" s="2"/>
      <c r="D88" s="88"/>
      <c r="E88" s="1"/>
      <c r="F88" s="102"/>
      <c r="G88" s="102"/>
      <c r="H88" s="102"/>
      <c r="I88" s="102"/>
      <c r="J88" s="102"/>
      <c r="K88" s="114"/>
      <c r="L88" s="85"/>
      <c r="M88" s="119"/>
      <c r="N88" s="524"/>
      <c r="O88" s="4"/>
      <c r="P88" s="4"/>
      <c r="Q88" s="4"/>
      <c r="R88" s="4"/>
      <c r="S88" s="4"/>
      <c r="T88" s="4"/>
      <c r="U88" s="4"/>
      <c r="V88" s="4"/>
      <c r="W88" s="4"/>
      <c r="X88" s="111"/>
      <c r="Y88" s="121"/>
    </row>
    <row r="89" spans="1:25" customFormat="1" ht="15" customHeight="1">
      <c r="A89" s="1"/>
      <c r="B89" s="1"/>
      <c r="C89" s="2"/>
      <c r="D89" s="85"/>
      <c r="E89" s="1"/>
      <c r="F89" s="107"/>
      <c r="G89" s="107"/>
      <c r="H89" s="107"/>
      <c r="I89" s="107"/>
      <c r="J89" s="107"/>
      <c r="K89" s="87"/>
      <c r="L89" s="85"/>
      <c r="M89" s="85"/>
      <c r="N89" s="107"/>
      <c r="O89" s="107"/>
      <c r="P89" s="107"/>
      <c r="Q89" s="107"/>
      <c r="R89" s="1"/>
      <c r="S89" s="1"/>
      <c r="T89" s="1"/>
      <c r="U89" s="1"/>
      <c r="V89" s="1"/>
      <c r="W89" s="1"/>
      <c r="X89" s="1"/>
      <c r="Y89" s="1"/>
    </row>
    <row r="90" spans="1:25" s="475" customFormat="1" ht="15" customHeight="1">
      <c r="B90" s="479" t="str">
        <f xml:space="preserve"> COUNTA(B$10:B89) &amp; ") Allokeringsmæssig differentiering"</f>
        <v>5) Allokeringsmæssig differentiering</v>
      </c>
      <c r="C90" s="477"/>
      <c r="D90" s="478"/>
      <c r="K90" s="472"/>
    </row>
    <row r="91" spans="1:25" customFormat="1" ht="15" customHeight="1">
      <c r="A91" s="1"/>
      <c r="B91" s="1"/>
      <c r="C91" s="2"/>
      <c r="D91" s="85"/>
      <c r="E91" s="1"/>
      <c r="F91" s="107"/>
      <c r="G91" s="107"/>
      <c r="H91" s="107"/>
      <c r="I91" s="107"/>
      <c r="J91" s="107"/>
      <c r="K91" s="87"/>
      <c r="L91" s="85"/>
      <c r="M91" s="85"/>
      <c r="N91" s="107"/>
      <c r="O91" s="107"/>
      <c r="P91" s="107"/>
      <c r="Q91" s="107"/>
      <c r="R91" s="1"/>
      <c r="S91" s="1"/>
      <c r="T91" s="1"/>
      <c r="U91" s="1"/>
      <c r="V91" s="1"/>
      <c r="W91" s="1"/>
      <c r="X91" s="1"/>
      <c r="Y91" s="1"/>
    </row>
    <row r="92" spans="1:25" customFormat="1" ht="15" customHeight="1">
      <c r="A92" s="1"/>
      <c r="B92" s="1"/>
      <c r="C92" s="2"/>
      <c r="D92" s="88" t="s">
        <v>43</v>
      </c>
      <c r="E92" s="1"/>
      <c r="F92" s="107"/>
      <c r="G92" s="107"/>
      <c r="H92" s="107"/>
      <c r="I92" s="107"/>
      <c r="J92" s="107"/>
      <c r="K92" s="87"/>
      <c r="L92" s="85"/>
      <c r="M92" s="85"/>
      <c r="N92" s="107"/>
      <c r="O92" s="107"/>
      <c r="P92" s="107"/>
      <c r="Q92" s="107"/>
      <c r="R92" s="107"/>
      <c r="S92" s="107"/>
      <c r="T92" s="107"/>
      <c r="U92" s="107"/>
      <c r="V92" s="107"/>
      <c r="W92" s="107"/>
      <c r="X92" s="1"/>
      <c r="Y92" s="1"/>
    </row>
    <row r="93" spans="1:25" customFormat="1" ht="15" customHeight="1">
      <c r="A93" s="1"/>
      <c r="B93" s="1"/>
      <c r="C93" s="2"/>
      <c r="D93" s="123" t="str">
        <f>'2.1 Model setup'!K91</f>
        <v>1.1 Drift og vedligeholdelse af transformerstationer</v>
      </c>
      <c r="E93" s="15"/>
      <c r="F93" s="116"/>
      <c r="G93" s="116"/>
      <c r="H93" s="116"/>
      <c r="I93" s="116"/>
      <c r="J93" s="116"/>
      <c r="K93" s="117" t="s">
        <v>41</v>
      </c>
      <c r="L93" s="123"/>
      <c r="M93" s="142"/>
      <c r="N93" s="519" t="str">
        <f xml:space="preserve"> IFERROR( INDEX( '2.2 Generelle input'!$N$269:$N$284,  MATCH( $D93, '2.2 Generelle input'!$D$269:$D$284, 0 ) ), 0 )</f>
        <v>Lav</v>
      </c>
      <c r="O93" s="404"/>
      <c r="P93" s="404"/>
      <c r="Q93" s="404"/>
      <c r="R93" s="404"/>
      <c r="S93" s="404"/>
      <c r="T93" s="404"/>
      <c r="U93" s="404"/>
      <c r="V93" s="404"/>
      <c r="W93" s="404"/>
      <c r="X93" s="1"/>
      <c r="Y93" s="1"/>
    </row>
    <row r="94" spans="1:25" customFormat="1" ht="15" customHeight="1">
      <c r="A94" s="1"/>
      <c r="B94" s="1"/>
      <c r="C94" s="2"/>
      <c r="D94" s="85" t="str">
        <f>'2.1 Model setup'!K92</f>
        <v>1.2 Drift og vedligeholdelse af ledningsnet</v>
      </c>
      <c r="E94" s="1"/>
      <c r="F94" s="107"/>
      <c r="G94" s="107"/>
      <c r="H94" s="107"/>
      <c r="I94" s="107"/>
      <c r="J94" s="107"/>
      <c r="K94" s="87" t="s">
        <v>41</v>
      </c>
      <c r="L94" s="85"/>
      <c r="M94" s="119"/>
      <c r="N94" s="518" t="str">
        <f xml:space="preserve"> IFERROR( INDEX( '2.2 Generelle input'!$N$269:$N$284,  MATCH( $D94, '2.2 Generelle input'!$D$269:$D$284, 0 ) ), 0 )</f>
        <v>Høj</v>
      </c>
      <c r="O94" s="405"/>
      <c r="P94" s="405"/>
      <c r="Q94" s="405"/>
      <c r="R94" s="405"/>
      <c r="S94" s="405"/>
      <c r="T94" s="405"/>
      <c r="U94" s="405"/>
      <c r="V94" s="405"/>
      <c r="W94" s="405"/>
      <c r="X94" s="1"/>
      <c r="Y94" s="1"/>
    </row>
    <row r="95" spans="1:25" customFormat="1" ht="15" customHeight="1">
      <c r="A95" s="1"/>
      <c r="B95" s="1"/>
      <c r="C95" s="2"/>
      <c r="D95" s="85" t="str">
        <f>'2.1 Model setup'!K93</f>
        <v>4.1 Omkostninger vedrørende nettab i transformerstationer</v>
      </c>
      <c r="E95" s="1"/>
      <c r="F95" s="107"/>
      <c r="G95" s="107"/>
      <c r="H95" s="107"/>
      <c r="I95" s="107"/>
      <c r="J95" s="107"/>
      <c r="K95" s="87" t="s">
        <v>41</v>
      </c>
      <c r="L95" s="85"/>
      <c r="M95" s="119"/>
      <c r="N95" s="518" t="str">
        <f xml:space="preserve"> IFERROR( INDEX( '2.2 Generelle input'!$N$269:$N$284,  MATCH( $D95, '2.2 Generelle input'!$D$269:$D$284, 0 ) ), 0 )</f>
        <v>Lav</v>
      </c>
      <c r="O95" s="405"/>
      <c r="P95" s="405"/>
      <c r="Q95" s="405"/>
      <c r="R95" s="405"/>
      <c r="S95" s="405"/>
      <c r="T95" s="405"/>
      <c r="U95" s="405"/>
      <c r="V95" s="405"/>
      <c r="W95" s="405"/>
      <c r="X95" s="1"/>
      <c r="Y95" s="1"/>
    </row>
    <row r="96" spans="1:25" customFormat="1" ht="15" customHeight="1">
      <c r="A96" s="1"/>
      <c r="B96" s="1"/>
      <c r="C96" s="2"/>
      <c r="D96" s="99" t="str">
        <f>'2.1 Model setup'!K94</f>
        <v>4.2 Omkostninger vedrørende nettab i ledningsnettet</v>
      </c>
      <c r="E96" s="27"/>
      <c r="F96" s="115"/>
      <c r="G96" s="115"/>
      <c r="H96" s="115"/>
      <c r="I96" s="115"/>
      <c r="J96" s="115"/>
      <c r="K96" s="98" t="s">
        <v>41</v>
      </c>
      <c r="L96" s="99"/>
      <c r="M96" s="151"/>
      <c r="N96" s="585" t="str">
        <f xml:space="preserve"> IFERROR( INDEX( '2.2 Generelle input'!$N$269:$N$284,  MATCH( $D96, '2.2 Generelle input'!$D$269:$D$284, 0 ) ), 0 )</f>
        <v>Høj</v>
      </c>
      <c r="O96" s="406"/>
      <c r="P96" s="406"/>
      <c r="Q96" s="406"/>
      <c r="R96" s="406"/>
      <c r="S96" s="406"/>
      <c r="T96" s="406"/>
      <c r="U96" s="406"/>
      <c r="V96" s="406"/>
      <c r="W96" s="406"/>
      <c r="X96" s="1"/>
      <c r="Y96" s="1"/>
    </row>
    <row r="97" spans="1:25" customFormat="1" ht="15" customHeight="1">
      <c r="A97" s="1"/>
      <c r="B97" s="1"/>
      <c r="C97" s="2"/>
      <c r="D97" s="85"/>
      <c r="E97" s="1"/>
      <c r="F97" s="107"/>
      <c r="G97" s="107"/>
      <c r="H97" s="107"/>
      <c r="I97" s="107"/>
      <c r="J97" s="107"/>
      <c r="K97" s="87"/>
      <c r="L97" s="85"/>
      <c r="M97" s="85"/>
      <c r="N97" s="87"/>
      <c r="O97" s="107"/>
      <c r="P97" s="107"/>
      <c r="Q97" s="107"/>
      <c r="R97" s="107"/>
      <c r="S97" s="107"/>
      <c r="T97" s="107"/>
      <c r="U97" s="107"/>
      <c r="V97" s="107"/>
      <c r="W97" s="107"/>
      <c r="X97" s="1"/>
      <c r="Y97" s="1"/>
    </row>
    <row r="98" spans="1:25" customFormat="1" ht="15" customHeight="1">
      <c r="A98" s="1"/>
      <c r="B98" s="1"/>
      <c r="C98" s="2"/>
      <c r="D98" s="88" t="s">
        <v>295</v>
      </c>
      <c r="E98" s="1"/>
      <c r="F98" s="107"/>
      <c r="G98" s="107"/>
      <c r="H98" s="107"/>
      <c r="I98" s="107"/>
      <c r="J98" s="107"/>
      <c r="K98" s="87"/>
      <c r="L98" s="85"/>
      <c r="M98" s="85"/>
      <c r="N98" s="107"/>
      <c r="O98" s="107"/>
      <c r="P98" s="107"/>
      <c r="Q98" s="107"/>
      <c r="R98" s="107"/>
      <c r="S98" s="107"/>
      <c r="T98" s="107"/>
      <c r="U98" s="107"/>
      <c r="V98" s="107"/>
      <c r="W98" s="107"/>
      <c r="X98" s="1"/>
      <c r="Y98" s="1"/>
    </row>
    <row r="99" spans="1:25" customFormat="1" ht="15" customHeight="1">
      <c r="A99" s="1"/>
      <c r="B99" s="1"/>
      <c r="C99" s="2"/>
      <c r="D99" s="123" t="str">
        <f>'2.1 Model setup'!K91</f>
        <v>1.1 Drift og vedligeholdelse af transformerstationer</v>
      </c>
      <c r="E99" s="15"/>
      <c r="F99" s="116"/>
      <c r="G99" s="116"/>
      <c r="H99" s="116"/>
      <c r="I99" s="116"/>
      <c r="J99" s="116"/>
      <c r="K99" s="117" t="s">
        <v>132</v>
      </c>
      <c r="L99" s="123"/>
      <c r="M99" s="142"/>
      <c r="N99" s="519">
        <f xml:space="preserve"> -- ( W16 &lt;&gt; 0 )</f>
        <v>0</v>
      </c>
      <c r="O99" s="404"/>
      <c r="P99" s="404"/>
      <c r="Q99" s="404"/>
      <c r="R99" s="404"/>
      <c r="S99" s="404"/>
      <c r="T99" s="404"/>
      <c r="U99" s="404"/>
      <c r="V99" s="404"/>
      <c r="W99" s="404"/>
      <c r="X99" s="1"/>
      <c r="Y99" s="1"/>
    </row>
    <row r="100" spans="1:25" customFormat="1" ht="15" customHeight="1">
      <c r="A100" s="1"/>
      <c r="B100" s="1"/>
      <c r="C100" s="2"/>
      <c r="D100" s="85" t="str">
        <f>'2.1 Model setup'!K92</f>
        <v>1.2 Drift og vedligeholdelse af ledningsnet</v>
      </c>
      <c r="E100" s="1"/>
      <c r="F100" s="107"/>
      <c r="G100" s="107"/>
      <c r="H100" s="107"/>
      <c r="I100" s="107"/>
      <c r="J100" s="107"/>
      <c r="K100" s="87" t="s">
        <v>132</v>
      </c>
      <c r="L100" s="85"/>
      <c r="M100" s="119"/>
      <c r="N100" s="518">
        <f xml:space="preserve"> -- ( W17 &lt;&gt; 0 )</f>
        <v>0</v>
      </c>
      <c r="O100" s="405"/>
      <c r="P100" s="405"/>
      <c r="Q100" s="405"/>
      <c r="R100" s="405"/>
      <c r="S100" s="405"/>
      <c r="T100" s="405"/>
      <c r="U100" s="405"/>
      <c r="V100" s="405"/>
      <c r="W100" s="405"/>
      <c r="X100" s="1"/>
      <c r="Y100" s="1"/>
    </row>
    <row r="101" spans="1:25" customFormat="1" ht="15" customHeight="1">
      <c r="A101" s="1"/>
      <c r="B101" s="1"/>
      <c r="C101" s="2"/>
      <c r="D101" s="85" t="str">
        <f>'2.1 Model setup'!K93</f>
        <v>4.1 Omkostninger vedrørende nettab i transformerstationer</v>
      </c>
      <c r="E101" s="1"/>
      <c r="F101" s="107"/>
      <c r="G101" s="107"/>
      <c r="H101" s="107"/>
      <c r="I101" s="107"/>
      <c r="J101" s="107"/>
      <c r="K101" s="87" t="s">
        <v>132</v>
      </c>
      <c r="L101" s="85"/>
      <c r="M101" s="119"/>
      <c r="N101" s="518">
        <f xml:space="preserve"> -- ( W18 &lt;&gt; 0 )</f>
        <v>0</v>
      </c>
      <c r="O101" s="405"/>
      <c r="P101" s="405"/>
      <c r="Q101" s="405"/>
      <c r="R101" s="405"/>
      <c r="S101" s="405"/>
      <c r="T101" s="405"/>
      <c r="U101" s="405"/>
      <c r="V101" s="405"/>
      <c r="W101" s="405"/>
      <c r="X101" s="1"/>
      <c r="Y101" s="1"/>
    </row>
    <row r="102" spans="1:25" customFormat="1" ht="15" customHeight="1">
      <c r="A102" s="1"/>
      <c r="B102" s="1"/>
      <c r="C102" s="2"/>
      <c r="D102" s="99" t="str">
        <f>'2.1 Model setup'!K94</f>
        <v>4.2 Omkostninger vedrørende nettab i ledningsnettet</v>
      </c>
      <c r="E102" s="27"/>
      <c r="F102" s="115"/>
      <c r="G102" s="115"/>
      <c r="H102" s="115"/>
      <c r="I102" s="115"/>
      <c r="J102" s="115"/>
      <c r="K102" s="98" t="s">
        <v>132</v>
      </c>
      <c r="L102" s="99"/>
      <c r="M102" s="151"/>
      <c r="N102" s="585">
        <f xml:space="preserve"> -- ( W19 &lt;&gt; 0 )</f>
        <v>0</v>
      </c>
      <c r="O102" s="406"/>
      <c r="P102" s="406"/>
      <c r="Q102" s="406"/>
      <c r="R102" s="406"/>
      <c r="S102" s="406"/>
      <c r="T102" s="406"/>
      <c r="U102" s="406"/>
      <c r="V102" s="406"/>
      <c r="W102" s="406"/>
      <c r="X102" s="1"/>
      <c r="Y102" s="1"/>
    </row>
    <row r="103" spans="1:25" customFormat="1" ht="15" customHeight="1">
      <c r="A103" s="1"/>
      <c r="B103" s="1"/>
      <c r="C103" s="2"/>
      <c r="D103" s="85"/>
      <c r="E103" s="1"/>
      <c r="F103" s="107"/>
      <c r="G103" s="107"/>
      <c r="H103" s="107"/>
      <c r="I103" s="107"/>
      <c r="J103" s="107"/>
      <c r="K103" s="87"/>
      <c r="L103" s="85"/>
      <c r="M103" s="85"/>
      <c r="N103" s="87"/>
      <c r="O103" s="107"/>
      <c r="P103" s="107"/>
      <c r="Q103" s="107"/>
      <c r="R103" s="107"/>
      <c r="S103" s="107"/>
      <c r="T103" s="107"/>
      <c r="U103" s="107"/>
      <c r="V103" s="107"/>
      <c r="W103" s="107"/>
      <c r="X103" s="1"/>
      <c r="Y103" s="1"/>
    </row>
    <row r="104" spans="1:25" customFormat="1" ht="15" customHeight="1">
      <c r="A104" s="1"/>
      <c r="B104" s="1"/>
      <c r="C104" s="2"/>
      <c r="D104" s="88" t="s">
        <v>576</v>
      </c>
      <c r="E104" s="1"/>
      <c r="F104" s="107"/>
      <c r="G104" s="107"/>
      <c r="H104" s="107"/>
      <c r="I104" s="107"/>
      <c r="J104" s="107"/>
      <c r="K104" s="87"/>
      <c r="L104" s="85"/>
      <c r="M104" s="85"/>
      <c r="N104" s="107"/>
      <c r="O104" s="107"/>
      <c r="P104" s="107"/>
      <c r="Q104" s="107"/>
      <c r="R104" s="1"/>
      <c r="S104" s="1"/>
      <c r="T104" s="1"/>
      <c r="U104" s="1"/>
      <c r="V104" s="1"/>
      <c r="W104" s="89" t="s">
        <v>16</v>
      </c>
      <c r="X104" s="1"/>
      <c r="Y104" s="1"/>
    </row>
    <row r="105" spans="1:25" customFormat="1" ht="15" customHeight="1">
      <c r="A105" s="1"/>
      <c r="B105" s="1"/>
      <c r="C105" s="2"/>
      <c r="D105" s="123" t="str">
        <f>'2.1 Model setup'!K91</f>
        <v>1.1 Drift og vedligeholdelse af transformerstationer</v>
      </c>
      <c r="E105" s="15"/>
      <c r="F105" s="116"/>
      <c r="G105" s="116"/>
      <c r="H105" s="116"/>
      <c r="I105" s="116"/>
      <c r="J105" s="116"/>
      <c r="K105" s="117" t="str">
        <f>Model.Units2</f>
        <v>kWh</v>
      </c>
      <c r="L105" s="180"/>
      <c r="M105" s="180"/>
      <c r="N105" s="180"/>
      <c r="O105" s="537">
        <f t="shared" ref="O105:P108" si="19">O56</f>
        <v>0</v>
      </c>
      <c r="P105" s="537">
        <f t="shared" si="19"/>
        <v>0</v>
      </c>
      <c r="Q105" s="502"/>
      <c r="R105" s="537">
        <f t="shared" ref="R105:V108" si="20">R56</f>
        <v>0</v>
      </c>
      <c r="S105" s="537">
        <f t="shared" si="20"/>
        <v>0</v>
      </c>
      <c r="T105" s="537">
        <f t="shared" si="20"/>
        <v>0</v>
      </c>
      <c r="U105" s="537">
        <f t="shared" si="20"/>
        <v>0</v>
      </c>
      <c r="V105" s="537">
        <f t="shared" si="20"/>
        <v>0</v>
      </c>
      <c r="W105" s="18">
        <f xml:space="preserve"> SUM( O105:V105 )</f>
        <v>0</v>
      </c>
      <c r="X105" s="111"/>
      <c r="Y105" s="121"/>
    </row>
    <row r="106" spans="1:25" customFormat="1" ht="15" customHeight="1">
      <c r="A106" s="1"/>
      <c r="B106" s="1"/>
      <c r="C106" s="2"/>
      <c r="D106" s="85" t="str">
        <f>'2.1 Model setup'!K92</f>
        <v>1.2 Drift og vedligeholdelse af ledningsnet</v>
      </c>
      <c r="E106" s="1"/>
      <c r="F106" s="107"/>
      <c r="G106" s="107"/>
      <c r="H106" s="107"/>
      <c r="I106" s="107"/>
      <c r="J106" s="107"/>
      <c r="K106" s="87" t="str">
        <f>Model.Units2</f>
        <v>kWh</v>
      </c>
      <c r="L106" s="181"/>
      <c r="M106" s="181"/>
      <c r="N106" s="181"/>
      <c r="O106" s="1">
        <f t="shared" si="19"/>
        <v>0</v>
      </c>
      <c r="P106" s="231">
        <f t="shared" si="19"/>
        <v>0</v>
      </c>
      <c r="Q106" s="501"/>
      <c r="R106" s="231">
        <f t="shared" si="20"/>
        <v>0</v>
      </c>
      <c r="S106" s="231">
        <f t="shared" si="20"/>
        <v>0</v>
      </c>
      <c r="T106" s="231">
        <f t="shared" si="20"/>
        <v>0</v>
      </c>
      <c r="U106" s="231">
        <f t="shared" si="20"/>
        <v>0</v>
      </c>
      <c r="V106" s="231">
        <f t="shared" si="20"/>
        <v>0</v>
      </c>
      <c r="W106" s="4">
        <f xml:space="preserve"> SUM( O106:V106 )</f>
        <v>0</v>
      </c>
      <c r="X106" s="111"/>
      <c r="Y106" s="121"/>
    </row>
    <row r="107" spans="1:25" customFormat="1" ht="15" customHeight="1">
      <c r="A107" s="1"/>
      <c r="B107" s="1"/>
      <c r="C107" s="2"/>
      <c r="D107" s="85" t="str">
        <f>'2.1 Model setup'!K93</f>
        <v>4.1 Omkostninger vedrørende nettab i transformerstationer</v>
      </c>
      <c r="E107" s="1"/>
      <c r="F107" s="107"/>
      <c r="G107" s="107"/>
      <c r="H107" s="107"/>
      <c r="I107" s="107"/>
      <c r="J107" s="107"/>
      <c r="K107" s="87" t="str">
        <f>Model.Units2</f>
        <v>kWh</v>
      </c>
      <c r="L107" s="181"/>
      <c r="M107" s="181"/>
      <c r="N107" s="181"/>
      <c r="O107" s="1">
        <f t="shared" si="19"/>
        <v>0</v>
      </c>
      <c r="P107" s="1">
        <f t="shared" si="19"/>
        <v>0</v>
      </c>
      <c r="Q107" s="501"/>
      <c r="R107" s="1">
        <f t="shared" si="20"/>
        <v>0</v>
      </c>
      <c r="S107" s="1">
        <f t="shared" si="20"/>
        <v>0</v>
      </c>
      <c r="T107" s="1">
        <f t="shared" si="20"/>
        <v>0</v>
      </c>
      <c r="U107" s="1">
        <f t="shared" si="20"/>
        <v>0</v>
      </c>
      <c r="V107" s="1">
        <f t="shared" si="20"/>
        <v>0</v>
      </c>
      <c r="W107" s="4">
        <f xml:space="preserve"> SUM( O107:V107 )</f>
        <v>0</v>
      </c>
      <c r="X107" s="111"/>
      <c r="Y107" s="121"/>
    </row>
    <row r="108" spans="1:25" customFormat="1" ht="15" customHeight="1">
      <c r="A108" s="1"/>
      <c r="B108" s="1"/>
      <c r="C108" s="2"/>
      <c r="D108" s="99" t="str">
        <f>'2.1 Model setup'!K94</f>
        <v>4.2 Omkostninger vedrørende nettab i ledningsnettet</v>
      </c>
      <c r="E108" s="27"/>
      <c r="F108" s="115"/>
      <c r="G108" s="115"/>
      <c r="H108" s="115"/>
      <c r="I108" s="115"/>
      <c r="J108" s="115"/>
      <c r="K108" s="98" t="str">
        <f>Model.Units2</f>
        <v>kWh</v>
      </c>
      <c r="L108" s="182"/>
      <c r="M108" s="182"/>
      <c r="N108" s="182"/>
      <c r="O108" s="27">
        <f t="shared" si="19"/>
        <v>0</v>
      </c>
      <c r="P108" s="27">
        <f t="shared" si="19"/>
        <v>0</v>
      </c>
      <c r="Q108" s="503"/>
      <c r="R108" s="27">
        <f t="shared" si="20"/>
        <v>0</v>
      </c>
      <c r="S108" s="27">
        <f t="shared" si="20"/>
        <v>0</v>
      </c>
      <c r="T108" s="27">
        <f t="shared" si="20"/>
        <v>0</v>
      </c>
      <c r="U108" s="27">
        <f t="shared" si="20"/>
        <v>0</v>
      </c>
      <c r="V108" s="27">
        <f t="shared" si="20"/>
        <v>0</v>
      </c>
      <c r="W108" s="35">
        <f xml:space="preserve"> SUM( O108:V108 )</f>
        <v>0</v>
      </c>
      <c r="X108" s="111"/>
      <c r="Y108" s="121"/>
    </row>
    <row r="109" spans="1:25" customFormat="1" ht="15" customHeight="1">
      <c r="A109" s="1"/>
      <c r="B109" s="1"/>
      <c r="C109" s="2"/>
      <c r="D109" s="85"/>
      <c r="E109" s="1"/>
      <c r="F109" s="107"/>
      <c r="G109" s="107"/>
      <c r="H109" s="107"/>
      <c r="I109" s="107"/>
      <c r="J109" s="107"/>
      <c r="K109" s="87"/>
      <c r="L109" s="181"/>
      <c r="M109" s="181"/>
      <c r="N109" s="181"/>
      <c r="O109" s="515"/>
      <c r="P109" s="515"/>
      <c r="Q109" s="515"/>
      <c r="R109" s="515"/>
      <c r="S109" s="515"/>
      <c r="T109" s="515"/>
      <c r="U109" s="515"/>
      <c r="V109" s="515"/>
      <c r="W109" s="107"/>
      <c r="X109" s="111"/>
      <c r="Y109" s="121"/>
    </row>
    <row r="110" spans="1:25" customFormat="1" ht="15" customHeight="1">
      <c r="A110" s="1"/>
      <c r="B110" s="1"/>
      <c r="C110" s="2"/>
      <c r="D110" s="88" t="s">
        <v>133</v>
      </c>
      <c r="E110" s="1"/>
      <c r="F110" s="107"/>
      <c r="G110" s="107"/>
      <c r="H110" s="107"/>
      <c r="I110" s="107"/>
      <c r="J110" s="107"/>
      <c r="K110" s="87"/>
      <c r="L110" s="85"/>
      <c r="M110" s="85"/>
      <c r="N110" s="107"/>
      <c r="O110" s="107"/>
      <c r="P110" s="107"/>
      <c r="Q110" s="107"/>
      <c r="R110" s="1"/>
      <c r="S110" s="525"/>
      <c r="T110" s="1"/>
      <c r="U110" s="1"/>
      <c r="V110" s="1"/>
      <c r="W110" s="89" t="s">
        <v>16</v>
      </c>
      <c r="X110" s="1"/>
      <c r="Y110" s="1"/>
    </row>
    <row r="111" spans="1:25" customFormat="1" ht="15" customHeight="1">
      <c r="A111" s="1"/>
      <c r="B111" s="1"/>
      <c r="C111" s="2"/>
      <c r="D111" s="123" t="str">
        <f>'2.1 Model setup'!K91</f>
        <v>1.1 Drift og vedligeholdelse af transformerstationer</v>
      </c>
      <c r="E111" s="15"/>
      <c r="F111" s="116"/>
      <c r="G111" s="116"/>
      <c r="H111" s="116"/>
      <c r="I111" s="116"/>
      <c r="J111" s="116"/>
      <c r="K111" s="117" t="s">
        <v>4</v>
      </c>
      <c r="L111" s="123">
        <f xml:space="preserve"> -- ( IF( AND( COUNTIF( R111:V111, "&lt;&gt;0" ) = 0, COUNTIF( O111:P111, "&lt;&gt;0") = 0 ), 0, ROUND( SUM( O111:V111 ), 5 ) &lt;&gt; 100% ) )</f>
        <v>0</v>
      </c>
      <c r="M111" s="180"/>
      <c r="N111" s="180"/>
      <c r="O111" s="180">
        <f xml:space="preserve"> IF( OR( O$10 = $S$10, O$10 = $U$10 ), IF( $S$37 = 0, 0, IF( $U$37 = 0, 1, SUM( O105:$V105 ) / ( SUM( $S105:$V105 ) + SUM( $U105:$V105 ) ) ) ), 0 )</f>
        <v>0</v>
      </c>
      <c r="P111" s="180">
        <f xml:space="preserve"> IF( OR( P$10 = $S$10, P$10 = $U$10 ), IF( $S$37 = 0, 0, IF( $U$37 = 0, 1, SUM( P105:$V105 ) / ( SUM( $S105:$V105 ) + SUM( $U105:$V105 ) ) ) ), 0 )</f>
        <v>0</v>
      </c>
      <c r="Q111" s="502"/>
      <c r="R111" s="180">
        <f xml:space="preserve"> IF( OR( R$10 = $S$10, R$10 = $U$10 ), IF( $S$37 = 0, 0, IF( $U$37 = 0, 1, SUM( R105:$V105 ) / ( SUM( $S105:$V105 ) + SUM( $U105:$V105 ) ) ) ), 0 )</f>
        <v>0</v>
      </c>
      <c r="S111" s="180">
        <f xml:space="preserve"> IF( OR( S$10 = $S$10, S$10 = $U$10 ), IF( $S$37 = 0, 0, IF( $U$37 = 0, 1, SUM( S105:$V105 ) / ( SUM( $S105:$V105 ) + SUM( $U105:$V105 ) ) ) ), 0 )</f>
        <v>0</v>
      </c>
      <c r="T111" s="180">
        <f xml:space="preserve"> IF( OR( T$10 = $S$10, T$10 = $U$10 ), IF( $S$37 = 0, 0, IF( $U$37 = 0, 1, SUM( T105:$V105 ) / ( SUM( $S105:$V105 ) + SUM( $U105:$V105 ) ) ) ), 0 )</f>
        <v>0</v>
      </c>
      <c r="U111" s="586">
        <f xml:space="preserve"> IF( OR( U$10 = $S$10, U$10 = $U$10 ), IF( $U$37 = 0, 0, IF( $S$37 = 0, 1, SUM( U105:$V105 ) / ( SUM( $S105:$V105 ) + SUM( $U105:$V105 ) ) ) ), 0 )</f>
        <v>0</v>
      </c>
      <c r="V111" s="180">
        <f xml:space="preserve"> IF( OR( V$10 = $S$10, V$10 = $U$10 ), IF( $S$37 = 0, 0, IF( $U$37 = 0, 1, SUM( V105:$V105 ) / ( SUM( $S105:$V105 ) + SUM( $U105:$V105 ) ) ) ), 0 )</f>
        <v>0</v>
      </c>
      <c r="W111" s="354">
        <f xml:space="preserve"> SUM( O111:V111 )</f>
        <v>0</v>
      </c>
      <c r="X111" s="111"/>
      <c r="Y111" s="121"/>
    </row>
    <row r="112" spans="1:25" customFormat="1" ht="15" customHeight="1">
      <c r="A112" s="1"/>
      <c r="B112" s="1"/>
      <c r="C112" s="2"/>
      <c r="D112" s="85" t="str">
        <f>'2.1 Model setup'!K92</f>
        <v>1.2 Drift og vedligeholdelse af ledningsnet</v>
      </c>
      <c r="E112" s="1"/>
      <c r="F112" s="107"/>
      <c r="G112" s="107"/>
      <c r="H112" s="107"/>
      <c r="I112" s="107"/>
      <c r="J112" s="107"/>
      <c r="K112" s="87" t="s">
        <v>4</v>
      </c>
      <c r="L112" s="85">
        <f t="shared" ref="L112:L114" si="21" xml:space="preserve"> -- ( IF( AND( COUNTIF( R112:V112, "&lt;&gt;0" ) = 0, COUNTIF( O112:P112, "&lt;&gt;0") = 0 ), 0, ROUND( SUM( O112:V112 ), 5 ) &lt;&gt; 100% ) )</f>
        <v>0</v>
      </c>
      <c r="M112" s="181"/>
      <c r="N112" s="181"/>
      <c r="O112" s="181">
        <f xml:space="preserve"> IF( OR( O$10 = $S$10, O$10 = $U$10 ), IF( $S$37 = 0, 0, IF( $U$37 = 0, 1, SUM( O106:$V106 ) / ( SUM( $S106:$V106 ) + SUM( $U106:$V106 ) ) ) ), 0 )</f>
        <v>0</v>
      </c>
      <c r="P112" s="181">
        <f xml:space="preserve"> IF( OR( P$10 = $S$10, P$10 = $U$10 ), IF( $S$37 = 0, 0, IF( $U$37 = 0, 1, SUM( P106:$V106 ) / ( SUM( $S106:$V106 ) + SUM( $U106:$V106 ) ) ) ), 0 )</f>
        <v>0</v>
      </c>
      <c r="Q112" s="501"/>
      <c r="R112" s="181">
        <f xml:space="preserve"> IF( OR( R$10 = $S$10, R$10 = $U$10 ), IF( $S$37 = 0, 0, IF( $U$37 = 0, 1, SUM( R106:$V106 ) / ( SUM( $S106:$V106 ) + SUM( $U106:$V106 ) ) ) ), 0 )</f>
        <v>0</v>
      </c>
      <c r="S112" s="181">
        <f xml:space="preserve"> IF( OR( S$10 = $S$10, S$10 = $U$10 ), IF( $S$37 = 0, 0, IF( $U$37 = 0, 1, SUM( S106:$V106 ) / ( SUM( $S106:$V106 ) + SUM( $U106:$V106 ) ) ) ), 0 )</f>
        <v>0</v>
      </c>
      <c r="T112" s="181">
        <f xml:space="preserve"> IF( OR( T$10 = $S$10, T$10 = $U$10 ), IF( $S$37 = 0, 0, IF( $U$37 = 0, 1, SUM( T106:$V106 ) / ( SUM( $S106:$V106 ) + SUM( $U106:$V106 ) ) ) ), 0 )</f>
        <v>0</v>
      </c>
      <c r="U112" s="587">
        <f xml:space="preserve"> IF( OR( U$10 = $S$10, U$10 = $U$10 ), IF( $U$37 = 0, 0, IF( $S$37 = 0, 1, SUM( U106:$V106 ) / ( SUM( $S106:$V106 ) + SUM( $U106:$V106 ) ) ) ), 0 )</f>
        <v>0</v>
      </c>
      <c r="V112" s="181">
        <f xml:space="preserve"> IF( OR( V$10 = $S$10, V$10 = $U$10 ), IF( $S$37 = 0, 0, IF( $U$37 = 0, 1, SUM( V106:$V106 ) / ( SUM( $S106:$V106 ) + SUM( $U106:$V106 ) ) ) ), 0 )</f>
        <v>0</v>
      </c>
      <c r="W112" s="198">
        <f xml:space="preserve"> SUM( O112:V112 )</f>
        <v>0</v>
      </c>
      <c r="X112" s="111"/>
      <c r="Y112" s="121"/>
    </row>
    <row r="113" spans="1:25" customFormat="1" ht="15" customHeight="1">
      <c r="A113" s="1"/>
      <c r="B113" s="1"/>
      <c r="C113" s="2"/>
      <c r="D113" s="85" t="str">
        <f>'2.1 Model setup'!K93</f>
        <v>4.1 Omkostninger vedrørende nettab i transformerstationer</v>
      </c>
      <c r="E113" s="1"/>
      <c r="F113" s="107"/>
      <c r="G113" s="107"/>
      <c r="H113" s="107"/>
      <c r="I113" s="107"/>
      <c r="J113" s="107"/>
      <c r="K113" s="87" t="s">
        <v>4</v>
      </c>
      <c r="L113" s="85">
        <f t="shared" si="21"/>
        <v>0</v>
      </c>
      <c r="M113" s="181"/>
      <c r="N113" s="181"/>
      <c r="O113" s="181">
        <f xml:space="preserve"> IF( OR( O$10 = $S$10, O$10 = $U$10 ), IF( $S$37 = 0, 0, IF( $U$37 = 0, 1, SUM( O107:$V107 ) / ( SUM( $S107:$V107 ) + SUM( $U107:$V107 ) ) ) ), 0 )</f>
        <v>0</v>
      </c>
      <c r="P113" s="181">
        <f xml:space="preserve"> IF( OR( P$10 = $S$10, P$10 = $U$10 ), IF( $S$37 = 0, 0, IF( $U$37 = 0, 1, SUM( P107:$V107 ) / ( SUM( $S107:$V107 ) + SUM( $U107:$V107 ) ) ) ), 0 )</f>
        <v>0</v>
      </c>
      <c r="Q113" s="501"/>
      <c r="R113" s="181">
        <f xml:space="preserve"> IF( OR( R$10 = $S$10, R$10 = $U$10 ), IF( $S$37 = 0, 0, IF( $U$37 = 0, 1, SUM( R107:$V107 ) / ( SUM( $S107:$V107 ) + SUM( $U107:$V107 ) ) ) ), 0 )</f>
        <v>0</v>
      </c>
      <c r="S113" s="181">
        <f xml:space="preserve"> IF( OR( S$10 = $S$10, S$10 = $U$10 ), IF( $S$37 = 0, 0, IF( $U$37 = 0, 1, SUM( S107:$V107 ) / ( SUM( $S107:$V107 ) + SUM( $U107:$V107 ) ) ) ), 0 )</f>
        <v>0</v>
      </c>
      <c r="T113" s="181">
        <f xml:space="preserve"> IF( OR( T$10 = $S$10, T$10 = $U$10 ), IF( $S$37 = 0, 0, IF( $U$37 = 0, 1, SUM( T107:$V107 ) / ( SUM( $S107:$V107 ) + SUM( $U107:$V107 ) ) ) ), 0 )</f>
        <v>0</v>
      </c>
      <c r="U113" s="587">
        <f xml:space="preserve"> IF( OR( U$10 = $S$10, U$10 = $U$10 ), IF( $U$37 = 0, 0, IF( $S$37 = 0, 1, SUM( U107:$V107 ) / ( SUM( $S107:$V107 ) + SUM( $U107:$V107 ) ) ) ), 0 )</f>
        <v>0</v>
      </c>
      <c r="V113" s="181">
        <f xml:space="preserve"> IF( OR( V$10 = $S$10, V$10 = $U$10 ), IF( $S$37 = 0, 0, IF( $U$37 = 0, 1, SUM( V107:$V107 ) / ( SUM( $S107:$V107 ) + SUM( $U107:$V107 ) ) ) ), 0 )</f>
        <v>0</v>
      </c>
      <c r="W113" s="198">
        <f xml:space="preserve"> SUM( O113:V113 )</f>
        <v>0</v>
      </c>
      <c r="X113" s="111"/>
      <c r="Y113" s="121"/>
    </row>
    <row r="114" spans="1:25" customFormat="1" ht="15" customHeight="1">
      <c r="A114" s="1"/>
      <c r="B114" s="1"/>
      <c r="C114" s="2"/>
      <c r="D114" s="99" t="str">
        <f>'2.1 Model setup'!K94</f>
        <v>4.2 Omkostninger vedrørende nettab i ledningsnettet</v>
      </c>
      <c r="E114" s="27"/>
      <c r="F114" s="115"/>
      <c r="G114" s="115"/>
      <c r="H114" s="115"/>
      <c r="I114" s="115"/>
      <c r="J114" s="115"/>
      <c r="K114" s="98" t="s">
        <v>4</v>
      </c>
      <c r="L114" s="99">
        <f t="shared" si="21"/>
        <v>0</v>
      </c>
      <c r="M114" s="182"/>
      <c r="N114" s="182"/>
      <c r="O114" s="182">
        <f xml:space="preserve"> IF( OR( O$10 = $S$10, O$10 = $U$10 ), IF( $S$37 = 0, 0, IF( $U$37 = 0, 1, SUM( O108:$V108 ) / ( SUM( $S108:$V108 ) + SUM( $U108:$V108 ) ) ) ), 0 )</f>
        <v>0</v>
      </c>
      <c r="P114" s="182">
        <f xml:space="preserve"> IF( OR( P$10 = $S$10, P$10 = $U$10 ), IF( $S$37 = 0, 0, IF( $U$37 = 0, 1, SUM( P108:$V108 ) / ( SUM( $S108:$V108 ) + SUM( $U108:$V108 ) ) ) ), 0 )</f>
        <v>0</v>
      </c>
      <c r="Q114" s="503"/>
      <c r="R114" s="182">
        <f xml:space="preserve"> IF( OR( R$10 = $S$10, R$10 = $U$10 ), IF( $S$37 = 0, 0, IF( $U$37 = 0, 1, SUM( R108:$V108 ) / ( SUM( $S108:$V108 ) + SUM( $U108:$V108 ) ) ) ), 0 )</f>
        <v>0</v>
      </c>
      <c r="S114" s="182">
        <f xml:space="preserve"> IF( OR( S$10 = $S$10, S$10 = $U$10 ), IF( $S$37 = 0, 0, IF( $U$37 = 0, 1, SUM( S108:$V108 ) / ( SUM( $S108:$V108 ) + SUM( $U108:$V108 ) ) ) ), 0 )</f>
        <v>0</v>
      </c>
      <c r="T114" s="182">
        <f xml:space="preserve"> IF( OR( T$10 = $S$10, T$10 = $U$10 ), IF( $S$37 = 0, 0, IF( $U$37 = 0, 1, SUM( T108:$V108 ) / ( SUM( $S108:$V108 ) + SUM( $U108:$V108 ) ) ) ), 0 )</f>
        <v>0</v>
      </c>
      <c r="U114" s="638">
        <f xml:space="preserve"> IF( OR( U$10 = $S$10, U$10 = $U$10 ), IF( $U$37 = 0, 0, IF( $S$37 = 0, 1, SUM( U108:$V108 ) / ( SUM( $S108:$V108 ) + SUM( $U108:$V108 ) ) ) ), 0 )</f>
        <v>0</v>
      </c>
      <c r="V114" s="182">
        <f xml:space="preserve"> IF( OR( V$10 = $S$10, V$10 = $U$10 ), IF( $S$37 = 0, 0, IF( $U$37 = 0, 1, SUM( V108:$V108 ) / ( SUM( $S108:$V108 ) + SUM( $U108:$V108 ) ) ) ), 0 )</f>
        <v>0</v>
      </c>
      <c r="W114" s="199">
        <f xml:space="preserve"> SUM( O114:V114 )</f>
        <v>0</v>
      </c>
      <c r="X114" s="111"/>
      <c r="Y114" s="121"/>
    </row>
    <row r="115" spans="1:25" customFormat="1" ht="15" customHeight="1">
      <c r="A115" s="1"/>
      <c r="B115" s="1"/>
      <c r="C115" s="2"/>
      <c r="D115" s="85"/>
      <c r="E115" s="1"/>
      <c r="F115" s="107"/>
      <c r="G115" s="107"/>
      <c r="H115" s="107"/>
      <c r="I115" s="107"/>
      <c r="J115" s="107"/>
      <c r="K115" s="87"/>
      <c r="L115" s="85"/>
      <c r="M115" s="85"/>
      <c r="N115" s="87"/>
      <c r="O115" s="107"/>
      <c r="P115" s="107"/>
      <c r="Q115" s="107"/>
      <c r="R115" s="107"/>
      <c r="S115" s="107"/>
      <c r="T115" s="107"/>
      <c r="U115" s="107"/>
      <c r="V115" s="107"/>
      <c r="W115" s="107"/>
      <c r="X115" s="1"/>
      <c r="Y115" s="1"/>
    </row>
    <row r="116" spans="1:25" customFormat="1" ht="15" customHeight="1">
      <c r="A116" s="1"/>
      <c r="B116" s="1"/>
      <c r="C116" s="2"/>
      <c r="D116" s="88" t="s">
        <v>568</v>
      </c>
      <c r="E116" s="1"/>
      <c r="F116" s="107"/>
      <c r="G116" s="107"/>
      <c r="H116" s="107"/>
      <c r="I116" s="107"/>
      <c r="J116" s="107"/>
      <c r="K116" s="87"/>
      <c r="L116" s="85"/>
      <c r="M116" s="85"/>
      <c r="N116" s="107"/>
      <c r="O116" s="107"/>
      <c r="P116" s="107"/>
      <c r="Q116" s="107"/>
      <c r="R116" s="1"/>
      <c r="S116" s="1"/>
      <c r="T116" s="1"/>
      <c r="U116" s="1"/>
      <c r="V116" s="1"/>
      <c r="W116" s="89" t="s">
        <v>16</v>
      </c>
      <c r="X116" s="1"/>
      <c r="Y116" s="1"/>
    </row>
    <row r="117" spans="1:25" customFormat="1" ht="15" customHeight="1">
      <c r="A117" s="1"/>
      <c r="B117" s="1"/>
      <c r="C117" s="2"/>
      <c r="D117" s="123" t="str">
        <f>'2.1 Model setup'!K91</f>
        <v>1.1 Drift og vedligeholdelse af transformerstationer</v>
      </c>
      <c r="E117" s="15"/>
      <c r="F117" s="116"/>
      <c r="G117" s="116"/>
      <c r="H117" s="116"/>
      <c r="I117" s="116"/>
      <c r="J117" s="116"/>
      <c r="K117" s="117" t="str">
        <f>Model.Units</f>
        <v>DKKt</v>
      </c>
      <c r="L117" s="123">
        <f xml:space="preserve"> -- ( OR( O117 &lt;&gt; 0, P117 &lt;&gt; 0, R117 &lt;&gt; 0, T117 &lt;&gt; 0, V117 &lt;&gt; 0 ) )</f>
        <v>0</v>
      </c>
      <c r="M117" s="142"/>
      <c r="N117" s="116"/>
      <c r="O117" s="15">
        <f xml:space="preserve"> IF( ( $N93 = '2.1 Model setup'!$K$51 ) * ( $N99 = 1 ), O111 * $W75, O75 )</f>
        <v>0</v>
      </c>
      <c r="P117" s="15">
        <f xml:space="preserve"> IF( ( $N93 = '2.1 Model setup'!$K$51 ) * ( $N99 = 1 ), P111 * $W75, P75 )</f>
        <v>0</v>
      </c>
      <c r="Q117" s="502"/>
      <c r="R117" s="15">
        <f xml:space="preserve"> IF( ( $N93 = '2.1 Model setup'!$K$51 ) * ( $N99 = 1 ), R111 * $W75, R75 )</f>
        <v>0</v>
      </c>
      <c r="S117" s="15">
        <f xml:space="preserve"> IF( ( $N93 = '2.1 Model setup'!$K$51 ) * ( $N99 = 1 ), S111 * $W75, S75 )</f>
        <v>0</v>
      </c>
      <c r="T117" s="15">
        <f xml:space="preserve"> IF( ( $N93 = '2.1 Model setup'!$K$51 ) * ( $N99 = 1 ), T111 * $W75, T75 )</f>
        <v>0</v>
      </c>
      <c r="U117" s="15">
        <f xml:space="preserve"> IF( ( $N93 = '2.1 Model setup'!$K$51 ) * ( $N99 = 1 ), U111 * $W75, U75 )</f>
        <v>0</v>
      </c>
      <c r="V117" s="15">
        <f xml:space="preserve"> IF( ( $N93 = '2.1 Model setup'!$K$51 ) * ( $N99 = 1 ), V111 * $W75, V75 )</f>
        <v>0</v>
      </c>
      <c r="W117" s="18">
        <f xml:space="preserve"> SUM( O117:V117 )</f>
        <v>0</v>
      </c>
      <c r="X117" s="1"/>
      <c r="Y117" s="1"/>
    </row>
    <row r="118" spans="1:25" customFormat="1" ht="15" customHeight="1">
      <c r="A118" s="1"/>
      <c r="B118" s="1"/>
      <c r="C118" s="2"/>
      <c r="D118" s="85" t="str">
        <f>'2.1 Model setup'!K92</f>
        <v>1.2 Drift og vedligeholdelse af ledningsnet</v>
      </c>
      <c r="E118" s="1"/>
      <c r="F118" s="107"/>
      <c r="G118" s="107"/>
      <c r="H118" s="107"/>
      <c r="I118" s="107"/>
      <c r="J118" s="107"/>
      <c r="K118" s="87" t="str">
        <f>Model.Units</f>
        <v>DKKt</v>
      </c>
      <c r="L118" s="85"/>
      <c r="M118" s="119"/>
      <c r="N118" s="107"/>
      <c r="O118" s="1">
        <f xml:space="preserve"> IF( ( $N94 = '2.1 Model setup'!$K$51 ) * ( $N100 = 1 ), O112 * $W76, O76 )</f>
        <v>0</v>
      </c>
      <c r="P118" s="1">
        <f xml:space="preserve"> IF( ( $N94 = '2.1 Model setup'!$K$51 ) * ( $N100 = 1 ), P112 * $W76, P76 )</f>
        <v>0</v>
      </c>
      <c r="Q118" s="501"/>
      <c r="R118" s="1">
        <f xml:space="preserve"> IF( ( $N94 = '2.1 Model setup'!$K$51 ) * ( $N100 = 1 ), R112 * $W76, R76 )</f>
        <v>0</v>
      </c>
      <c r="S118" s="1">
        <f xml:space="preserve"> IF( ( $N94 = '2.1 Model setup'!$K$51 ) * ( $N100 = 1 ), S112 * $W76, S76 )</f>
        <v>0</v>
      </c>
      <c r="T118" s="1">
        <f xml:space="preserve"> IF( ( $N94 = '2.1 Model setup'!$K$51 ) * ( $N100 = 1 ), T112 * $W76, T76 )</f>
        <v>0</v>
      </c>
      <c r="U118" s="1">
        <f xml:space="preserve"> IF( ( $N94 = '2.1 Model setup'!$K$51 ) * ( $N100 = 1 ), U112 * $W76, U76 )</f>
        <v>0</v>
      </c>
      <c r="V118" s="1">
        <f xml:space="preserve"> IF( ( $N94 = '2.1 Model setup'!$K$51 ) * ( $N100 = 1 ), V112 * $W76, V76 )</f>
        <v>0</v>
      </c>
      <c r="W118" s="4">
        <f xml:space="preserve"> SUM( O118:V118 )</f>
        <v>0</v>
      </c>
      <c r="X118" s="1"/>
      <c r="Y118" s="1"/>
    </row>
    <row r="119" spans="1:25" customFormat="1" ht="15" customHeight="1">
      <c r="A119" s="1"/>
      <c r="B119" s="1"/>
      <c r="C119" s="2"/>
      <c r="D119" s="85" t="str">
        <f>'2.1 Model setup'!K93</f>
        <v>4.1 Omkostninger vedrørende nettab i transformerstationer</v>
      </c>
      <c r="E119" s="1"/>
      <c r="F119" s="107"/>
      <c r="G119" s="107"/>
      <c r="H119" s="107"/>
      <c r="I119" s="107"/>
      <c r="J119" s="107"/>
      <c r="K119" s="87" t="str">
        <f>Model.Units</f>
        <v>DKKt</v>
      </c>
      <c r="L119" s="85">
        <f xml:space="preserve"> -- ( OR( O119 &lt;&gt; 0, P119 &lt;&gt; 0, R119 &lt;&gt; 0, T119 &lt;&gt; 0, V119 &lt;&gt; 0 ) )</f>
        <v>0</v>
      </c>
      <c r="M119" s="119"/>
      <c r="N119" s="107"/>
      <c r="O119" s="1">
        <f xml:space="preserve"> IF( ( $N95 = '2.1 Model setup'!$K$51 ) * ( $N101 = 1 ), O113 * $W77, O77 )</f>
        <v>0</v>
      </c>
      <c r="P119" s="1">
        <f xml:space="preserve"> IF( ( $N95 = '2.1 Model setup'!$K$51 ) * ( $N101 = 1 ), P113 * $W77, P77 )</f>
        <v>0</v>
      </c>
      <c r="Q119" s="501"/>
      <c r="R119" s="1">
        <f xml:space="preserve"> IF( ( $N95 = '2.1 Model setup'!$K$51 ) * ( $N101 = 1 ), R113 * $W77, R77 )</f>
        <v>0</v>
      </c>
      <c r="S119" s="1">
        <f xml:space="preserve"> IF( ( $N95 = '2.1 Model setup'!$K$51 ) * ( $N101 = 1 ), S113 * $W77, S77 )</f>
        <v>0</v>
      </c>
      <c r="T119" s="1">
        <f xml:space="preserve"> IF( ( $N95 = '2.1 Model setup'!$K$51 ) * ( $N101 = 1 ), T113 * $W77, T77 )</f>
        <v>0</v>
      </c>
      <c r="U119" s="1">
        <f xml:space="preserve"> IF( ( $N95 = '2.1 Model setup'!$K$51 ) * ( $N101 = 1 ), U113 * $W77, U77 )</f>
        <v>0</v>
      </c>
      <c r="V119" s="1">
        <f xml:space="preserve"> IF( ( $N95 = '2.1 Model setup'!$K$51 ) * ( $N101 = 1 ), V113 * $W77, V77 )</f>
        <v>0</v>
      </c>
      <c r="W119" s="4">
        <f xml:space="preserve"> SUM( O119:V119 )</f>
        <v>0</v>
      </c>
      <c r="X119" s="1"/>
      <c r="Y119" s="1"/>
    </row>
    <row r="120" spans="1:25" customFormat="1" ht="15" customHeight="1">
      <c r="A120" s="1"/>
      <c r="B120" s="1"/>
      <c r="C120" s="2"/>
      <c r="D120" s="99" t="str">
        <f>'2.1 Model setup'!K94</f>
        <v>4.2 Omkostninger vedrørende nettab i ledningsnettet</v>
      </c>
      <c r="E120" s="27"/>
      <c r="F120" s="115"/>
      <c r="G120" s="115"/>
      <c r="H120" s="115"/>
      <c r="I120" s="115"/>
      <c r="J120" s="115"/>
      <c r="K120" s="98" t="str">
        <f>Model.Units</f>
        <v>DKKt</v>
      </c>
      <c r="L120" s="99"/>
      <c r="M120" s="151"/>
      <c r="N120" s="115"/>
      <c r="O120" s="27">
        <f xml:space="preserve"> IF( ( $N96 = '2.1 Model setup'!$K$51 ) * ( $N102 = 1 ), O114 * $W78, O78 )</f>
        <v>0</v>
      </c>
      <c r="P120" s="27">
        <f xml:space="preserve"> IF( ( $N96 = '2.1 Model setup'!$K$51 ) * ( $N102 = 1 ), P114 * $W78, P78 )</f>
        <v>0</v>
      </c>
      <c r="Q120" s="503"/>
      <c r="R120" s="27">
        <f xml:space="preserve"> IF( ( $N96 = '2.1 Model setup'!$K$51 ) * ( $N102 = 1 ), R114 * $W78, R78 )</f>
        <v>0</v>
      </c>
      <c r="S120" s="27">
        <f xml:space="preserve"> IF( ( $N96 = '2.1 Model setup'!$K$51 ) * ( $N102 = 1 ), S114 * $W78, S78 )</f>
        <v>0</v>
      </c>
      <c r="T120" s="27">
        <f xml:space="preserve"> IF( ( $N96 = '2.1 Model setup'!$K$51 ) * ( $N102 = 1 ), T114 * $W78, T78 )</f>
        <v>0</v>
      </c>
      <c r="U120" s="27">
        <f xml:space="preserve"> IF( ( $N96 = '2.1 Model setup'!$K$51 ) * ( $N102 = 1 ), U114 * $W78, U78 )</f>
        <v>0</v>
      </c>
      <c r="V120" s="27">
        <f xml:space="preserve"> IF( ( $N96 = '2.1 Model setup'!$K$51 ) * ( $N102 = 1 ), V114 * $W78, V78 )</f>
        <v>0</v>
      </c>
      <c r="W120" s="35">
        <f xml:space="preserve"> SUM( O120:V120 )</f>
        <v>0</v>
      </c>
      <c r="X120" s="1"/>
      <c r="Y120" s="1"/>
    </row>
    <row r="121" spans="1:25" customFormat="1" ht="15" customHeight="1">
      <c r="A121" s="1"/>
      <c r="B121" s="1"/>
      <c r="C121" s="2"/>
      <c r="D121" s="97" t="s">
        <v>16</v>
      </c>
      <c r="E121" s="27"/>
      <c r="F121" s="104"/>
      <c r="G121" s="104"/>
      <c r="H121" s="104"/>
      <c r="I121" s="104"/>
      <c r="J121" s="104"/>
      <c r="K121" s="127" t="str">
        <f xml:space="preserve"> Model.Units</f>
        <v>DKKt</v>
      </c>
      <c r="L121" s="99"/>
      <c r="M121" s="151"/>
      <c r="N121" s="315"/>
      <c r="O121" s="35">
        <f xml:space="preserve"> SUM( O117:O120 )</f>
        <v>0</v>
      </c>
      <c r="P121" s="35">
        <f xml:space="preserve"> SUM( P117:P120 )</f>
        <v>0</v>
      </c>
      <c r="Q121" s="417"/>
      <c r="R121" s="35">
        <f t="shared" ref="R121:W121" si="22" xml:space="preserve"> SUM( R117:R120 )</f>
        <v>0</v>
      </c>
      <c r="S121" s="35">
        <f t="shared" si="22"/>
        <v>0</v>
      </c>
      <c r="T121" s="35">
        <f t="shared" si="22"/>
        <v>0</v>
      </c>
      <c r="U121" s="35">
        <f t="shared" si="22"/>
        <v>0</v>
      </c>
      <c r="V121" s="35">
        <f t="shared" si="22"/>
        <v>0</v>
      </c>
      <c r="W121" s="35">
        <f t="shared" si="22"/>
        <v>0</v>
      </c>
      <c r="X121" s="111"/>
      <c r="Y121" s="121"/>
    </row>
    <row r="122" spans="1:25" customFormat="1" ht="15" customHeight="1">
      <c r="A122" s="1"/>
      <c r="B122" s="1"/>
      <c r="C122" s="2"/>
      <c r="D122" s="85"/>
      <c r="E122" s="1"/>
      <c r="F122" s="107"/>
      <c r="G122" s="107"/>
      <c r="H122" s="107"/>
      <c r="I122" s="107"/>
      <c r="J122" s="107"/>
      <c r="K122" s="87"/>
      <c r="L122" s="85"/>
      <c r="M122" s="85"/>
      <c r="N122" s="107"/>
      <c r="O122" s="524"/>
      <c r="P122" s="524"/>
      <c r="Q122" s="524"/>
      <c r="R122" s="524"/>
      <c r="S122" s="524"/>
      <c r="T122" s="524"/>
      <c r="U122" s="524"/>
      <c r="V122" s="524"/>
      <c r="W122" s="524"/>
      <c r="X122" s="1"/>
      <c r="Y122" s="1"/>
    </row>
    <row r="123" spans="1:25" customFormat="1" ht="15" customHeight="1">
      <c r="A123" s="1"/>
      <c r="B123" s="1"/>
      <c r="C123" s="2"/>
      <c r="D123" s="88" t="s">
        <v>569</v>
      </c>
      <c r="E123" s="1"/>
      <c r="F123" s="107"/>
      <c r="G123" s="107"/>
      <c r="H123" s="107"/>
      <c r="I123" s="107"/>
      <c r="J123" s="107"/>
      <c r="K123" s="87"/>
      <c r="L123" s="85"/>
      <c r="M123" s="85"/>
      <c r="N123" s="107"/>
      <c r="O123" s="524"/>
      <c r="P123" s="524"/>
      <c r="Q123" s="524"/>
      <c r="R123" s="1"/>
      <c r="S123" s="1"/>
      <c r="T123" s="1"/>
      <c r="U123" s="1"/>
      <c r="V123" s="1"/>
      <c r="W123" s="89" t="s">
        <v>16</v>
      </c>
      <c r="X123" s="1"/>
      <c r="Y123" s="1"/>
    </row>
    <row r="124" spans="1:25" customFormat="1" ht="15" customHeight="1">
      <c r="A124" s="1"/>
      <c r="B124" s="1"/>
      <c r="C124" s="2"/>
      <c r="D124" s="123" t="str">
        <f>'2.1 Model setup'!K91</f>
        <v>1.1 Drift og vedligeholdelse af transformerstationer</v>
      </c>
      <c r="E124" s="15"/>
      <c r="F124" s="116"/>
      <c r="G124" s="116"/>
      <c r="H124" s="116"/>
      <c r="I124" s="116"/>
      <c r="J124" s="116"/>
      <c r="K124" s="117" t="str">
        <f>Model.Units</f>
        <v>DKKt</v>
      </c>
      <c r="L124" s="123">
        <f xml:space="preserve"> -- ( OR( O124 &lt;&gt; 0, P124 &lt;&gt; 0, R124 &lt;&gt; 0, T124 &lt;&gt; 0, V124 &lt;&gt; 0 ) )</f>
        <v>0</v>
      </c>
      <c r="M124" s="142"/>
      <c r="N124" s="116"/>
      <c r="O124" s="15">
        <f t="shared" ref="O124:P127" si="23">O68+O117</f>
        <v>0</v>
      </c>
      <c r="P124" s="15">
        <f t="shared" si="23"/>
        <v>0</v>
      </c>
      <c r="Q124" s="502"/>
      <c r="R124" s="15">
        <f t="shared" ref="R124:V127" si="24">R68+R117</f>
        <v>0</v>
      </c>
      <c r="S124" s="15">
        <f t="shared" si="24"/>
        <v>0</v>
      </c>
      <c r="T124" s="15">
        <f t="shared" si="24"/>
        <v>0</v>
      </c>
      <c r="U124" s="15">
        <f t="shared" si="24"/>
        <v>0</v>
      </c>
      <c r="V124" s="15">
        <f t="shared" si="24"/>
        <v>0</v>
      </c>
      <c r="W124" s="18">
        <f xml:space="preserve"> SUM( O124:V124 )</f>
        <v>0</v>
      </c>
      <c r="X124" s="1"/>
      <c r="Y124" s="1"/>
    </row>
    <row r="125" spans="1:25" customFormat="1" ht="15" customHeight="1">
      <c r="A125" s="1"/>
      <c r="B125" s="1"/>
      <c r="C125" s="2"/>
      <c r="D125" s="85" t="str">
        <f>'2.1 Model setup'!K92</f>
        <v>1.2 Drift og vedligeholdelse af ledningsnet</v>
      </c>
      <c r="E125" s="1"/>
      <c r="F125" s="107"/>
      <c r="G125" s="107"/>
      <c r="H125" s="107"/>
      <c r="I125" s="107"/>
      <c r="J125" s="107"/>
      <c r="K125" s="87" t="str">
        <f>Model.Units</f>
        <v>DKKt</v>
      </c>
      <c r="L125" s="85"/>
      <c r="M125" s="119"/>
      <c r="N125" s="107"/>
      <c r="O125" s="1">
        <f t="shared" si="23"/>
        <v>0</v>
      </c>
      <c r="P125" s="1">
        <f t="shared" si="23"/>
        <v>0</v>
      </c>
      <c r="Q125" s="501"/>
      <c r="R125" s="1">
        <f t="shared" si="24"/>
        <v>0</v>
      </c>
      <c r="S125" s="1">
        <f t="shared" si="24"/>
        <v>0</v>
      </c>
      <c r="T125" s="1">
        <f t="shared" si="24"/>
        <v>0</v>
      </c>
      <c r="U125" s="1">
        <f t="shared" si="24"/>
        <v>0</v>
      </c>
      <c r="V125" s="1">
        <f t="shared" si="24"/>
        <v>0</v>
      </c>
      <c r="W125" s="4">
        <f xml:space="preserve"> SUM( O125:V125 )</f>
        <v>0</v>
      </c>
      <c r="X125" s="1"/>
      <c r="Y125" s="1"/>
    </row>
    <row r="126" spans="1:25" customFormat="1" ht="15" customHeight="1">
      <c r="A126" s="1"/>
      <c r="B126" s="1"/>
      <c r="C126" s="2"/>
      <c r="D126" s="85" t="str">
        <f>'2.1 Model setup'!K93</f>
        <v>4.1 Omkostninger vedrørende nettab i transformerstationer</v>
      </c>
      <c r="E126" s="1"/>
      <c r="F126" s="107"/>
      <c r="G126" s="107"/>
      <c r="H126" s="107"/>
      <c r="I126" s="107"/>
      <c r="J126" s="107"/>
      <c r="K126" s="87" t="str">
        <f>Model.Units</f>
        <v>DKKt</v>
      </c>
      <c r="L126" s="85">
        <f xml:space="preserve"> -- ( OR( O126 &lt;&gt; 0, P126 &lt;&gt; 0, R126 &lt;&gt; 0, T126 &lt;&gt; 0, V126 &lt;&gt; 0 ) )</f>
        <v>0</v>
      </c>
      <c r="M126" s="119"/>
      <c r="N126" s="107"/>
      <c r="O126" s="1">
        <f t="shared" si="23"/>
        <v>0</v>
      </c>
      <c r="P126" s="1">
        <f t="shared" si="23"/>
        <v>0</v>
      </c>
      <c r="Q126" s="501"/>
      <c r="R126" s="1">
        <f t="shared" si="24"/>
        <v>0</v>
      </c>
      <c r="S126" s="1">
        <f t="shared" si="24"/>
        <v>0</v>
      </c>
      <c r="T126" s="1">
        <f t="shared" si="24"/>
        <v>0</v>
      </c>
      <c r="U126" s="1">
        <f t="shared" si="24"/>
        <v>0</v>
      </c>
      <c r="V126" s="1">
        <f t="shared" si="24"/>
        <v>0</v>
      </c>
      <c r="W126" s="4">
        <f xml:space="preserve"> SUM( O126:V126 )</f>
        <v>0</v>
      </c>
      <c r="X126" s="1"/>
      <c r="Y126" s="1"/>
    </row>
    <row r="127" spans="1:25" customFormat="1" ht="15" customHeight="1">
      <c r="A127" s="1"/>
      <c r="B127" s="1"/>
      <c r="C127" s="2"/>
      <c r="D127" s="99" t="str">
        <f>'2.1 Model setup'!K94</f>
        <v>4.2 Omkostninger vedrørende nettab i ledningsnettet</v>
      </c>
      <c r="E127" s="27"/>
      <c r="F127" s="115"/>
      <c r="G127" s="115"/>
      <c r="H127" s="115"/>
      <c r="I127" s="115"/>
      <c r="J127" s="115"/>
      <c r="K127" s="98" t="str">
        <f>Model.Units</f>
        <v>DKKt</v>
      </c>
      <c r="L127" s="99"/>
      <c r="M127" s="151"/>
      <c r="N127" s="115"/>
      <c r="O127" s="27">
        <f t="shared" si="23"/>
        <v>0</v>
      </c>
      <c r="P127" s="27">
        <f t="shared" si="23"/>
        <v>0</v>
      </c>
      <c r="Q127" s="503"/>
      <c r="R127" s="27">
        <f t="shared" si="24"/>
        <v>0</v>
      </c>
      <c r="S127" s="27">
        <f t="shared" si="24"/>
        <v>0</v>
      </c>
      <c r="T127" s="27">
        <f t="shared" si="24"/>
        <v>0</v>
      </c>
      <c r="U127" s="27">
        <f t="shared" si="24"/>
        <v>0</v>
      </c>
      <c r="V127" s="27">
        <f t="shared" si="24"/>
        <v>0</v>
      </c>
      <c r="W127" s="35">
        <f xml:space="preserve"> SUM( O127:V127 )</f>
        <v>0</v>
      </c>
      <c r="X127" s="1"/>
      <c r="Y127" s="1"/>
    </row>
    <row r="128" spans="1:25" customFormat="1" ht="15" customHeight="1">
      <c r="A128" s="1"/>
      <c r="B128" s="1"/>
      <c r="C128" s="2"/>
      <c r="D128" s="97" t="s">
        <v>16</v>
      </c>
      <c r="E128" s="27"/>
      <c r="F128" s="104"/>
      <c r="G128" s="104"/>
      <c r="H128" s="104"/>
      <c r="I128" s="104"/>
      <c r="J128" s="104"/>
      <c r="K128" s="127" t="str">
        <f xml:space="preserve"> Model.Units</f>
        <v>DKKt</v>
      </c>
      <c r="L128" s="99">
        <f xml:space="preserve"> -- ( ROUND( W128, 5 ) &lt;&gt; ROUND( N20, 5 ))</f>
        <v>0</v>
      </c>
      <c r="M128" s="151"/>
      <c r="N128" s="315"/>
      <c r="O128" s="35">
        <f xml:space="preserve"> SUM( O124:O127 )</f>
        <v>0</v>
      </c>
      <c r="P128" s="35">
        <f xml:space="preserve"> SUM( P124:P127 )</f>
        <v>0</v>
      </c>
      <c r="Q128" s="417"/>
      <c r="R128" s="35">
        <f t="shared" ref="R128:W128" si="25" xml:space="preserve"> SUM( R124:R127 )</f>
        <v>0</v>
      </c>
      <c r="S128" s="35">
        <f t="shared" si="25"/>
        <v>0</v>
      </c>
      <c r="T128" s="35">
        <f t="shared" si="25"/>
        <v>0</v>
      </c>
      <c r="U128" s="35">
        <f t="shared" si="25"/>
        <v>0</v>
      </c>
      <c r="V128" s="35">
        <f t="shared" si="25"/>
        <v>0</v>
      </c>
      <c r="W128" s="35">
        <f t="shared" si="25"/>
        <v>0</v>
      </c>
      <c r="X128" s="111"/>
      <c r="Y128" s="121"/>
    </row>
    <row r="129" spans="1:25" customFormat="1" ht="15" customHeight="1">
      <c r="A129" s="1"/>
      <c r="B129" s="1"/>
      <c r="C129" s="2"/>
      <c r="D129" s="85"/>
      <c r="E129" s="1"/>
      <c r="F129" s="107"/>
      <c r="G129" s="107"/>
      <c r="H129" s="107"/>
      <c r="I129" s="107"/>
      <c r="J129" s="107"/>
      <c r="K129" s="87"/>
      <c r="L129" s="85"/>
      <c r="M129" s="85"/>
      <c r="N129" s="107"/>
      <c r="O129" s="107"/>
      <c r="P129" s="107"/>
      <c r="Q129" s="107"/>
      <c r="R129" s="1"/>
      <c r="S129" s="1"/>
      <c r="T129" s="1"/>
      <c r="U129" s="1"/>
      <c r="V129" s="1"/>
      <c r="W129" s="1"/>
      <c r="X129" s="1"/>
      <c r="Y129" s="1"/>
    </row>
    <row r="130" spans="1:25" customFormat="1" ht="15" customHeight="1">
      <c r="A130" s="1"/>
      <c r="B130" s="1"/>
      <c r="C130" s="2"/>
      <c r="D130" s="85"/>
      <c r="E130" s="1"/>
      <c r="F130" s="107"/>
      <c r="G130" s="107"/>
      <c r="H130" s="107"/>
      <c r="I130" s="107"/>
      <c r="J130" s="107"/>
      <c r="K130" s="87"/>
      <c r="L130" s="85"/>
      <c r="M130" s="85"/>
      <c r="N130" s="107"/>
      <c r="O130" s="107"/>
      <c r="P130" s="107"/>
      <c r="Q130" s="107"/>
      <c r="R130" s="1"/>
      <c r="S130" s="1"/>
      <c r="T130" s="1"/>
      <c r="U130" s="1"/>
      <c r="V130" s="1"/>
      <c r="W130" s="1"/>
      <c r="X130" s="1"/>
      <c r="Y130" s="1"/>
    </row>
    <row r="131" spans="1:25" customFormat="1" ht="15" customHeight="1">
      <c r="A131" s="1"/>
      <c r="B131" s="1"/>
      <c r="C131" s="2"/>
      <c r="D131" s="85"/>
      <c r="E131" s="1"/>
      <c r="F131" s="107"/>
      <c r="G131" s="107"/>
      <c r="H131" s="107"/>
      <c r="I131" s="107"/>
      <c r="J131" s="107"/>
      <c r="K131" s="87"/>
      <c r="L131" s="85"/>
      <c r="M131" s="85"/>
      <c r="N131" s="107"/>
      <c r="O131" s="107"/>
      <c r="P131" s="107"/>
      <c r="Q131" s="107"/>
      <c r="R131" s="1"/>
      <c r="S131" s="1"/>
      <c r="T131" s="1"/>
      <c r="U131" s="1"/>
      <c r="V131" s="1"/>
      <c r="W131" s="1"/>
      <c r="X131" s="1"/>
      <c r="Y131" s="1"/>
    </row>
    <row r="132" spans="1:25" s="475" customFormat="1" ht="15" customHeight="1">
      <c r="B132" s="479" t="str">
        <f xml:space="preserve"> COUNTA(B$10:B131) &amp; ") Fall-back-metoden"</f>
        <v>6) Fall-back-metoden</v>
      </c>
      <c r="C132" s="477"/>
      <c r="D132" s="478"/>
      <c r="K132" s="472"/>
    </row>
    <row r="133" spans="1:25" customFormat="1" ht="15" customHeight="1">
      <c r="A133" s="1"/>
      <c r="B133" s="1"/>
      <c r="C133" s="2"/>
      <c r="D133" s="85"/>
      <c r="E133" s="1"/>
      <c r="F133" s="107"/>
      <c r="G133" s="107"/>
      <c r="H133" s="107"/>
      <c r="I133" s="107"/>
      <c r="J133" s="107"/>
      <c r="K133" s="87"/>
      <c r="L133" s="85"/>
      <c r="M133" s="85"/>
      <c r="N133" s="107"/>
      <c r="O133" s="107"/>
      <c r="P133" s="107"/>
      <c r="Q133" s="107"/>
      <c r="R133" s="1"/>
      <c r="S133" s="1"/>
      <c r="T133" s="1"/>
      <c r="U133" s="1"/>
      <c r="V133" s="1"/>
      <c r="W133" s="1"/>
      <c r="X133" s="1"/>
      <c r="Y133" s="1"/>
    </row>
    <row r="134" spans="1:25" customFormat="1" ht="15" customHeight="1">
      <c r="A134" s="1"/>
      <c r="B134" s="1"/>
      <c r="C134" s="2"/>
      <c r="D134" s="88" t="s">
        <v>639</v>
      </c>
      <c r="E134" s="1"/>
      <c r="F134" s="107"/>
      <c r="G134" s="107"/>
      <c r="H134" s="107"/>
      <c r="I134" s="107"/>
      <c r="J134" s="107"/>
      <c r="K134" s="87"/>
      <c r="L134" s="85"/>
      <c r="M134" s="85"/>
      <c r="N134" s="107"/>
      <c r="O134" s="107"/>
      <c r="P134" s="107"/>
      <c r="Q134" s="107"/>
      <c r="R134" s="1"/>
      <c r="S134" s="1"/>
      <c r="T134" s="1"/>
      <c r="U134" s="1"/>
      <c r="V134" s="1"/>
      <c r="W134" s="89"/>
      <c r="X134" s="1"/>
      <c r="Y134" s="1"/>
    </row>
    <row r="135" spans="1:25" customFormat="1" ht="15" customHeight="1">
      <c r="A135" s="1"/>
      <c r="B135" s="1"/>
      <c r="C135" s="2"/>
      <c r="D135" s="90" t="s">
        <v>130</v>
      </c>
      <c r="E135" s="33"/>
      <c r="F135" s="120"/>
      <c r="G135" s="120"/>
      <c r="H135" s="120"/>
      <c r="I135" s="120"/>
      <c r="J135" s="120"/>
      <c r="K135" s="92" t="s">
        <v>41</v>
      </c>
      <c r="L135" s="90">
        <f xml:space="preserve"> -- ( N135 = 0)</f>
        <v>0</v>
      </c>
      <c r="M135" s="139"/>
      <c r="N135" s="600">
        <f>IF(N27='2.1 Model setup'!K135,1,IF(N27='2.1 Model setup'!K136,0.5,IF(N27='2.1 Model setup'!K137,0.1,0)))</f>
        <v>1</v>
      </c>
      <c r="O135" s="380"/>
      <c r="P135" s="380"/>
      <c r="Q135" s="380"/>
      <c r="R135" s="380"/>
      <c r="S135" s="380"/>
      <c r="T135" s="380"/>
      <c r="U135" s="380"/>
      <c r="V135" s="380"/>
      <c r="W135" s="380"/>
      <c r="X135" s="111"/>
      <c r="Y135" s="121"/>
    </row>
    <row r="136" spans="1:25" customFormat="1" ht="15" customHeight="1">
      <c r="A136" s="1"/>
      <c r="B136" s="1"/>
      <c r="C136" s="2"/>
      <c r="D136" s="85"/>
      <c r="E136" s="1"/>
      <c r="F136" s="107"/>
      <c r="G136" s="107"/>
      <c r="H136" s="107"/>
      <c r="I136" s="107"/>
      <c r="J136" s="107"/>
      <c r="K136" s="87"/>
      <c r="L136" s="85"/>
      <c r="M136" s="85"/>
      <c r="N136" s="107"/>
      <c r="O136" s="524"/>
      <c r="P136" s="524"/>
      <c r="Q136" s="524"/>
      <c r="R136" s="1"/>
      <c r="S136" s="1"/>
      <c r="T136" s="1"/>
      <c r="U136" s="1"/>
      <c r="V136" s="1"/>
      <c r="W136" s="1"/>
      <c r="X136" s="1"/>
      <c r="Y136" s="1"/>
    </row>
    <row r="137" spans="1:25" customFormat="1" ht="15" customHeight="1">
      <c r="A137" s="1"/>
      <c r="B137" s="1"/>
      <c r="C137" s="2"/>
      <c r="D137" s="88" t="s">
        <v>577</v>
      </c>
      <c r="E137" s="1"/>
      <c r="F137" s="107"/>
      <c r="G137" s="107"/>
      <c r="H137" s="107"/>
      <c r="I137" s="107"/>
      <c r="J137" s="107"/>
      <c r="K137" s="87"/>
      <c r="L137" s="85"/>
      <c r="M137" s="85"/>
      <c r="N137" s="107"/>
      <c r="O137" s="524"/>
      <c r="P137" s="524"/>
      <c r="Q137" s="524"/>
      <c r="R137" s="1"/>
      <c r="S137" s="1"/>
      <c r="T137" s="1"/>
      <c r="U137" s="1"/>
      <c r="V137" s="1"/>
      <c r="W137" s="89" t="s">
        <v>16</v>
      </c>
      <c r="X137" s="1"/>
      <c r="Y137" s="1"/>
    </row>
    <row r="138" spans="1:25" customFormat="1" ht="15" customHeight="1">
      <c r="A138" s="1"/>
      <c r="B138" s="1"/>
      <c r="C138" s="2"/>
      <c r="D138" s="123" t="str">
        <f>'2.1 Model setup'!K91</f>
        <v>1.1 Drift og vedligeholdelse af transformerstationer</v>
      </c>
      <c r="E138" s="15"/>
      <c r="F138" s="116"/>
      <c r="G138" s="116"/>
      <c r="H138" s="116"/>
      <c r="I138" s="116"/>
      <c r="J138" s="116"/>
      <c r="K138" s="117" t="str">
        <f>Model.Units2</f>
        <v>kWh</v>
      </c>
      <c r="L138" s="123"/>
      <c r="M138" s="142"/>
      <c r="N138" s="116"/>
      <c r="O138" s="15">
        <f xml:space="preserve"> O$36</f>
        <v>0</v>
      </c>
      <c r="P138" s="15">
        <f t="shared" ref="P138:V141" si="26" xml:space="preserve"> P$36</f>
        <v>0</v>
      </c>
      <c r="Q138" s="502"/>
      <c r="R138" s="15">
        <f t="shared" si="26"/>
        <v>0</v>
      </c>
      <c r="S138" s="15">
        <f t="shared" si="26"/>
        <v>0</v>
      </c>
      <c r="T138" s="15">
        <f t="shared" si="26"/>
        <v>0</v>
      </c>
      <c r="U138" s="15">
        <f t="shared" si="26"/>
        <v>0</v>
      </c>
      <c r="V138" s="15">
        <f t="shared" si="26"/>
        <v>0</v>
      </c>
      <c r="W138" s="15">
        <f xml:space="preserve"> SUM( O138:V138 )</f>
        <v>0</v>
      </c>
      <c r="X138" s="111"/>
      <c r="Y138" s="121"/>
    </row>
    <row r="139" spans="1:25" customFormat="1" ht="15" customHeight="1">
      <c r="A139" s="1"/>
      <c r="B139" s="1"/>
      <c r="C139" s="2"/>
      <c r="D139" s="85" t="str">
        <f>'2.1 Model setup'!K92</f>
        <v>1.2 Drift og vedligeholdelse af ledningsnet</v>
      </c>
      <c r="E139" s="1"/>
      <c r="F139" s="107"/>
      <c r="G139" s="107"/>
      <c r="H139" s="107"/>
      <c r="I139" s="107"/>
      <c r="J139" s="107"/>
      <c r="K139" s="87" t="str">
        <f>Model.Units2</f>
        <v>kWh</v>
      </c>
      <c r="L139" s="85"/>
      <c r="M139" s="119"/>
      <c r="N139" s="107"/>
      <c r="O139" s="1">
        <f t="shared" ref="O139:O141" si="27" xml:space="preserve"> O$36</f>
        <v>0</v>
      </c>
      <c r="P139" s="1">
        <f t="shared" si="26"/>
        <v>0</v>
      </c>
      <c r="Q139" s="501"/>
      <c r="R139" s="1">
        <f t="shared" si="26"/>
        <v>0</v>
      </c>
      <c r="S139" s="1">
        <f t="shared" si="26"/>
        <v>0</v>
      </c>
      <c r="T139" s="1">
        <f t="shared" si="26"/>
        <v>0</v>
      </c>
      <c r="U139" s="1">
        <f t="shared" si="26"/>
        <v>0</v>
      </c>
      <c r="V139" s="1">
        <f t="shared" si="26"/>
        <v>0</v>
      </c>
      <c r="W139" s="1">
        <f xml:space="preserve"> SUM( O139:V139 )</f>
        <v>0</v>
      </c>
      <c r="X139" s="111"/>
      <c r="Y139" s="121"/>
    </row>
    <row r="140" spans="1:25" customFormat="1" ht="15" customHeight="1">
      <c r="A140" s="1"/>
      <c r="B140" s="1"/>
      <c r="C140" s="2"/>
      <c r="D140" s="85" t="str">
        <f>'2.1 Model setup'!K93</f>
        <v>4.1 Omkostninger vedrørende nettab i transformerstationer</v>
      </c>
      <c r="E140" s="1"/>
      <c r="F140" s="107"/>
      <c r="G140" s="107"/>
      <c r="H140" s="107"/>
      <c r="I140" s="107"/>
      <c r="J140" s="107"/>
      <c r="K140" s="87" t="str">
        <f>Model.Units2</f>
        <v>kWh</v>
      </c>
      <c r="L140" s="85"/>
      <c r="M140" s="119"/>
      <c r="N140" s="107"/>
      <c r="O140" s="1">
        <f t="shared" si="27"/>
        <v>0</v>
      </c>
      <c r="P140" s="1">
        <f t="shared" si="26"/>
        <v>0</v>
      </c>
      <c r="Q140" s="501"/>
      <c r="R140" s="1">
        <f t="shared" si="26"/>
        <v>0</v>
      </c>
      <c r="S140" s="1">
        <f t="shared" si="26"/>
        <v>0</v>
      </c>
      <c r="T140" s="1">
        <f t="shared" si="26"/>
        <v>0</v>
      </c>
      <c r="U140" s="1">
        <f t="shared" si="26"/>
        <v>0</v>
      </c>
      <c r="V140" s="1">
        <f t="shared" si="26"/>
        <v>0</v>
      </c>
      <c r="W140" s="1">
        <f xml:space="preserve"> SUM( O140:V140 )</f>
        <v>0</v>
      </c>
      <c r="X140" s="111"/>
      <c r="Y140" s="121"/>
    </row>
    <row r="141" spans="1:25" customFormat="1" ht="15" customHeight="1">
      <c r="A141" s="1"/>
      <c r="B141" s="1"/>
      <c r="C141" s="2"/>
      <c r="D141" s="99" t="str">
        <f>'2.1 Model setup'!K94</f>
        <v>4.2 Omkostninger vedrørende nettab i ledningsnettet</v>
      </c>
      <c r="E141" s="27"/>
      <c r="F141" s="115"/>
      <c r="G141" s="115"/>
      <c r="H141" s="115"/>
      <c r="I141" s="115"/>
      <c r="J141" s="115"/>
      <c r="K141" s="98" t="str">
        <f>Model.Units2</f>
        <v>kWh</v>
      </c>
      <c r="L141" s="99"/>
      <c r="M141" s="151"/>
      <c r="N141" s="115"/>
      <c r="O141" s="27">
        <f t="shared" si="27"/>
        <v>0</v>
      </c>
      <c r="P141" s="27">
        <f t="shared" si="26"/>
        <v>0</v>
      </c>
      <c r="Q141" s="503"/>
      <c r="R141" s="27">
        <f t="shared" si="26"/>
        <v>0</v>
      </c>
      <c r="S141" s="27">
        <f t="shared" si="26"/>
        <v>0</v>
      </c>
      <c r="T141" s="27">
        <f t="shared" si="26"/>
        <v>0</v>
      </c>
      <c r="U141" s="27">
        <f t="shared" si="26"/>
        <v>0</v>
      </c>
      <c r="V141" s="27">
        <f t="shared" si="26"/>
        <v>0</v>
      </c>
      <c r="W141" s="27">
        <f xml:space="preserve"> SUM( O141:V141 )</f>
        <v>0</v>
      </c>
      <c r="X141" s="111"/>
      <c r="Y141" s="121"/>
    </row>
    <row r="142" spans="1:25" customFormat="1" ht="15" customHeight="1">
      <c r="A142" s="1"/>
      <c r="B142" s="1"/>
      <c r="C142" s="2"/>
      <c r="D142" s="85"/>
      <c r="E142" s="1"/>
      <c r="F142" s="107"/>
      <c r="G142" s="107"/>
      <c r="H142" s="107"/>
      <c r="I142" s="107"/>
      <c r="J142" s="107"/>
      <c r="K142" s="87"/>
      <c r="L142" s="85"/>
      <c r="M142" s="85"/>
      <c r="N142" s="107"/>
      <c r="O142" s="524"/>
      <c r="P142" s="524"/>
      <c r="Q142" s="524"/>
      <c r="R142" s="1"/>
      <c r="S142" s="1"/>
      <c r="T142" s="1"/>
      <c r="U142" s="1"/>
      <c r="V142" s="1"/>
      <c r="W142" s="1"/>
      <c r="X142" s="1"/>
      <c r="Y142" s="1"/>
    </row>
    <row r="143" spans="1:25" customFormat="1" ht="15" customHeight="1">
      <c r="A143" s="1"/>
      <c r="B143" s="1"/>
      <c r="C143" s="2"/>
      <c r="D143" s="88" t="s">
        <v>578</v>
      </c>
      <c r="E143" s="1"/>
      <c r="F143" s="107"/>
      <c r="G143" s="107"/>
      <c r="H143" s="107"/>
      <c r="I143" s="107"/>
      <c r="J143" s="107"/>
      <c r="K143" s="87"/>
      <c r="L143" s="85"/>
      <c r="M143" s="85"/>
      <c r="N143" s="107"/>
      <c r="O143" s="524"/>
      <c r="P143" s="524"/>
      <c r="Q143" s="524"/>
      <c r="R143" s="1"/>
      <c r="S143" s="1"/>
      <c r="T143" s="1"/>
      <c r="U143" s="1"/>
      <c r="V143" s="1"/>
      <c r="W143" s="89" t="s">
        <v>16</v>
      </c>
      <c r="X143" s="1"/>
      <c r="Y143" s="1"/>
    </row>
    <row r="144" spans="1:25" customFormat="1" ht="15" customHeight="1">
      <c r="A144" s="1"/>
      <c r="B144" s="1"/>
      <c r="C144" s="2"/>
      <c r="D144" s="123" t="str">
        <f>'2.1 Model setup'!K91</f>
        <v>1.1 Drift og vedligeholdelse af transformerstationer</v>
      </c>
      <c r="E144" s="15"/>
      <c r="F144" s="116"/>
      <c r="G144" s="116"/>
      <c r="H144" s="116"/>
      <c r="I144" s="116"/>
      <c r="J144" s="116"/>
      <c r="K144" s="117" t="str">
        <f>Model.Units2</f>
        <v>kWh</v>
      </c>
      <c r="L144" s="123"/>
      <c r="M144" s="142"/>
      <c r="N144" s="116"/>
      <c r="O144" s="15">
        <f t="shared" ref="O144:P147" si="28" xml:space="preserve"> $N$135 * O138</f>
        <v>0</v>
      </c>
      <c r="P144" s="15">
        <f t="shared" si="28"/>
        <v>0</v>
      </c>
      <c r="Q144" s="502"/>
      <c r="R144" s="15">
        <f t="shared" ref="R144:V147" si="29" xml:space="preserve"> $N$135 * R138</f>
        <v>0</v>
      </c>
      <c r="S144" s="15">
        <f t="shared" si="29"/>
        <v>0</v>
      </c>
      <c r="T144" s="15">
        <f t="shared" si="29"/>
        <v>0</v>
      </c>
      <c r="U144" s="15">
        <f t="shared" si="29"/>
        <v>0</v>
      </c>
      <c r="V144" s="15">
        <f t="shared" si="29"/>
        <v>0</v>
      </c>
      <c r="W144" s="15">
        <f xml:space="preserve"> SUM( O144:V144 )</f>
        <v>0</v>
      </c>
      <c r="X144" s="111"/>
      <c r="Y144" s="121"/>
    </row>
    <row r="145" spans="1:25" customFormat="1" ht="15" customHeight="1">
      <c r="A145" s="1"/>
      <c r="B145" s="1"/>
      <c r="C145" s="2"/>
      <c r="D145" s="85" t="str">
        <f>'2.1 Model setup'!K92</f>
        <v>1.2 Drift og vedligeholdelse af ledningsnet</v>
      </c>
      <c r="E145" s="1"/>
      <c r="F145" s="107"/>
      <c r="G145" s="107"/>
      <c r="H145" s="107"/>
      <c r="I145" s="107"/>
      <c r="J145" s="107"/>
      <c r="K145" s="87" t="str">
        <f>Model.Units2</f>
        <v>kWh</v>
      </c>
      <c r="L145" s="85"/>
      <c r="M145" s="119"/>
      <c r="N145" s="107"/>
      <c r="O145" s="1">
        <f t="shared" si="28"/>
        <v>0</v>
      </c>
      <c r="P145" s="1">
        <f t="shared" si="28"/>
        <v>0</v>
      </c>
      <c r="Q145" s="501"/>
      <c r="R145" s="1">
        <f t="shared" si="29"/>
        <v>0</v>
      </c>
      <c r="S145" s="1">
        <f t="shared" si="29"/>
        <v>0</v>
      </c>
      <c r="T145" s="1">
        <f t="shared" si="29"/>
        <v>0</v>
      </c>
      <c r="U145" s="1">
        <f t="shared" si="29"/>
        <v>0</v>
      </c>
      <c r="V145" s="1">
        <f t="shared" si="29"/>
        <v>0</v>
      </c>
      <c r="W145" s="1">
        <f xml:space="preserve"> SUM( O145:V145 )</f>
        <v>0</v>
      </c>
      <c r="X145" s="111"/>
      <c r="Y145" s="121"/>
    </row>
    <row r="146" spans="1:25" customFormat="1" ht="15" customHeight="1">
      <c r="A146" s="1"/>
      <c r="B146" s="1"/>
      <c r="C146" s="2"/>
      <c r="D146" s="85" t="str">
        <f>'2.1 Model setup'!K93</f>
        <v>4.1 Omkostninger vedrørende nettab i transformerstationer</v>
      </c>
      <c r="E146" s="1"/>
      <c r="F146" s="107"/>
      <c r="G146" s="107"/>
      <c r="H146" s="107"/>
      <c r="I146" s="107"/>
      <c r="J146" s="107"/>
      <c r="K146" s="87" t="str">
        <f>Model.Units2</f>
        <v>kWh</v>
      </c>
      <c r="L146" s="85"/>
      <c r="M146" s="119"/>
      <c r="N146" s="107"/>
      <c r="O146" s="1">
        <f t="shared" si="28"/>
        <v>0</v>
      </c>
      <c r="P146" s="231">
        <f t="shared" si="28"/>
        <v>0</v>
      </c>
      <c r="Q146" s="501"/>
      <c r="R146" s="231">
        <f t="shared" si="29"/>
        <v>0</v>
      </c>
      <c r="S146" s="231">
        <f t="shared" si="29"/>
        <v>0</v>
      </c>
      <c r="T146" s="231">
        <f t="shared" si="29"/>
        <v>0</v>
      </c>
      <c r="U146" s="231">
        <f t="shared" si="29"/>
        <v>0</v>
      </c>
      <c r="V146" s="231">
        <f t="shared" si="29"/>
        <v>0</v>
      </c>
      <c r="W146" s="1">
        <f xml:space="preserve"> SUM( O146:V146 )</f>
        <v>0</v>
      </c>
      <c r="X146" s="111"/>
      <c r="Y146" s="121"/>
    </row>
    <row r="147" spans="1:25" customFormat="1" ht="15" customHeight="1">
      <c r="A147" s="1"/>
      <c r="B147" s="1"/>
      <c r="C147" s="2"/>
      <c r="D147" s="99" t="str">
        <f>'2.1 Model setup'!K94</f>
        <v>4.2 Omkostninger vedrørende nettab i ledningsnettet</v>
      </c>
      <c r="E147" s="27"/>
      <c r="F147" s="115"/>
      <c r="G147" s="115"/>
      <c r="H147" s="115"/>
      <c r="I147" s="115"/>
      <c r="J147" s="115"/>
      <c r="K147" s="98" t="str">
        <f>Model.Units2</f>
        <v>kWh</v>
      </c>
      <c r="L147" s="99"/>
      <c r="M147" s="151"/>
      <c r="N147" s="115"/>
      <c r="O147" s="27">
        <f t="shared" si="28"/>
        <v>0</v>
      </c>
      <c r="P147" s="27">
        <f t="shared" si="28"/>
        <v>0</v>
      </c>
      <c r="Q147" s="503"/>
      <c r="R147" s="27">
        <f t="shared" si="29"/>
        <v>0</v>
      </c>
      <c r="S147" s="27">
        <f t="shared" si="29"/>
        <v>0</v>
      </c>
      <c r="T147" s="27">
        <f t="shared" si="29"/>
        <v>0</v>
      </c>
      <c r="U147" s="27">
        <f t="shared" si="29"/>
        <v>0</v>
      </c>
      <c r="V147" s="27">
        <f t="shared" si="29"/>
        <v>0</v>
      </c>
      <c r="W147" s="27">
        <f xml:space="preserve"> SUM( O147:V147 )</f>
        <v>0</v>
      </c>
      <c r="X147" s="111"/>
      <c r="Y147" s="121"/>
    </row>
    <row r="148" spans="1:25" customFormat="1" ht="15" customHeight="1">
      <c r="A148" s="1"/>
      <c r="B148" s="1"/>
      <c r="C148" s="2"/>
      <c r="D148" s="85"/>
      <c r="E148" s="1"/>
      <c r="F148" s="107"/>
      <c r="G148" s="107"/>
      <c r="H148" s="107"/>
      <c r="I148" s="107"/>
      <c r="J148" s="107"/>
      <c r="K148" s="87"/>
      <c r="L148" s="85"/>
      <c r="M148" s="85"/>
      <c r="N148" s="107"/>
      <c r="O148" s="107"/>
      <c r="P148" s="107"/>
      <c r="Q148" s="107"/>
      <c r="R148" s="1"/>
      <c r="S148" s="1"/>
      <c r="T148" s="1"/>
      <c r="U148" s="1"/>
      <c r="V148" s="1"/>
      <c r="W148" s="1"/>
      <c r="X148" s="1"/>
      <c r="Y148" s="1"/>
    </row>
    <row r="149" spans="1:25" customFormat="1" ht="15" customHeight="1">
      <c r="A149" s="1"/>
      <c r="B149" s="1"/>
      <c r="C149" s="2"/>
      <c r="D149" s="88" t="s">
        <v>656</v>
      </c>
      <c r="E149" s="1"/>
      <c r="F149" s="107"/>
      <c r="G149" s="107"/>
      <c r="H149" s="107"/>
      <c r="I149" s="107"/>
      <c r="J149" s="107"/>
      <c r="K149" s="87"/>
      <c r="L149" s="85"/>
      <c r="M149" s="85"/>
      <c r="N149" s="107"/>
      <c r="O149" s="107"/>
      <c r="P149" s="107"/>
      <c r="Q149" s="107"/>
      <c r="R149" s="1"/>
      <c r="S149" s="1"/>
      <c r="T149" s="1"/>
      <c r="U149" s="1"/>
      <c r="V149" s="1"/>
      <c r="W149" s="89" t="s">
        <v>16</v>
      </c>
      <c r="X149" s="1"/>
      <c r="Y149" s="1"/>
    </row>
    <row r="150" spans="1:25" customFormat="1" ht="15" customHeight="1">
      <c r="A150" s="1"/>
      <c r="B150" s="1"/>
      <c r="C150" s="2"/>
      <c r="D150" s="123" t="str">
        <f>'2.1 Model setup'!K91</f>
        <v>1.1 Drift og vedligeholdelse af transformerstationer</v>
      </c>
      <c r="E150" s="15"/>
      <c r="F150" s="116"/>
      <c r="G150" s="116"/>
      <c r="H150" s="116"/>
      <c r="I150" s="116"/>
      <c r="J150" s="116"/>
      <c r="K150" s="117" t="str">
        <f>Model.Units2</f>
        <v>kWh</v>
      </c>
      <c r="L150" s="123"/>
      <c r="M150" s="142"/>
      <c r="N150" s="116"/>
      <c r="O150" s="15">
        <f t="shared" ref="O150:P153" si="30" xml:space="preserve"> O$34 + O$35 * $N44 + O144</f>
        <v>0</v>
      </c>
      <c r="P150" s="15">
        <f t="shared" si="30"/>
        <v>0</v>
      </c>
      <c r="Q150" s="502"/>
      <c r="R150" s="15">
        <f t="shared" ref="R150:V153" si="31" xml:space="preserve"> R$34 + R$35 * $N44 + R144</f>
        <v>0</v>
      </c>
      <c r="S150" s="15">
        <f t="shared" si="31"/>
        <v>0</v>
      </c>
      <c r="T150" s="15">
        <f t="shared" si="31"/>
        <v>0</v>
      </c>
      <c r="U150" s="15">
        <f t="shared" si="31"/>
        <v>0</v>
      </c>
      <c r="V150" s="15">
        <f t="shared" si="31"/>
        <v>0</v>
      </c>
      <c r="W150" s="18">
        <f xml:space="preserve"> SUM( O150:V150 )</f>
        <v>0</v>
      </c>
      <c r="X150" s="111"/>
      <c r="Y150" s="121"/>
    </row>
    <row r="151" spans="1:25" customFormat="1" ht="15" customHeight="1">
      <c r="A151" s="1"/>
      <c r="B151" s="1"/>
      <c r="C151" s="2"/>
      <c r="D151" s="85" t="str">
        <f>'2.1 Model setup'!K92</f>
        <v>1.2 Drift og vedligeholdelse af ledningsnet</v>
      </c>
      <c r="E151" s="1"/>
      <c r="F151" s="107"/>
      <c r="G151" s="107"/>
      <c r="H151" s="107"/>
      <c r="I151" s="107"/>
      <c r="J151" s="107"/>
      <c r="K151" s="87" t="str">
        <f>Model.Units2</f>
        <v>kWh</v>
      </c>
      <c r="L151" s="85"/>
      <c r="M151" s="119"/>
      <c r="N151" s="107"/>
      <c r="O151" s="1">
        <f t="shared" si="30"/>
        <v>0</v>
      </c>
      <c r="P151" s="1">
        <f t="shared" si="30"/>
        <v>0</v>
      </c>
      <c r="Q151" s="501"/>
      <c r="R151" s="1">
        <f t="shared" si="31"/>
        <v>0</v>
      </c>
      <c r="S151" s="1">
        <f t="shared" si="31"/>
        <v>0</v>
      </c>
      <c r="T151" s="1">
        <f t="shared" si="31"/>
        <v>0</v>
      </c>
      <c r="U151" s="1">
        <f t="shared" si="31"/>
        <v>0</v>
      </c>
      <c r="V151" s="1">
        <f t="shared" si="31"/>
        <v>0</v>
      </c>
      <c r="W151" s="4">
        <f xml:space="preserve"> SUM( O151:V151 )</f>
        <v>0</v>
      </c>
      <c r="X151" s="111"/>
      <c r="Y151" s="121"/>
    </row>
    <row r="152" spans="1:25" customFormat="1" ht="15" customHeight="1">
      <c r="A152" s="1"/>
      <c r="B152" s="1"/>
      <c r="C152" s="2"/>
      <c r="D152" s="85" t="str">
        <f>'2.1 Model setup'!K93</f>
        <v>4.1 Omkostninger vedrørende nettab i transformerstationer</v>
      </c>
      <c r="E152" s="1"/>
      <c r="F152" s="107"/>
      <c r="G152" s="107"/>
      <c r="H152" s="107"/>
      <c r="I152" s="107"/>
      <c r="J152" s="107"/>
      <c r="K152" s="87" t="str">
        <f>Model.Units2</f>
        <v>kWh</v>
      </c>
      <c r="L152" s="85"/>
      <c r="M152" s="119"/>
      <c r="N152" s="107"/>
      <c r="O152" s="1">
        <f t="shared" si="30"/>
        <v>0</v>
      </c>
      <c r="P152" s="231">
        <f t="shared" si="30"/>
        <v>0</v>
      </c>
      <c r="Q152" s="501"/>
      <c r="R152" s="231">
        <f t="shared" si="31"/>
        <v>0</v>
      </c>
      <c r="S152" s="231">
        <f t="shared" si="31"/>
        <v>0</v>
      </c>
      <c r="T152" s="231">
        <f t="shared" si="31"/>
        <v>0</v>
      </c>
      <c r="U152" s="231">
        <f t="shared" si="31"/>
        <v>0</v>
      </c>
      <c r="V152" s="231">
        <f t="shared" si="31"/>
        <v>0</v>
      </c>
      <c r="W152" s="4">
        <f xml:space="preserve"> SUM( O152:V152 )</f>
        <v>0</v>
      </c>
      <c r="X152" s="111"/>
      <c r="Y152" s="121"/>
    </row>
    <row r="153" spans="1:25" customFormat="1" ht="15" customHeight="1">
      <c r="A153" s="1"/>
      <c r="B153" s="1"/>
      <c r="C153" s="2"/>
      <c r="D153" s="99" t="str">
        <f>'2.1 Model setup'!K94</f>
        <v>4.2 Omkostninger vedrørende nettab i ledningsnettet</v>
      </c>
      <c r="E153" s="27"/>
      <c r="F153" s="115"/>
      <c r="G153" s="115"/>
      <c r="H153" s="115"/>
      <c r="I153" s="115"/>
      <c r="J153" s="115"/>
      <c r="K153" s="98" t="str">
        <f>Model.Units2</f>
        <v>kWh</v>
      </c>
      <c r="L153" s="99"/>
      <c r="M153" s="151"/>
      <c r="N153" s="115"/>
      <c r="O153" s="27">
        <f t="shared" si="30"/>
        <v>0</v>
      </c>
      <c r="P153" s="27">
        <f t="shared" si="30"/>
        <v>0</v>
      </c>
      <c r="Q153" s="503"/>
      <c r="R153" s="27">
        <f t="shared" si="31"/>
        <v>0</v>
      </c>
      <c r="S153" s="27">
        <f t="shared" si="31"/>
        <v>0</v>
      </c>
      <c r="T153" s="27">
        <f t="shared" si="31"/>
        <v>0</v>
      </c>
      <c r="U153" s="27">
        <f t="shared" si="31"/>
        <v>0</v>
      </c>
      <c r="V153" s="27">
        <f t="shared" si="31"/>
        <v>0</v>
      </c>
      <c r="W153" s="35">
        <f xml:space="preserve"> SUM( O153:V153 )</f>
        <v>0</v>
      </c>
      <c r="X153" s="111"/>
      <c r="Y153" s="121"/>
    </row>
    <row r="154" spans="1:25" customFormat="1" ht="15" customHeight="1">
      <c r="A154" s="1"/>
      <c r="B154" s="1"/>
      <c r="C154" s="2"/>
      <c r="D154" s="85"/>
      <c r="E154" s="1"/>
      <c r="F154" s="107"/>
      <c r="G154" s="107"/>
      <c r="H154" s="107"/>
      <c r="I154" s="107"/>
      <c r="J154" s="107"/>
      <c r="K154" s="87"/>
      <c r="L154" s="85"/>
      <c r="M154" s="85"/>
      <c r="N154" s="107"/>
      <c r="O154" s="107"/>
      <c r="P154" s="107"/>
      <c r="Q154" s="107"/>
      <c r="R154" s="1"/>
      <c r="S154" s="1"/>
      <c r="T154" s="1"/>
      <c r="U154" s="1"/>
      <c r="V154" s="1"/>
      <c r="W154" s="1"/>
      <c r="X154" s="1"/>
      <c r="Y154" s="1"/>
    </row>
    <row r="155" spans="1:25" customFormat="1" ht="15" customHeight="1">
      <c r="A155" s="1"/>
      <c r="B155" s="1"/>
      <c r="C155" s="2"/>
      <c r="D155" s="88" t="s">
        <v>580</v>
      </c>
      <c r="E155" s="1"/>
      <c r="F155" s="107"/>
      <c r="G155" s="107"/>
      <c r="H155" s="107"/>
      <c r="I155" s="107"/>
      <c r="J155" s="107"/>
      <c r="K155" s="87"/>
      <c r="L155" s="85"/>
      <c r="M155" s="85"/>
      <c r="N155" s="107"/>
      <c r="O155" s="107"/>
      <c r="P155" s="107"/>
      <c r="Q155" s="107"/>
      <c r="R155" s="1"/>
      <c r="S155" s="1"/>
      <c r="T155" s="1"/>
      <c r="U155" s="1"/>
      <c r="V155" s="1"/>
      <c r="W155" s="1"/>
      <c r="X155" s="1"/>
      <c r="Y155" s="1"/>
    </row>
    <row r="156" spans="1:25" customFormat="1" ht="15" customHeight="1">
      <c r="A156" s="1"/>
      <c r="B156" s="1"/>
      <c r="C156" s="2"/>
      <c r="D156" s="123" t="str">
        <f>'2.1 Model setup'!K91</f>
        <v>1.1 Drift og vedligeholdelse af transformerstationer</v>
      </c>
      <c r="E156" s="15"/>
      <c r="F156" s="116"/>
      <c r="G156" s="116"/>
      <c r="H156" s="116"/>
      <c r="I156" s="116"/>
      <c r="J156" s="116"/>
      <c r="K156" s="117" t="s">
        <v>4</v>
      </c>
      <c r="L156" s="123"/>
      <c r="M156" s="142"/>
      <c r="N156" s="116"/>
      <c r="O156" s="648">
        <f xml:space="preserve"> IF( SUM(O$36:$V$36) &lt;&gt; 0, IF( ( SUM(O$34:$V$34) + SUM(O$35:$V$35) ) &lt;&gt; 0, SUM(O144:$V144) / SUM(O150:$V150), 1 ), 0 )</f>
        <v>0</v>
      </c>
      <c r="P156" s="650">
        <f xml:space="preserve"> IF( SUM(P$36:$V$36) &lt;&gt; 0, IF( ( SUM(P$34:$V$34) + SUM(P$35:$V$35) ) &lt;&gt; 0, SUM(P144:$V144) / SUM(P150:$V150), 1 ), 0 )</f>
        <v>0</v>
      </c>
      <c r="Q156" s="502"/>
      <c r="R156" s="650">
        <f xml:space="preserve"> IF( SUM(R$36:$V$36) &lt;&gt; 0, IF( ( SUM(R$34:$V$34) + SUM(R$35:$V$35) ) &lt;&gt; 0, SUM(R144:$V144) / SUM(R150:$V150), 1 ), 0 )</f>
        <v>0</v>
      </c>
      <c r="S156" s="650">
        <f xml:space="preserve"> IF( SUM(S$36:$V$36) &lt;&gt; 0, IF( ( SUM(S$34:$V$34) + SUM(S$35:$V$35) ) &lt;&gt; 0, SUM(S144:$V144) / SUM(S150:$V150), 1 ), 0 )</f>
        <v>0</v>
      </c>
      <c r="T156" s="650">
        <f xml:space="preserve"> IF( SUM(T$36:$V$36) &lt;&gt; 0, IF( ( SUM(T$34:$V$34) + SUM(T$35:$V$35) ) &lt;&gt; 0, SUM(T144:$V144) / SUM(T150:$V150), 1 ), 0 )</f>
        <v>0</v>
      </c>
      <c r="U156" s="502"/>
      <c r="V156" s="502"/>
      <c r="W156" s="502"/>
      <c r="X156" s="111"/>
      <c r="Y156" s="121"/>
    </row>
    <row r="157" spans="1:25" customFormat="1" ht="15" customHeight="1">
      <c r="A157" s="1"/>
      <c r="B157" s="1"/>
      <c r="C157" s="2"/>
      <c r="D157" s="85" t="str">
        <f>'2.1 Model setup'!K92</f>
        <v>1.2 Drift og vedligeholdelse af ledningsnet</v>
      </c>
      <c r="E157" s="1"/>
      <c r="F157" s="107"/>
      <c r="G157" s="107"/>
      <c r="H157" s="107"/>
      <c r="I157" s="107"/>
      <c r="J157" s="107"/>
      <c r="K157" s="87" t="s">
        <v>4</v>
      </c>
      <c r="L157" s="85"/>
      <c r="M157" s="119"/>
      <c r="N157" s="107"/>
      <c r="O157" s="647">
        <f xml:space="preserve"> IF( SUM(O$36:$V$36) &lt;&gt; 0, IF( ( SUM(O$34:$V$34) + SUM(O$35:$V$35) ) &lt;&gt; 0, SUM(O145:$V145) / SUM(O151:$V151), 1 ), 0 )</f>
        <v>0</v>
      </c>
      <c r="P157" s="651">
        <f xml:space="preserve"> IF( SUM(P$36:$V$36) &lt;&gt; 0, IF( ( SUM(P$34:$V$34) + SUM(P$35:$V$35) ) &lt;&gt; 0, SUM(P145:$V145) / SUM(P151:$V151), 1 ), 0 )</f>
        <v>0</v>
      </c>
      <c r="Q157" s="501"/>
      <c r="R157" s="651">
        <f xml:space="preserve"> IF( SUM(R$36:$V$36) &lt;&gt; 0, IF( ( SUM(R$34:$V$34) + SUM(R$35:$V$35) ) &lt;&gt; 0, SUM(R145:$V145) / SUM(R151:$V151), 1 ), 0 )</f>
        <v>0</v>
      </c>
      <c r="S157" s="651">
        <f xml:space="preserve"> IF( SUM(S$36:$V$36) &lt;&gt; 0, IF( ( SUM(S$34:$V$34) + SUM(S$35:$V$35) ) &lt;&gt; 0, SUM(S145:$V145) / SUM(S151:$V151), 1 ), 0 )</f>
        <v>0</v>
      </c>
      <c r="T157" s="651">
        <f xml:space="preserve"> IF( SUM(T$36:$V$36) &lt;&gt; 0, IF( ( SUM(T$34:$V$34) + SUM(T$35:$V$35) ) &lt;&gt; 0, SUM(T145:$V145) / SUM(T151:$V151), 1 ), 0 )</f>
        <v>0</v>
      </c>
      <c r="U157" s="501"/>
      <c r="V157" s="501"/>
      <c r="W157" s="501"/>
      <c r="X157" s="111"/>
      <c r="Y157" s="121"/>
    </row>
    <row r="158" spans="1:25" customFormat="1" ht="15" customHeight="1">
      <c r="A158" s="1"/>
      <c r="B158" s="1"/>
      <c r="C158" s="2"/>
      <c r="D158" s="85" t="str">
        <f>'2.1 Model setup'!K93</f>
        <v>4.1 Omkostninger vedrørende nettab i transformerstationer</v>
      </c>
      <c r="E158" s="1"/>
      <c r="F158" s="107"/>
      <c r="G158" s="107"/>
      <c r="H158" s="107"/>
      <c r="I158" s="107"/>
      <c r="J158" s="107"/>
      <c r="K158" s="87" t="s">
        <v>4</v>
      </c>
      <c r="L158" s="85"/>
      <c r="M158" s="119"/>
      <c r="N158" s="107"/>
      <c r="O158" s="647">
        <f xml:space="preserve"> IF( SUM(O$36:$V$36) &lt;&gt; 0, IF( ( SUM(O$34:$V$34) + SUM(O$35:$V$35) ) &lt;&gt; 0, SUM(O146:$V146) / SUM(O152:$V152), 1 ), 0 )</f>
        <v>0</v>
      </c>
      <c r="P158" s="651">
        <f xml:space="preserve"> IF( SUM(P$36:$V$36) &lt;&gt; 0, IF( ( SUM(P$34:$V$34) + SUM(P$35:$V$35) ) &lt;&gt; 0, SUM(P146:$V146) / SUM(P152:$V152), 1 ), 0 )</f>
        <v>0</v>
      </c>
      <c r="Q158" s="501"/>
      <c r="R158" s="651">
        <f xml:space="preserve"> IF( SUM(R$36:$V$36) &lt;&gt; 0, IF( ( SUM(R$34:$V$34) + SUM(R$35:$V$35) ) &lt;&gt; 0, SUM(R146:$V146) / SUM(R152:$V152), 1 ), 0 )</f>
        <v>0</v>
      </c>
      <c r="S158" s="651">
        <f xml:space="preserve"> IF( SUM(S$36:$V$36) &lt;&gt; 0, IF( ( SUM(S$34:$V$34) + SUM(S$35:$V$35) ) &lt;&gt; 0, SUM(S146:$V146) / SUM(S152:$V152), 1 ), 0 )</f>
        <v>0</v>
      </c>
      <c r="T158" s="651">
        <f xml:space="preserve"> IF( SUM(T$36:$V$36) &lt;&gt; 0, IF( ( SUM(T$34:$V$34) + SUM(T$35:$V$35) ) &lt;&gt; 0, SUM(T146:$V146) / SUM(T152:$V152), 1 ), 0 )</f>
        <v>0</v>
      </c>
      <c r="U158" s="501"/>
      <c r="V158" s="501"/>
      <c r="W158" s="501"/>
      <c r="X158" s="111"/>
      <c r="Y158" s="121"/>
    </row>
    <row r="159" spans="1:25" customFormat="1" ht="15" customHeight="1">
      <c r="A159" s="1"/>
      <c r="B159" s="1"/>
      <c r="C159" s="2"/>
      <c r="D159" s="99" t="str">
        <f>'2.1 Model setup'!K94</f>
        <v>4.2 Omkostninger vedrørende nettab i ledningsnettet</v>
      </c>
      <c r="E159" s="27"/>
      <c r="F159" s="115"/>
      <c r="G159" s="115"/>
      <c r="H159" s="115"/>
      <c r="I159" s="115"/>
      <c r="J159" s="115"/>
      <c r="K159" s="98" t="s">
        <v>4</v>
      </c>
      <c r="L159" s="99"/>
      <c r="M159" s="151"/>
      <c r="N159" s="115"/>
      <c r="O159" s="649">
        <f xml:space="preserve"> IF( SUM(O$36:$V$36) &lt;&gt; 0, IF( ( SUM(O$34:$V$34) + SUM(O$35:$V$35) ) &lt;&gt; 0, SUM(O147:$V147) / SUM(O153:$V153), 1 ), 0 )</f>
        <v>0</v>
      </c>
      <c r="P159" s="652">
        <f xml:space="preserve"> IF( SUM(P$36:$V$36) &lt;&gt; 0, IF( ( SUM(P$34:$V$34) + SUM(P$35:$V$35) ) &lt;&gt; 0, SUM(P147:$V147) / SUM(P153:$V153), 1 ), 0 )</f>
        <v>0</v>
      </c>
      <c r="Q159" s="503"/>
      <c r="R159" s="652">
        <f xml:space="preserve"> IF( SUM(R$36:$V$36) &lt;&gt; 0, IF( ( SUM(R$34:$V$34) + SUM(R$35:$V$35) ) &lt;&gt; 0, SUM(R147:$V147) / SUM(R153:$V153), 1 ), 0 )</f>
        <v>0</v>
      </c>
      <c r="S159" s="652">
        <f xml:space="preserve"> IF( SUM(S$36:$V$36) &lt;&gt; 0, IF( ( SUM(S$34:$V$34) + SUM(S$35:$V$35) ) &lt;&gt; 0, SUM(S147:$V147) / SUM(S153:$V153), 1 ), 0 )</f>
        <v>0</v>
      </c>
      <c r="T159" s="652">
        <f xml:space="preserve"> IF( SUM(T$36:$V$36) &lt;&gt; 0, IF( ( SUM(T$34:$V$34) + SUM(T$35:$V$35) ) &lt;&gt; 0, SUM(T147:$V147) / SUM(T153:$V153), 1 ), 0 )</f>
        <v>0</v>
      </c>
      <c r="U159" s="503"/>
      <c r="V159" s="503"/>
      <c r="W159" s="503"/>
      <c r="X159" s="111"/>
      <c r="Y159" s="121"/>
    </row>
    <row r="160" spans="1:25" customFormat="1" ht="15" customHeight="1">
      <c r="A160" s="1"/>
      <c r="B160" s="1"/>
      <c r="C160" s="2"/>
      <c r="D160" s="85"/>
      <c r="E160" s="1"/>
      <c r="F160" s="107"/>
      <c r="G160" s="107"/>
      <c r="H160" s="107"/>
      <c r="I160" s="107"/>
      <c r="J160" s="107"/>
      <c r="K160" s="87"/>
      <c r="L160" s="85"/>
      <c r="M160" s="85"/>
      <c r="N160" s="107"/>
      <c r="O160" s="107"/>
      <c r="P160" s="107"/>
      <c r="Q160" s="107"/>
      <c r="R160" s="1"/>
      <c r="S160" s="1"/>
      <c r="T160" s="1"/>
      <c r="U160" s="1"/>
      <c r="V160" s="1"/>
      <c r="W160" s="1"/>
      <c r="X160" s="1"/>
      <c r="Y160" s="1"/>
    </row>
    <row r="161" spans="1:25" customFormat="1" ht="15" customHeight="1">
      <c r="A161" s="1"/>
      <c r="B161" s="1"/>
      <c r="C161" s="2"/>
      <c r="D161" s="88" t="s">
        <v>579</v>
      </c>
      <c r="E161" s="1"/>
      <c r="F161" s="107"/>
      <c r="G161" s="107"/>
      <c r="H161" s="107"/>
      <c r="I161" s="107"/>
      <c r="J161" s="107"/>
      <c r="K161" s="87"/>
      <c r="L161" s="85"/>
      <c r="M161" s="85"/>
      <c r="N161" s="107"/>
      <c r="O161" s="107"/>
      <c r="P161" s="107"/>
      <c r="Q161" s="107"/>
      <c r="R161" s="1"/>
      <c r="S161" s="1"/>
      <c r="T161" s="1"/>
      <c r="U161" s="1"/>
      <c r="V161" s="1"/>
      <c r="W161" s="1"/>
      <c r="X161" s="1"/>
      <c r="Y161" s="1"/>
    </row>
    <row r="162" spans="1:25" customFormat="1" ht="15" customHeight="1">
      <c r="A162" s="1"/>
      <c r="B162" s="1"/>
      <c r="C162" s="2"/>
      <c r="D162" s="123" t="str">
        <f>'2.1 Model setup'!K91</f>
        <v>1.1 Drift og vedligeholdelse af transformerstationer</v>
      </c>
      <c r="E162" s="15"/>
      <c r="F162" s="116"/>
      <c r="G162" s="116"/>
      <c r="H162" s="116"/>
      <c r="I162" s="116"/>
      <c r="J162" s="116"/>
      <c r="K162" s="117" t="s">
        <v>4</v>
      </c>
      <c r="L162" s="123"/>
      <c r="M162" s="142"/>
      <c r="N162" s="116"/>
      <c r="O162" s="180">
        <f t="shared" ref="O162:P165" si="32">1-O156</f>
        <v>1</v>
      </c>
      <c r="P162" s="180">
        <f t="shared" si="32"/>
        <v>1</v>
      </c>
      <c r="Q162" s="274"/>
      <c r="R162" s="180">
        <f t="shared" ref="R162:V165" si="33">1-R156</f>
        <v>1</v>
      </c>
      <c r="S162" s="180">
        <f t="shared" si="33"/>
        <v>1</v>
      </c>
      <c r="T162" s="180">
        <f>1-T156</f>
        <v>1</v>
      </c>
      <c r="U162" s="180">
        <f t="shared" si="33"/>
        <v>1</v>
      </c>
      <c r="V162" s="180">
        <f t="shared" si="33"/>
        <v>1</v>
      </c>
      <c r="W162" s="354"/>
      <c r="X162" s="111"/>
      <c r="Y162" s="121"/>
    </row>
    <row r="163" spans="1:25" customFormat="1" ht="15" customHeight="1">
      <c r="A163" s="1"/>
      <c r="B163" s="1"/>
      <c r="C163" s="2"/>
      <c r="D163" s="85" t="str">
        <f>'2.1 Model setup'!K92</f>
        <v>1.2 Drift og vedligeholdelse af ledningsnet</v>
      </c>
      <c r="E163" s="1"/>
      <c r="F163" s="107"/>
      <c r="G163" s="107"/>
      <c r="H163" s="107"/>
      <c r="I163" s="107"/>
      <c r="J163" s="107"/>
      <c r="K163" s="87" t="s">
        <v>4</v>
      </c>
      <c r="L163" s="85"/>
      <c r="M163" s="119"/>
      <c r="N163" s="107"/>
      <c r="O163" s="181">
        <f t="shared" si="32"/>
        <v>1</v>
      </c>
      <c r="P163" s="181">
        <f t="shared" si="32"/>
        <v>1</v>
      </c>
      <c r="Q163" s="202"/>
      <c r="R163" s="181">
        <f t="shared" si="33"/>
        <v>1</v>
      </c>
      <c r="S163" s="181">
        <f t="shared" si="33"/>
        <v>1</v>
      </c>
      <c r="T163" s="181">
        <f>1-T157</f>
        <v>1</v>
      </c>
      <c r="U163" s="181">
        <f t="shared" si="33"/>
        <v>1</v>
      </c>
      <c r="V163" s="181">
        <f t="shared" si="33"/>
        <v>1</v>
      </c>
      <c r="W163" s="198"/>
      <c r="X163" s="111"/>
      <c r="Y163" s="121"/>
    </row>
    <row r="164" spans="1:25" customFormat="1" ht="15" customHeight="1">
      <c r="A164" s="1"/>
      <c r="B164" s="1"/>
      <c r="C164" s="2"/>
      <c r="D164" s="85" t="str">
        <f>'2.1 Model setup'!K93</f>
        <v>4.1 Omkostninger vedrørende nettab i transformerstationer</v>
      </c>
      <c r="E164" s="1"/>
      <c r="F164" s="107"/>
      <c r="G164" s="107"/>
      <c r="H164" s="107"/>
      <c r="I164" s="107"/>
      <c r="J164" s="107"/>
      <c r="K164" s="87" t="s">
        <v>4</v>
      </c>
      <c r="L164" s="85"/>
      <c r="M164" s="119"/>
      <c r="N164" s="107"/>
      <c r="O164" s="181">
        <f t="shared" si="32"/>
        <v>1</v>
      </c>
      <c r="P164" s="181">
        <f t="shared" si="32"/>
        <v>1</v>
      </c>
      <c r="Q164" s="202"/>
      <c r="R164" s="181">
        <f t="shared" si="33"/>
        <v>1</v>
      </c>
      <c r="S164" s="181">
        <f t="shared" si="33"/>
        <v>1</v>
      </c>
      <c r="T164" s="181">
        <f t="shared" si="33"/>
        <v>1</v>
      </c>
      <c r="U164" s="181">
        <f t="shared" si="33"/>
        <v>1</v>
      </c>
      <c r="V164" s="181">
        <f t="shared" si="33"/>
        <v>1</v>
      </c>
      <c r="W164" s="198"/>
      <c r="X164" s="111"/>
      <c r="Y164" s="121"/>
    </row>
    <row r="165" spans="1:25" customFormat="1" ht="15" customHeight="1">
      <c r="A165" s="1"/>
      <c r="B165" s="1"/>
      <c r="C165" s="2"/>
      <c r="D165" s="99" t="str">
        <f>'2.1 Model setup'!K94</f>
        <v>4.2 Omkostninger vedrørende nettab i ledningsnettet</v>
      </c>
      <c r="E165" s="27"/>
      <c r="F165" s="115"/>
      <c r="G165" s="115"/>
      <c r="H165" s="115"/>
      <c r="I165" s="115"/>
      <c r="J165" s="115"/>
      <c r="K165" s="98" t="s">
        <v>4</v>
      </c>
      <c r="L165" s="99"/>
      <c r="M165" s="151"/>
      <c r="N165" s="115"/>
      <c r="O165" s="182">
        <f t="shared" si="32"/>
        <v>1</v>
      </c>
      <c r="P165" s="182">
        <f t="shared" si="32"/>
        <v>1</v>
      </c>
      <c r="Q165" s="269"/>
      <c r="R165" s="182">
        <f t="shared" si="33"/>
        <v>1</v>
      </c>
      <c r="S165" s="182">
        <f t="shared" si="33"/>
        <v>1</v>
      </c>
      <c r="T165" s="182">
        <f t="shared" si="33"/>
        <v>1</v>
      </c>
      <c r="U165" s="182">
        <f t="shared" si="33"/>
        <v>1</v>
      </c>
      <c r="V165" s="182">
        <f t="shared" si="33"/>
        <v>1</v>
      </c>
      <c r="W165" s="199"/>
      <c r="X165" s="111"/>
      <c r="Y165" s="121"/>
    </row>
    <row r="166" spans="1:25" customFormat="1" ht="15" customHeight="1">
      <c r="A166" s="1"/>
      <c r="B166" s="1"/>
      <c r="C166" s="2"/>
      <c r="D166" s="85"/>
      <c r="E166" s="1"/>
      <c r="F166" s="107"/>
      <c r="G166" s="107"/>
      <c r="H166" s="107"/>
      <c r="I166" s="107"/>
      <c r="J166" s="107"/>
      <c r="K166" s="87"/>
      <c r="L166" s="85"/>
      <c r="M166" s="85"/>
      <c r="N166" s="107"/>
      <c r="O166" s="107"/>
      <c r="P166" s="107"/>
      <c r="Q166" s="107"/>
      <c r="R166" s="1"/>
      <c r="S166" s="1"/>
      <c r="T166" s="1"/>
      <c r="U166" s="1"/>
      <c r="V166" s="1"/>
      <c r="W166" s="1"/>
      <c r="X166" s="1"/>
      <c r="Y166" s="1"/>
    </row>
    <row r="167" spans="1:25" customFormat="1" ht="15" customHeight="1">
      <c r="A167" s="1"/>
      <c r="B167" s="1"/>
      <c r="C167" s="2"/>
      <c r="D167" s="88" t="s">
        <v>640</v>
      </c>
      <c r="E167" s="1"/>
      <c r="F167" s="107"/>
      <c r="G167" s="107"/>
      <c r="H167" s="107"/>
      <c r="I167" s="107"/>
      <c r="J167" s="107"/>
      <c r="K167" s="87"/>
      <c r="L167" s="85"/>
      <c r="M167" s="85"/>
      <c r="N167" s="107"/>
      <c r="O167" s="107"/>
      <c r="P167" s="107"/>
      <c r="Q167" s="107"/>
      <c r="R167" s="1"/>
      <c r="S167" s="1"/>
      <c r="T167" s="1"/>
      <c r="U167" s="1"/>
      <c r="V167" s="1"/>
      <c r="W167" s="89" t="s">
        <v>16</v>
      </c>
      <c r="X167" s="1"/>
      <c r="Y167" s="1"/>
    </row>
    <row r="168" spans="1:25" customFormat="1" ht="15" customHeight="1">
      <c r="A168" s="1"/>
      <c r="B168" s="1"/>
      <c r="C168" s="2"/>
      <c r="D168" s="123" t="str">
        <f>'2.1 Model setup'!K91</f>
        <v>1.1 Drift og vedligeholdelse af transformerstationer</v>
      </c>
      <c r="E168" s="15"/>
      <c r="F168" s="116"/>
      <c r="G168" s="116"/>
      <c r="H168" s="116"/>
      <c r="I168" s="116"/>
      <c r="J168" s="116"/>
      <c r="K168" s="117" t="str">
        <f>Model.Units</f>
        <v>DKKt</v>
      </c>
      <c r="L168" s="123"/>
      <c r="M168" s="142"/>
      <c r="N168" s="116"/>
      <c r="O168" s="15">
        <f t="shared" ref="O168:P171" si="34">O156*O124</f>
        <v>0</v>
      </c>
      <c r="P168" s="15">
        <f t="shared" si="34"/>
        <v>0</v>
      </c>
      <c r="Q168" s="502"/>
      <c r="R168" s="15">
        <f t="shared" ref="R168:T171" si="35">R156*R124</f>
        <v>0</v>
      </c>
      <c r="S168" s="15">
        <f t="shared" si="35"/>
        <v>0</v>
      </c>
      <c r="T168" s="15">
        <f t="shared" si="35"/>
        <v>0</v>
      </c>
      <c r="U168" s="502"/>
      <c r="V168" s="502"/>
      <c r="W168" s="15">
        <f xml:space="preserve"> SUM( O168:V168 )</f>
        <v>0</v>
      </c>
      <c r="X168" s="1"/>
      <c r="Y168" s="1"/>
    </row>
    <row r="169" spans="1:25" customFormat="1" ht="15" customHeight="1">
      <c r="A169" s="1"/>
      <c r="B169" s="1"/>
      <c r="C169" s="2"/>
      <c r="D169" s="85" t="str">
        <f>'2.1 Model setup'!K92</f>
        <v>1.2 Drift og vedligeholdelse af ledningsnet</v>
      </c>
      <c r="E169" s="1"/>
      <c r="F169" s="107"/>
      <c r="G169" s="107"/>
      <c r="H169" s="107"/>
      <c r="I169" s="107"/>
      <c r="J169" s="107"/>
      <c r="K169" s="87" t="str">
        <f>Model.Units</f>
        <v>DKKt</v>
      </c>
      <c r="L169" s="85"/>
      <c r="M169" s="119"/>
      <c r="N169" s="107"/>
      <c r="O169" s="1">
        <f t="shared" si="34"/>
        <v>0</v>
      </c>
      <c r="P169" s="1">
        <f t="shared" si="34"/>
        <v>0</v>
      </c>
      <c r="Q169" s="501"/>
      <c r="R169" s="1">
        <f t="shared" si="35"/>
        <v>0</v>
      </c>
      <c r="S169" s="1">
        <f t="shared" si="35"/>
        <v>0</v>
      </c>
      <c r="T169" s="1">
        <f t="shared" si="35"/>
        <v>0</v>
      </c>
      <c r="U169" s="501"/>
      <c r="V169" s="501"/>
      <c r="W169" s="1">
        <f xml:space="preserve"> SUM( O169:V169 )</f>
        <v>0</v>
      </c>
      <c r="X169" s="1"/>
      <c r="Y169" s="1"/>
    </row>
    <row r="170" spans="1:25" customFormat="1" ht="15" customHeight="1">
      <c r="A170" s="1"/>
      <c r="B170" s="1"/>
      <c r="C170" s="2"/>
      <c r="D170" s="85" t="str">
        <f>'2.1 Model setup'!K93</f>
        <v>4.1 Omkostninger vedrørende nettab i transformerstationer</v>
      </c>
      <c r="E170" s="1"/>
      <c r="F170" s="107"/>
      <c r="G170" s="107"/>
      <c r="H170" s="107"/>
      <c r="I170" s="107"/>
      <c r="J170" s="107"/>
      <c r="K170" s="87" t="str">
        <f>Model.Units</f>
        <v>DKKt</v>
      </c>
      <c r="L170" s="85"/>
      <c r="M170" s="119"/>
      <c r="N170" s="107"/>
      <c r="O170" s="1">
        <f t="shared" si="34"/>
        <v>0</v>
      </c>
      <c r="P170" s="1">
        <f t="shared" si="34"/>
        <v>0</v>
      </c>
      <c r="Q170" s="501"/>
      <c r="R170" s="1">
        <f t="shared" si="35"/>
        <v>0</v>
      </c>
      <c r="S170" s="1">
        <f t="shared" si="35"/>
        <v>0</v>
      </c>
      <c r="T170" s="1">
        <f t="shared" si="35"/>
        <v>0</v>
      </c>
      <c r="U170" s="501"/>
      <c r="V170" s="501"/>
      <c r="W170" s="1">
        <f xml:space="preserve"> SUM( O170:V170 )</f>
        <v>0</v>
      </c>
      <c r="X170" s="1"/>
      <c r="Y170" s="1"/>
    </row>
    <row r="171" spans="1:25" customFormat="1" ht="15" customHeight="1">
      <c r="A171" s="1"/>
      <c r="B171" s="1"/>
      <c r="C171" s="2"/>
      <c r="D171" s="99" t="str">
        <f>'2.1 Model setup'!K94</f>
        <v>4.2 Omkostninger vedrørende nettab i ledningsnettet</v>
      </c>
      <c r="E171" s="27"/>
      <c r="F171" s="115"/>
      <c r="G171" s="115"/>
      <c r="H171" s="115"/>
      <c r="I171" s="115"/>
      <c r="J171" s="115"/>
      <c r="K171" s="98" t="str">
        <f>Model.Units</f>
        <v>DKKt</v>
      </c>
      <c r="L171" s="99"/>
      <c r="M171" s="151"/>
      <c r="N171" s="115"/>
      <c r="O171" s="27">
        <f t="shared" si="34"/>
        <v>0</v>
      </c>
      <c r="P171" s="27">
        <f t="shared" si="34"/>
        <v>0</v>
      </c>
      <c r="Q171" s="503"/>
      <c r="R171" s="27">
        <f t="shared" si="35"/>
        <v>0</v>
      </c>
      <c r="S171" s="27">
        <f t="shared" si="35"/>
        <v>0</v>
      </c>
      <c r="T171" s="27">
        <f t="shared" si="35"/>
        <v>0</v>
      </c>
      <c r="U171" s="503"/>
      <c r="V171" s="503"/>
      <c r="W171" s="27">
        <f xml:space="preserve"> SUM( O171:V171 )</f>
        <v>0</v>
      </c>
      <c r="X171" s="1"/>
      <c r="Y171" s="1"/>
    </row>
    <row r="172" spans="1:25" customFormat="1" ht="15" customHeight="1">
      <c r="A172" s="1"/>
      <c r="B172" s="1"/>
      <c r="C172" s="2"/>
      <c r="D172" s="97" t="s">
        <v>16</v>
      </c>
      <c r="E172" s="27"/>
      <c r="F172" s="104"/>
      <c r="G172" s="104"/>
      <c r="H172" s="104"/>
      <c r="I172" s="104"/>
      <c r="J172" s="104"/>
      <c r="K172" s="127" t="str">
        <f xml:space="preserve"> Model.Units</f>
        <v>DKKt</v>
      </c>
      <c r="L172" s="151"/>
      <c r="M172" s="151"/>
      <c r="N172" s="315"/>
      <c r="O172" s="35">
        <f xml:space="preserve"> SUM( O168:O171 )</f>
        <v>0</v>
      </c>
      <c r="P172" s="35">
        <f xml:space="preserve"> SUM( P168:P171 )</f>
        <v>0</v>
      </c>
      <c r="Q172" s="417"/>
      <c r="R172" s="35">
        <f xml:space="preserve"> SUM( R168:R171 )</f>
        <v>0</v>
      </c>
      <c r="S172" s="35">
        <f xml:space="preserve"> SUM( S168:S171 )</f>
        <v>0</v>
      </c>
      <c r="T172" s="35">
        <f xml:space="preserve"> SUM( T168:T171 )</f>
        <v>0</v>
      </c>
      <c r="U172" s="417"/>
      <c r="V172" s="417"/>
      <c r="W172" s="35">
        <f xml:space="preserve"> SUM( W168:W171 )</f>
        <v>0</v>
      </c>
      <c r="X172" s="111"/>
      <c r="Y172" s="121"/>
    </row>
    <row r="173" spans="1:25" customFormat="1" ht="15" customHeight="1">
      <c r="A173" s="1"/>
      <c r="B173" s="1"/>
      <c r="C173" s="2"/>
      <c r="D173" s="85"/>
      <c r="E173" s="1"/>
      <c r="F173" s="107"/>
      <c r="G173" s="107"/>
      <c r="H173" s="107"/>
      <c r="I173" s="107"/>
      <c r="J173" s="107"/>
      <c r="K173" s="87"/>
      <c r="L173" s="85"/>
      <c r="M173" s="85"/>
      <c r="N173" s="107"/>
      <c r="O173" s="520"/>
      <c r="P173" s="520"/>
      <c r="Q173" s="520"/>
      <c r="R173" s="515"/>
      <c r="S173" s="515"/>
      <c r="T173" s="515"/>
      <c r="U173" s="515"/>
      <c r="V173" s="515"/>
      <c r="W173" s="515"/>
      <c r="X173" s="1"/>
      <c r="Y173" s="1"/>
    </row>
    <row r="174" spans="1:25" customFormat="1" ht="15" customHeight="1">
      <c r="A174" s="1"/>
      <c r="B174" s="1"/>
      <c r="C174" s="2"/>
      <c r="D174" s="88" t="s">
        <v>641</v>
      </c>
      <c r="E174" s="1"/>
      <c r="F174" s="107"/>
      <c r="G174" s="107"/>
      <c r="H174" s="107"/>
      <c r="I174" s="107"/>
      <c r="J174" s="107"/>
      <c r="K174" s="87"/>
      <c r="L174" s="85"/>
      <c r="M174" s="85"/>
      <c r="N174" s="107"/>
      <c r="O174" s="520"/>
      <c r="P174" s="520"/>
      <c r="Q174" s="520"/>
      <c r="R174" s="515"/>
      <c r="S174" s="515"/>
      <c r="T174" s="515"/>
      <c r="U174" s="515"/>
      <c r="V174" s="515"/>
      <c r="W174" s="521" t="s">
        <v>16</v>
      </c>
      <c r="X174" s="1"/>
      <c r="Y174" s="1"/>
    </row>
    <row r="175" spans="1:25" customFormat="1" ht="15" customHeight="1">
      <c r="A175" s="1"/>
      <c r="B175" s="1"/>
      <c r="C175" s="2"/>
      <c r="D175" s="123" t="str">
        <f>'2.1 Model setup'!K91</f>
        <v>1.1 Drift og vedligeholdelse af transformerstationer</v>
      </c>
      <c r="E175" s="15"/>
      <c r="F175" s="116"/>
      <c r="G175" s="116"/>
      <c r="H175" s="116"/>
      <c r="I175" s="116"/>
      <c r="J175" s="116"/>
      <c r="K175" s="117" t="str">
        <f>Model.Units</f>
        <v>DKKt</v>
      </c>
      <c r="L175" s="123"/>
      <c r="M175" s="142"/>
      <c r="N175" s="116"/>
      <c r="O175" s="502"/>
      <c r="P175" s="502"/>
      <c r="Q175" s="502"/>
      <c r="R175" s="537">
        <f t="shared" ref="R175:V178" si="36">R162*R124</f>
        <v>0</v>
      </c>
      <c r="S175" s="537">
        <f>S162*S124</f>
        <v>0</v>
      </c>
      <c r="T175" s="537">
        <f t="shared" si="36"/>
        <v>0</v>
      </c>
      <c r="U175" s="537">
        <f t="shared" si="36"/>
        <v>0</v>
      </c>
      <c r="V175" s="537">
        <f t="shared" si="36"/>
        <v>0</v>
      </c>
      <c r="W175" s="15">
        <f xml:space="preserve"> SUM( O175:V175 )</f>
        <v>0</v>
      </c>
      <c r="X175" s="1"/>
      <c r="Y175" s="1"/>
    </row>
    <row r="176" spans="1:25" customFormat="1" ht="15" customHeight="1">
      <c r="A176" s="1"/>
      <c r="B176" s="1"/>
      <c r="C176" s="2"/>
      <c r="D176" s="85" t="str">
        <f>'2.1 Model setup'!K92</f>
        <v>1.2 Drift og vedligeholdelse af ledningsnet</v>
      </c>
      <c r="E176" s="1"/>
      <c r="F176" s="107"/>
      <c r="G176" s="107"/>
      <c r="H176" s="107"/>
      <c r="I176" s="107"/>
      <c r="J176" s="107"/>
      <c r="K176" s="87" t="str">
        <f>Model.Units</f>
        <v>DKKt</v>
      </c>
      <c r="L176" s="85"/>
      <c r="M176" s="119"/>
      <c r="N176" s="107"/>
      <c r="O176" s="501"/>
      <c r="P176" s="501"/>
      <c r="Q176" s="501"/>
      <c r="R176" s="1">
        <f t="shared" si="36"/>
        <v>0</v>
      </c>
      <c r="S176" s="1">
        <f t="shared" si="36"/>
        <v>0</v>
      </c>
      <c r="T176" s="1">
        <f t="shared" si="36"/>
        <v>0</v>
      </c>
      <c r="U176" s="1">
        <f t="shared" si="36"/>
        <v>0</v>
      </c>
      <c r="V176" s="1">
        <f t="shared" si="36"/>
        <v>0</v>
      </c>
      <c r="W176" s="1">
        <f xml:space="preserve"> SUM( O176:V176 )</f>
        <v>0</v>
      </c>
      <c r="X176" s="1"/>
      <c r="Y176" s="1"/>
    </row>
    <row r="177" spans="1:39" customFormat="1" ht="15" customHeight="1">
      <c r="A177" s="1"/>
      <c r="B177" s="1"/>
      <c r="C177" s="2"/>
      <c r="D177" s="85" t="str">
        <f>'2.1 Model setup'!K93</f>
        <v>4.1 Omkostninger vedrørende nettab i transformerstationer</v>
      </c>
      <c r="E177" s="1"/>
      <c r="F177" s="107"/>
      <c r="G177" s="107"/>
      <c r="H177" s="107"/>
      <c r="I177" s="107"/>
      <c r="J177" s="107"/>
      <c r="K177" s="87" t="str">
        <f>Model.Units</f>
        <v>DKKt</v>
      </c>
      <c r="L177" s="85"/>
      <c r="M177" s="119"/>
      <c r="N177" s="107"/>
      <c r="O177" s="501"/>
      <c r="P177" s="501"/>
      <c r="Q177" s="501"/>
      <c r="R177" s="1">
        <f t="shared" si="36"/>
        <v>0</v>
      </c>
      <c r="S177" s="1">
        <f t="shared" si="36"/>
        <v>0</v>
      </c>
      <c r="T177" s="1">
        <f t="shared" si="36"/>
        <v>0</v>
      </c>
      <c r="U177" s="1">
        <f t="shared" si="36"/>
        <v>0</v>
      </c>
      <c r="V177" s="1">
        <f t="shared" si="36"/>
        <v>0</v>
      </c>
      <c r="W177" s="1">
        <f xml:space="preserve"> SUM( O177:V177 )</f>
        <v>0</v>
      </c>
      <c r="X177" s="1"/>
      <c r="Y177" s="1"/>
    </row>
    <row r="178" spans="1:39" customFormat="1" ht="15" customHeight="1">
      <c r="A178" s="1"/>
      <c r="B178" s="1"/>
      <c r="C178" s="2"/>
      <c r="D178" s="99" t="str">
        <f>'2.1 Model setup'!K94</f>
        <v>4.2 Omkostninger vedrørende nettab i ledningsnettet</v>
      </c>
      <c r="E178" s="27"/>
      <c r="F178" s="115"/>
      <c r="G178" s="115"/>
      <c r="H178" s="115"/>
      <c r="I178" s="115"/>
      <c r="J178" s="115"/>
      <c r="K178" s="98" t="str">
        <f>Model.Units</f>
        <v>DKKt</v>
      </c>
      <c r="L178" s="99"/>
      <c r="M178" s="151"/>
      <c r="N178" s="115"/>
      <c r="O178" s="503"/>
      <c r="P178" s="503"/>
      <c r="Q178" s="503"/>
      <c r="R178" s="27">
        <f t="shared" si="36"/>
        <v>0</v>
      </c>
      <c r="S178" s="27">
        <f t="shared" si="36"/>
        <v>0</v>
      </c>
      <c r="T178" s="27">
        <f t="shared" si="36"/>
        <v>0</v>
      </c>
      <c r="U178" s="27">
        <f t="shared" si="36"/>
        <v>0</v>
      </c>
      <c r="V178" s="27">
        <f t="shared" si="36"/>
        <v>0</v>
      </c>
      <c r="W178" s="27">
        <f xml:space="preserve"> SUM( O178:V178 )</f>
        <v>0</v>
      </c>
      <c r="X178" s="1"/>
      <c r="Y178" s="1"/>
    </row>
    <row r="179" spans="1:39" customFormat="1" ht="15" customHeight="1">
      <c r="A179" s="1"/>
      <c r="B179" s="1"/>
      <c r="C179" s="2"/>
      <c r="D179" s="97" t="s">
        <v>16</v>
      </c>
      <c r="E179" s="27"/>
      <c r="F179" s="104"/>
      <c r="G179" s="104"/>
      <c r="H179" s="104"/>
      <c r="I179" s="104"/>
      <c r="J179" s="104"/>
      <c r="K179" s="127" t="str">
        <f xml:space="preserve"> Model.Units</f>
        <v>DKKt</v>
      </c>
      <c r="L179" s="151"/>
      <c r="M179" s="151"/>
      <c r="N179" s="315"/>
      <c r="O179" s="417"/>
      <c r="P179" s="417"/>
      <c r="Q179" s="417"/>
      <c r="R179" s="35">
        <f t="shared" ref="R179:W179" si="37" xml:space="preserve"> SUM( R175:R178 )</f>
        <v>0</v>
      </c>
      <c r="S179" s="35">
        <f t="shared" si="37"/>
        <v>0</v>
      </c>
      <c r="T179" s="35">
        <f t="shared" si="37"/>
        <v>0</v>
      </c>
      <c r="U179" s="35">
        <f t="shared" si="37"/>
        <v>0</v>
      </c>
      <c r="V179" s="35">
        <f t="shared" si="37"/>
        <v>0</v>
      </c>
      <c r="W179" s="35">
        <f t="shared" si="37"/>
        <v>0</v>
      </c>
      <c r="X179" s="111"/>
      <c r="Y179" s="121"/>
    </row>
    <row r="180" spans="1:39" customFormat="1" ht="15" customHeight="1">
      <c r="A180" s="1"/>
      <c r="B180" s="1"/>
      <c r="C180" s="2"/>
      <c r="D180" s="85"/>
      <c r="E180" s="1"/>
      <c r="F180" s="107"/>
      <c r="G180" s="107"/>
      <c r="H180" s="107"/>
      <c r="I180" s="107"/>
      <c r="J180" s="107"/>
      <c r="K180" s="87"/>
      <c r="L180" s="85"/>
      <c r="M180" s="85"/>
      <c r="N180" s="107"/>
      <c r="O180" s="524"/>
      <c r="P180" s="524"/>
      <c r="Q180" s="524"/>
      <c r="R180" s="1"/>
      <c r="S180" s="1"/>
      <c r="T180" s="1"/>
      <c r="U180" s="1"/>
      <c r="V180" s="1"/>
      <c r="W180" s="1"/>
      <c r="X180" s="1"/>
      <c r="Y180" s="1"/>
    </row>
    <row r="181" spans="1:39" customFormat="1" ht="15" customHeight="1">
      <c r="A181" s="1"/>
      <c r="B181" s="1"/>
      <c r="C181" s="2"/>
      <c r="D181" s="88" t="s">
        <v>570</v>
      </c>
      <c r="E181" s="1"/>
      <c r="F181" s="107"/>
      <c r="G181" s="107"/>
      <c r="H181" s="107"/>
      <c r="I181" s="107"/>
      <c r="J181" s="107"/>
      <c r="K181" s="87"/>
      <c r="L181" s="85"/>
      <c r="M181" s="85"/>
      <c r="N181" s="107"/>
      <c r="O181" s="524"/>
      <c r="P181" s="524"/>
      <c r="Q181" s="524"/>
      <c r="R181" s="1"/>
      <c r="S181" s="1"/>
      <c r="T181" s="1"/>
      <c r="U181" s="1"/>
      <c r="V181" s="1"/>
      <c r="W181" s="89" t="s">
        <v>16</v>
      </c>
      <c r="X181" s="1"/>
      <c r="Y181" s="1"/>
    </row>
    <row r="182" spans="1:39" customFormat="1" ht="15" customHeight="1">
      <c r="A182" s="1"/>
      <c r="B182" s="1"/>
      <c r="C182" s="2"/>
      <c r="D182" s="123" t="str">
        <f>'2.1 Model setup'!K91</f>
        <v>1.1 Drift og vedligeholdelse af transformerstationer</v>
      </c>
      <c r="E182" s="15"/>
      <c r="F182" s="116"/>
      <c r="G182" s="116"/>
      <c r="H182" s="116"/>
      <c r="I182" s="116"/>
      <c r="J182" s="116"/>
      <c r="K182" s="117" t="str">
        <f>Model.Units</f>
        <v>DKKt</v>
      </c>
      <c r="L182" s="123">
        <f xml:space="preserve"> -- ( ROUND( W182, 5 ) &lt;&gt; ROUND( W124, 5 ) )</f>
        <v>0</v>
      </c>
      <c r="M182" s="142"/>
      <c r="N182" s="116"/>
      <c r="O182" s="15">
        <f t="shared" ref="O182:P185" si="38">O168+O175</f>
        <v>0</v>
      </c>
      <c r="P182" s="15">
        <f t="shared" si="38"/>
        <v>0</v>
      </c>
      <c r="Q182" s="502"/>
      <c r="R182" s="15">
        <f t="shared" ref="R182:V185" si="39">R168+R175</f>
        <v>0</v>
      </c>
      <c r="S182" s="15">
        <f t="shared" si="39"/>
        <v>0</v>
      </c>
      <c r="T182" s="15">
        <f t="shared" si="39"/>
        <v>0</v>
      </c>
      <c r="U182" s="15">
        <f t="shared" si="39"/>
        <v>0</v>
      </c>
      <c r="V182" s="15">
        <f t="shared" si="39"/>
        <v>0</v>
      </c>
      <c r="W182" s="15">
        <f t="shared" ref="W182:W186" si="40">SUM(O182:V182)</f>
        <v>0</v>
      </c>
      <c r="X182" s="1"/>
      <c r="Y182" s="1"/>
    </row>
    <row r="183" spans="1:39" customFormat="1" ht="15" customHeight="1">
      <c r="A183" s="1"/>
      <c r="B183" s="1"/>
      <c r="C183" s="2"/>
      <c r="D183" s="85" t="str">
        <f>'2.1 Model setup'!K92</f>
        <v>1.2 Drift og vedligeholdelse af ledningsnet</v>
      </c>
      <c r="E183" s="1"/>
      <c r="F183" s="107"/>
      <c r="G183" s="107"/>
      <c r="H183" s="107"/>
      <c r="I183" s="107"/>
      <c r="J183" s="107"/>
      <c r="K183" s="87" t="str">
        <f>Model.Units</f>
        <v>DKKt</v>
      </c>
      <c r="L183" s="85">
        <f xml:space="preserve"> -- ( ROUND( W183, 5 ) &lt;&gt; ROUND( W125, 5 ) )</f>
        <v>0</v>
      </c>
      <c r="M183" s="119"/>
      <c r="N183" s="107"/>
      <c r="O183" s="1">
        <f t="shared" si="38"/>
        <v>0</v>
      </c>
      <c r="P183" s="1">
        <f t="shared" si="38"/>
        <v>0</v>
      </c>
      <c r="Q183" s="501"/>
      <c r="R183" s="1">
        <f t="shared" si="39"/>
        <v>0</v>
      </c>
      <c r="S183" s="1">
        <f t="shared" si="39"/>
        <v>0</v>
      </c>
      <c r="T183" s="1">
        <f t="shared" si="39"/>
        <v>0</v>
      </c>
      <c r="U183" s="1">
        <f t="shared" si="39"/>
        <v>0</v>
      </c>
      <c r="V183" s="1">
        <f t="shared" si="39"/>
        <v>0</v>
      </c>
      <c r="W183" s="1">
        <f t="shared" si="40"/>
        <v>0</v>
      </c>
      <c r="X183" s="1"/>
      <c r="Y183" s="1"/>
    </row>
    <row r="184" spans="1:39" customFormat="1" ht="15" customHeight="1">
      <c r="A184" s="1"/>
      <c r="B184" s="1"/>
      <c r="C184" s="2"/>
      <c r="D184" s="85" t="str">
        <f>'2.1 Model setup'!K93</f>
        <v>4.1 Omkostninger vedrørende nettab i transformerstationer</v>
      </c>
      <c r="E184" s="1"/>
      <c r="F184" s="107"/>
      <c r="G184" s="107"/>
      <c r="H184" s="107"/>
      <c r="I184" s="107"/>
      <c r="J184" s="107"/>
      <c r="K184" s="87" t="str">
        <f>Model.Units</f>
        <v>DKKt</v>
      </c>
      <c r="L184" s="85">
        <f xml:space="preserve"> -- ( ROUND( W184, 5 ) &lt;&gt; ROUND( W126, 5 ) )</f>
        <v>0</v>
      </c>
      <c r="M184" s="119"/>
      <c r="N184" s="107"/>
      <c r="O184" s="1">
        <f t="shared" si="38"/>
        <v>0</v>
      </c>
      <c r="P184" s="1">
        <f t="shared" si="38"/>
        <v>0</v>
      </c>
      <c r="Q184" s="501"/>
      <c r="R184" s="1">
        <f t="shared" si="39"/>
        <v>0</v>
      </c>
      <c r="S184" s="1">
        <f t="shared" si="39"/>
        <v>0</v>
      </c>
      <c r="T184" s="1">
        <f t="shared" si="39"/>
        <v>0</v>
      </c>
      <c r="U184" s="1">
        <f t="shared" si="39"/>
        <v>0</v>
      </c>
      <c r="V184" s="1">
        <f t="shared" si="39"/>
        <v>0</v>
      </c>
      <c r="W184" s="1">
        <f t="shared" si="40"/>
        <v>0</v>
      </c>
      <c r="X184" s="1"/>
      <c r="Y184" s="1"/>
    </row>
    <row r="185" spans="1:39" customFormat="1" ht="15" customHeight="1">
      <c r="A185" s="1"/>
      <c r="B185" s="1"/>
      <c r="C185" s="2"/>
      <c r="D185" s="99" t="str">
        <f>'2.1 Model setup'!K94</f>
        <v>4.2 Omkostninger vedrørende nettab i ledningsnettet</v>
      </c>
      <c r="E185" s="27"/>
      <c r="F185" s="115"/>
      <c r="G185" s="115"/>
      <c r="H185" s="115"/>
      <c r="I185" s="115"/>
      <c r="J185" s="115"/>
      <c r="K185" s="98" t="str">
        <f>Model.Units</f>
        <v>DKKt</v>
      </c>
      <c r="L185" s="99">
        <f xml:space="preserve"> -- ( ROUND( W185, 5 ) &lt;&gt; ROUND( W127, 5 ) )</f>
        <v>0</v>
      </c>
      <c r="M185" s="151"/>
      <c r="N185" s="115"/>
      <c r="O185" s="27">
        <f t="shared" si="38"/>
        <v>0</v>
      </c>
      <c r="P185" s="27">
        <f t="shared" si="38"/>
        <v>0</v>
      </c>
      <c r="Q185" s="503"/>
      <c r="R185" s="27">
        <f t="shared" si="39"/>
        <v>0</v>
      </c>
      <c r="S185" s="27">
        <f t="shared" si="39"/>
        <v>0</v>
      </c>
      <c r="T185" s="27">
        <f t="shared" si="39"/>
        <v>0</v>
      </c>
      <c r="U185" s="27">
        <f t="shared" si="39"/>
        <v>0</v>
      </c>
      <c r="V185" s="27">
        <f t="shared" si="39"/>
        <v>0</v>
      </c>
      <c r="W185" s="27">
        <f t="shared" si="40"/>
        <v>0</v>
      </c>
      <c r="X185" s="1"/>
      <c r="Y185" s="1"/>
    </row>
    <row r="186" spans="1:39" customFormat="1" ht="15" customHeight="1">
      <c r="A186" s="1"/>
      <c r="B186" s="1"/>
      <c r="C186" s="2"/>
      <c r="D186" s="97" t="s">
        <v>16</v>
      </c>
      <c r="E186" s="27"/>
      <c r="F186" s="104"/>
      <c r="G186" s="104"/>
      <c r="H186" s="104"/>
      <c r="I186" s="104"/>
      <c r="J186" s="104"/>
      <c r="K186" s="127" t="str">
        <f xml:space="preserve"> Model.Units</f>
        <v>DKKt</v>
      </c>
      <c r="L186" s="99">
        <f xml:space="preserve"> -- ( ROUND( W186, 5 ) &lt;&gt; ROUND( W128, 5 ) )</f>
        <v>0</v>
      </c>
      <c r="M186" s="151"/>
      <c r="N186" s="315"/>
      <c r="O186" s="35">
        <f xml:space="preserve"> SUM( O182:O185 )</f>
        <v>0</v>
      </c>
      <c r="P186" s="35">
        <f xml:space="preserve"> SUM( P182:P185 )</f>
        <v>0</v>
      </c>
      <c r="Q186" s="417"/>
      <c r="R186" s="35">
        <f xml:space="preserve"> SUM( R182:R185 )</f>
        <v>0</v>
      </c>
      <c r="S186" s="35">
        <f xml:space="preserve"> SUM( S182:S185 )</f>
        <v>0</v>
      </c>
      <c r="T186" s="35">
        <f xml:space="preserve"> SUM( T182:T185 )</f>
        <v>0</v>
      </c>
      <c r="U186" s="35">
        <f xml:space="preserve"> SUM( U182:U185 )</f>
        <v>0</v>
      </c>
      <c r="V186" s="35">
        <f xml:space="preserve"> SUM( V182:V185 )</f>
        <v>0</v>
      </c>
      <c r="W186" s="35">
        <f t="shared" si="40"/>
        <v>0</v>
      </c>
      <c r="X186" s="111"/>
      <c r="Y186" s="121"/>
    </row>
    <row r="187" spans="1:39" customFormat="1" ht="15" customHeight="1">
      <c r="A187" s="1"/>
      <c r="B187" s="1"/>
      <c r="C187" s="2"/>
      <c r="D187" s="85"/>
      <c r="E187" s="1"/>
      <c r="F187" s="107"/>
      <c r="G187" s="107"/>
      <c r="H187" s="107"/>
      <c r="I187" s="107"/>
      <c r="J187" s="107"/>
      <c r="K187" s="87"/>
      <c r="L187" s="85"/>
      <c r="M187" s="85"/>
      <c r="N187" s="107"/>
      <c r="O187" s="107"/>
      <c r="P187" s="107"/>
      <c r="Q187" s="107"/>
      <c r="R187" s="1"/>
      <c r="S187" s="1"/>
      <c r="T187" s="1"/>
      <c r="U187" s="1"/>
      <c r="V187" s="1"/>
      <c r="W187" s="1"/>
      <c r="X187" s="1"/>
      <c r="Y187" s="1"/>
    </row>
    <row r="188" spans="1:39" s="475" customFormat="1" ht="15" customHeight="1">
      <c r="B188" s="479" t="str">
        <f xml:space="preserve"> COUNTA(B$10:B187) &amp; ") Output"</f>
        <v>7) Output</v>
      </c>
      <c r="C188" s="477"/>
      <c r="D188" s="478"/>
      <c r="K188" s="472"/>
    </row>
    <row r="189" spans="1:39" customFormat="1" ht="15" customHeight="1">
      <c r="A189" s="1"/>
      <c r="B189" s="1"/>
      <c r="C189" s="2"/>
      <c r="D189" s="85"/>
      <c r="E189" s="1"/>
      <c r="F189" s="107"/>
      <c r="G189" s="107"/>
      <c r="H189" s="107"/>
      <c r="I189" s="107"/>
      <c r="J189" s="107"/>
      <c r="K189" s="87"/>
      <c r="L189" s="85"/>
      <c r="M189" s="85"/>
      <c r="N189" s="107"/>
      <c r="O189" s="107"/>
      <c r="P189" s="107"/>
      <c r="Q189" s="107"/>
      <c r="R189" s="527"/>
      <c r="S189" s="1"/>
      <c r="T189" s="1"/>
      <c r="U189" s="1"/>
      <c r="V189" s="1"/>
      <c r="W189" s="1"/>
      <c r="X189" s="1"/>
      <c r="Y189" s="1"/>
    </row>
    <row r="190" spans="1:39" customFormat="1" ht="15" customHeight="1">
      <c r="A190" s="1"/>
      <c r="B190" s="1"/>
      <c r="C190" s="2"/>
      <c r="D190" s="88" t="s">
        <v>660</v>
      </c>
      <c r="E190" s="1"/>
      <c r="F190" s="86"/>
      <c r="G190" s="86"/>
      <c r="H190" s="86"/>
      <c r="I190" s="86"/>
      <c r="J190" s="86"/>
      <c r="K190" s="87"/>
      <c r="L190" s="85"/>
      <c r="M190" s="85"/>
      <c r="N190" s="107" t="s">
        <v>16</v>
      </c>
      <c r="O190" s="107"/>
      <c r="P190" s="107"/>
      <c r="Q190" s="107"/>
      <c r="R190" s="1"/>
      <c r="S190" s="1"/>
      <c r="T190" s="1"/>
      <c r="U190" s="1"/>
      <c r="V190" s="1"/>
      <c r="W190" s="89" t="s">
        <v>183</v>
      </c>
      <c r="X190" s="89"/>
      <c r="Y190" s="522"/>
      <c r="AC190" s="108"/>
      <c r="AM190" s="109"/>
    </row>
    <row r="191" spans="1:39" customFormat="1" ht="15" customHeight="1">
      <c r="A191" s="1"/>
      <c r="B191" s="1"/>
      <c r="C191" s="2"/>
      <c r="D191" s="123" t="str">
        <f xml:space="preserve"> '2.1 Model setup'!K70</f>
        <v>1.1 Drift og vedligeholdelse af transformerstationer</v>
      </c>
      <c r="E191" s="15"/>
      <c r="F191" s="100"/>
      <c r="G191" s="100"/>
      <c r="H191" s="100"/>
      <c r="I191" s="100"/>
      <c r="J191" s="100"/>
      <c r="K191" s="117" t="str">
        <f t="shared" ref="K191:K195" si="41" xml:space="preserve"> Model.Units</f>
        <v>DKKt</v>
      </c>
      <c r="L191" s="123">
        <f xml:space="preserve"> -- ( W191 &lt;&gt; 0 )</f>
        <v>0</v>
      </c>
      <c r="M191" s="142"/>
      <c r="N191" s="548">
        <f>W175</f>
        <v>0</v>
      </c>
      <c r="O191" s="502"/>
      <c r="P191" s="502"/>
      <c r="Q191" s="502"/>
      <c r="R191" s="307"/>
      <c r="S191" s="548">
        <f>S175</f>
        <v>0</v>
      </c>
      <c r="T191" s="309"/>
      <c r="U191" s="548">
        <f>U175</f>
        <v>0</v>
      </c>
      <c r="V191" s="502"/>
      <c r="W191" s="18">
        <f xml:space="preserve"> N191 - SUM( O191:V191 )</f>
        <v>0</v>
      </c>
      <c r="X191" s="111"/>
      <c r="Y191" s="522"/>
    </row>
    <row r="192" spans="1:39" customFormat="1" ht="15" customHeight="1">
      <c r="A192" s="1"/>
      <c r="B192" s="1"/>
      <c r="C192" s="2"/>
      <c r="D192" s="85" t="str">
        <f xml:space="preserve"> '2.1 Model setup'!K71</f>
        <v>1.2 Drift og vedligeholdelse af ledningsnet</v>
      </c>
      <c r="E192" s="1"/>
      <c r="F192" s="102"/>
      <c r="G192" s="102"/>
      <c r="H192" s="102"/>
      <c r="I192" s="102"/>
      <c r="J192" s="102"/>
      <c r="K192" s="87" t="str">
        <f t="shared" si="41"/>
        <v>DKKt</v>
      </c>
      <c r="L192" s="85">
        <f xml:space="preserve"> -- ( W192 &lt;&gt; 0 )</f>
        <v>0</v>
      </c>
      <c r="M192" s="119"/>
      <c r="N192" s="526">
        <f>W176</f>
        <v>0</v>
      </c>
      <c r="O192" s="501"/>
      <c r="P192" s="501"/>
      <c r="Q192" s="501"/>
      <c r="R192" s="526">
        <f>R176</f>
        <v>0</v>
      </c>
      <c r="S192" s="526">
        <f>S176</f>
        <v>0</v>
      </c>
      <c r="T192" s="526">
        <f>T176</f>
        <v>0</v>
      </c>
      <c r="U192" s="526">
        <f>U176</f>
        <v>0</v>
      </c>
      <c r="V192" s="526">
        <f>V176</f>
        <v>0</v>
      </c>
      <c r="W192" s="4">
        <f t="shared" ref="W192:W194" si="42" xml:space="preserve"> N192 - SUM( O192:V192 )</f>
        <v>0</v>
      </c>
      <c r="X192" s="111"/>
      <c r="Y192" s="522"/>
    </row>
    <row r="193" spans="1:39" customFormat="1" ht="15" customHeight="1">
      <c r="A193" s="1"/>
      <c r="B193" s="1"/>
      <c r="C193" s="2"/>
      <c r="D193" s="85" t="str">
        <f xml:space="preserve"> '2.1 Model setup'!K78</f>
        <v>4.1 Omkostninger vedrørende nettab i transformerstationer</v>
      </c>
      <c r="E193" s="1"/>
      <c r="F193" s="102"/>
      <c r="G193" s="102"/>
      <c r="H193" s="102"/>
      <c r="I193" s="102"/>
      <c r="J193" s="102"/>
      <c r="K193" s="87" t="str">
        <f t="shared" si="41"/>
        <v>DKKt</v>
      </c>
      <c r="L193" s="85">
        <f xml:space="preserve"> -- ( W193 &lt;&gt; 0 )</f>
        <v>0</v>
      </c>
      <c r="M193" s="119"/>
      <c r="N193" s="526">
        <f>W177</f>
        <v>0</v>
      </c>
      <c r="O193" s="501"/>
      <c r="P193" s="501"/>
      <c r="Q193" s="501"/>
      <c r="R193" s="313"/>
      <c r="S193" s="526">
        <f>S177</f>
        <v>0</v>
      </c>
      <c r="T193" s="313"/>
      <c r="U193" s="526">
        <f>U177</f>
        <v>0</v>
      </c>
      <c r="V193" s="501"/>
      <c r="W193" s="4">
        <f t="shared" si="42"/>
        <v>0</v>
      </c>
      <c r="X193" s="111"/>
      <c r="Y193" s="121"/>
    </row>
    <row r="194" spans="1:39" customFormat="1" ht="15" customHeight="1">
      <c r="A194" s="1"/>
      <c r="B194" s="1"/>
      <c r="C194" s="2"/>
      <c r="D194" s="85" t="str">
        <f xml:space="preserve"> '2.1 Model setup'!K79</f>
        <v>4.2 Omkostninger vedrørende nettab i ledningsnettet</v>
      </c>
      <c r="E194" s="1"/>
      <c r="F194" s="102"/>
      <c r="G194" s="102"/>
      <c r="H194" s="102"/>
      <c r="I194" s="102"/>
      <c r="J194" s="102"/>
      <c r="K194" s="87" t="str">
        <f t="shared" si="41"/>
        <v>DKKt</v>
      </c>
      <c r="L194" s="85">
        <f xml:space="preserve"> -- ( W194 &lt;&gt; 0 )</f>
        <v>0</v>
      </c>
      <c r="M194" s="119"/>
      <c r="N194" s="607">
        <f>W178</f>
        <v>0</v>
      </c>
      <c r="O194" s="501"/>
      <c r="P194" s="501"/>
      <c r="Q194" s="501"/>
      <c r="R194" s="608">
        <f>R178</f>
        <v>0</v>
      </c>
      <c r="S194" s="608">
        <f>S178</f>
        <v>0</v>
      </c>
      <c r="T194" s="608">
        <f>T178</f>
        <v>0</v>
      </c>
      <c r="U194" s="608">
        <f>U178</f>
        <v>0</v>
      </c>
      <c r="V194" s="608">
        <f>V178</f>
        <v>0</v>
      </c>
      <c r="W194" s="4">
        <f t="shared" si="42"/>
        <v>0</v>
      </c>
      <c r="X194" s="111"/>
      <c r="Y194" s="121"/>
    </row>
    <row r="195" spans="1:39" customFormat="1" ht="15" customHeight="1">
      <c r="A195" s="1"/>
      <c r="B195" s="1"/>
      <c r="C195" s="2"/>
      <c r="D195" s="105" t="s">
        <v>16</v>
      </c>
      <c r="E195" s="33"/>
      <c r="F195" s="96"/>
      <c r="G195" s="96"/>
      <c r="H195" s="96"/>
      <c r="I195" s="96"/>
      <c r="J195" s="96"/>
      <c r="K195" s="106" t="str">
        <f t="shared" si="41"/>
        <v>DKKt</v>
      </c>
      <c r="L195" s="90"/>
      <c r="M195" s="139"/>
      <c r="N195" s="361">
        <f xml:space="preserve"> SUM( N191:N194 )</f>
        <v>0</v>
      </c>
      <c r="O195" s="514"/>
      <c r="P195" s="514"/>
      <c r="Q195" s="514"/>
      <c r="R195" s="186">
        <f t="shared" ref="R195:W195" si="43" xml:space="preserve"> SUM( R191:R194 )</f>
        <v>0</v>
      </c>
      <c r="S195" s="186">
        <f t="shared" si="43"/>
        <v>0</v>
      </c>
      <c r="T195" s="186">
        <f t="shared" si="43"/>
        <v>0</v>
      </c>
      <c r="U195" s="186">
        <f t="shared" si="43"/>
        <v>0</v>
      </c>
      <c r="V195" s="186">
        <f t="shared" si="43"/>
        <v>0</v>
      </c>
      <c r="W195" s="361">
        <f t="shared" si="43"/>
        <v>0</v>
      </c>
      <c r="X195" s="111"/>
      <c r="Y195" s="121"/>
    </row>
    <row r="196" spans="1:39" customFormat="1" ht="15" customHeight="1">
      <c r="A196" s="1"/>
      <c r="B196" s="1"/>
      <c r="C196" s="2"/>
      <c r="D196" s="85"/>
      <c r="E196" s="1"/>
      <c r="F196" s="107"/>
      <c r="G196" s="107"/>
      <c r="H196" s="107"/>
      <c r="I196" s="107"/>
      <c r="J196" s="107"/>
      <c r="K196" s="87"/>
      <c r="L196" s="85"/>
      <c r="M196" s="85"/>
      <c r="N196" s="107"/>
      <c r="O196" s="107"/>
      <c r="P196" s="107"/>
      <c r="Q196" s="107"/>
      <c r="R196" s="1"/>
      <c r="S196" s="1"/>
      <c r="T196" s="1"/>
      <c r="U196" s="1"/>
      <c r="V196" s="1"/>
      <c r="W196" s="1"/>
      <c r="X196" s="1"/>
      <c r="Y196" s="1"/>
    </row>
    <row r="197" spans="1:39" customFormat="1" ht="15" customHeight="1">
      <c r="A197" s="1"/>
      <c r="B197" s="1"/>
      <c r="C197" s="2"/>
      <c r="D197" s="88" t="s">
        <v>661</v>
      </c>
      <c r="E197" s="27"/>
      <c r="F197" s="86"/>
      <c r="G197" s="86"/>
      <c r="H197" s="86"/>
      <c r="I197" s="86"/>
      <c r="J197" s="86"/>
      <c r="K197" s="98"/>
      <c r="L197" s="99"/>
      <c r="M197" s="85"/>
      <c r="N197" s="107" t="s">
        <v>16</v>
      </c>
      <c r="O197" s="107"/>
      <c r="P197" s="107"/>
      <c r="Q197" s="107"/>
      <c r="R197" s="1"/>
      <c r="S197" s="1"/>
      <c r="T197" s="1"/>
      <c r="U197" s="1"/>
      <c r="V197" s="1"/>
      <c r="W197" s="89" t="s">
        <v>183</v>
      </c>
      <c r="X197" s="89"/>
      <c r="Y197" s="522"/>
      <c r="AC197" s="108"/>
      <c r="AM197" s="109"/>
    </row>
    <row r="198" spans="1:39" customFormat="1" ht="15" customHeight="1">
      <c r="A198" s="1"/>
      <c r="B198" s="1"/>
      <c r="C198" s="2"/>
      <c r="D198" s="123" t="str">
        <f>'2.1 Model setup'!K70</f>
        <v>1.1 Drift og vedligeholdelse af transformerstationer</v>
      </c>
      <c r="E198" s="1"/>
      <c r="F198" s="100"/>
      <c r="G198" s="100"/>
      <c r="H198" s="100"/>
      <c r="I198" s="100"/>
      <c r="J198" s="100"/>
      <c r="K198" s="87" t="str">
        <f t="shared" ref="K198:K201" si="44" xml:space="preserve"> Model.Units</f>
        <v>DKKt</v>
      </c>
      <c r="L198" s="85">
        <f xml:space="preserve"> -- ( W198 &lt;&gt; 0 )</f>
        <v>0</v>
      </c>
      <c r="M198" s="142"/>
      <c r="N198" s="624">
        <f>W168</f>
        <v>0</v>
      </c>
      <c r="O198" s="502"/>
      <c r="P198" s="502"/>
      <c r="Q198" s="502"/>
      <c r="R198" s="307"/>
      <c r="S198" s="625">
        <f>S168</f>
        <v>0</v>
      </c>
      <c r="T198" s="502"/>
      <c r="U198" s="502"/>
      <c r="V198" s="502"/>
      <c r="W198" s="18">
        <f xml:space="preserve"> N198 - SUM( O198:V198 )</f>
        <v>0</v>
      </c>
      <c r="X198" s="111"/>
      <c r="Y198" s="522"/>
    </row>
    <row r="199" spans="1:39" customFormat="1" ht="15" customHeight="1">
      <c r="A199" s="1"/>
      <c r="B199" s="1"/>
      <c r="C199" s="2"/>
      <c r="D199" s="85" t="str">
        <f>'2.1 Model setup'!K71</f>
        <v>1.2 Drift og vedligeholdelse af ledningsnet</v>
      </c>
      <c r="E199" s="1"/>
      <c r="F199" s="102"/>
      <c r="G199" s="102"/>
      <c r="H199" s="102"/>
      <c r="I199" s="102"/>
      <c r="J199" s="102"/>
      <c r="K199" s="87" t="str">
        <f t="shared" si="44"/>
        <v>DKKt</v>
      </c>
      <c r="L199" s="85">
        <f xml:space="preserve"> -- ( W199 &lt;&gt; 0 )</f>
        <v>0</v>
      </c>
      <c r="M199" s="119"/>
      <c r="N199" s="602">
        <f>W169</f>
        <v>0</v>
      </c>
      <c r="O199" s="501"/>
      <c r="P199" s="501"/>
      <c r="Q199" s="501"/>
      <c r="R199" s="626">
        <f>R169</f>
        <v>0</v>
      </c>
      <c r="S199" s="627">
        <f>S169</f>
        <v>0</v>
      </c>
      <c r="T199" s="627">
        <f>T169</f>
        <v>0</v>
      </c>
      <c r="U199" s="501"/>
      <c r="V199" s="501"/>
      <c r="W199" s="4">
        <f t="shared" ref="W199:W201" si="45" xml:space="preserve"> N199 - SUM( O199:V199 )</f>
        <v>0</v>
      </c>
      <c r="X199" s="111"/>
      <c r="Y199" s="522"/>
    </row>
    <row r="200" spans="1:39" customFormat="1" ht="15" customHeight="1">
      <c r="A200" s="1"/>
      <c r="B200" s="1"/>
      <c r="C200" s="2"/>
      <c r="D200" s="85" t="str">
        <f>'2.1 Model setup'!K78</f>
        <v>4.1 Omkostninger vedrørende nettab i transformerstationer</v>
      </c>
      <c r="E200" s="1"/>
      <c r="F200" s="102"/>
      <c r="G200" s="102"/>
      <c r="H200" s="102"/>
      <c r="I200" s="102"/>
      <c r="J200" s="102"/>
      <c r="K200" s="87" t="str">
        <f t="shared" si="44"/>
        <v>DKKt</v>
      </c>
      <c r="L200" s="85">
        <f xml:space="preserve"> -- ( W200 &lt;&gt; 0 )</f>
        <v>0</v>
      </c>
      <c r="M200" s="119"/>
      <c r="N200" s="602">
        <f>W170</f>
        <v>0</v>
      </c>
      <c r="O200" s="501"/>
      <c r="P200" s="501"/>
      <c r="Q200" s="501"/>
      <c r="R200" s="501"/>
      <c r="S200" s="627">
        <f>S170</f>
        <v>0</v>
      </c>
      <c r="T200" s="501"/>
      <c r="U200" s="501"/>
      <c r="V200" s="501"/>
      <c r="W200" s="4">
        <f t="shared" si="45"/>
        <v>0</v>
      </c>
      <c r="X200" s="111"/>
      <c r="Y200" s="121"/>
    </row>
    <row r="201" spans="1:39" customFormat="1" ht="15" customHeight="1">
      <c r="A201" s="1"/>
      <c r="B201" s="1"/>
      <c r="C201" s="2"/>
      <c r="D201" s="99" t="str">
        <f>'2.1 Model setup'!K79</f>
        <v>4.2 Omkostninger vedrørende nettab i ledningsnettet</v>
      </c>
      <c r="E201" s="1"/>
      <c r="F201" s="102"/>
      <c r="G201" s="102"/>
      <c r="H201" s="102"/>
      <c r="I201" s="102"/>
      <c r="J201" s="102"/>
      <c r="K201" s="87" t="str">
        <f t="shared" si="44"/>
        <v>DKKt</v>
      </c>
      <c r="L201" s="85">
        <f xml:space="preserve"> -- ( W201 &lt;&gt; 0 )</f>
        <v>0</v>
      </c>
      <c r="M201" s="119"/>
      <c r="N201" s="602">
        <f>W171</f>
        <v>0</v>
      </c>
      <c r="O201" s="501"/>
      <c r="P201" s="501"/>
      <c r="Q201" s="501"/>
      <c r="R201" s="627">
        <f>R171</f>
        <v>0</v>
      </c>
      <c r="S201" s="627">
        <f>S171</f>
        <v>0</v>
      </c>
      <c r="T201" s="627">
        <f>T171</f>
        <v>0</v>
      </c>
      <c r="U201" s="501"/>
      <c r="V201" s="501"/>
      <c r="W201" s="4">
        <f t="shared" si="45"/>
        <v>0</v>
      </c>
      <c r="X201" s="111"/>
      <c r="Y201" s="121"/>
    </row>
    <row r="202" spans="1:39" customFormat="1" ht="15" customHeight="1">
      <c r="A202" s="1"/>
      <c r="B202" s="1"/>
      <c r="C202" s="2"/>
      <c r="D202" s="97" t="s">
        <v>16</v>
      </c>
      <c r="E202" s="33"/>
      <c r="F202" s="96"/>
      <c r="G202" s="96"/>
      <c r="H202" s="96"/>
      <c r="I202" s="96"/>
      <c r="J202" s="96"/>
      <c r="K202" s="106" t="str">
        <f xml:space="preserve"> Model.Units</f>
        <v>DKKt</v>
      </c>
      <c r="L202" s="90"/>
      <c r="M202" s="139"/>
      <c r="N202" s="361">
        <f xml:space="preserve"> SUM( N198:N201 )</f>
        <v>0</v>
      </c>
      <c r="O202" s="361">
        <f xml:space="preserve"> SUM( O198:O201 )</f>
        <v>0</v>
      </c>
      <c r="P202" s="361">
        <f xml:space="preserve"> SUM( P198:P201 )</f>
        <v>0</v>
      </c>
      <c r="Q202" s="271"/>
      <c r="R202" s="361">
        <f xml:space="preserve"> SUM( R198:R201 )</f>
        <v>0</v>
      </c>
      <c r="S202" s="361">
        <f xml:space="preserve"> SUM( S198:S201 )</f>
        <v>0</v>
      </c>
      <c r="T202" s="361">
        <f xml:space="preserve"> SUM( T198:T201 )</f>
        <v>0</v>
      </c>
      <c r="U202" s="271"/>
      <c r="V202" s="271"/>
      <c r="W202" s="361">
        <f xml:space="preserve"> SUM( W198:W201 )</f>
        <v>0</v>
      </c>
      <c r="X202" s="111"/>
      <c r="Y202" s="121"/>
    </row>
    <row r="203" spans="1:39" customFormat="1" ht="15" customHeight="1">
      <c r="A203" s="1"/>
      <c r="B203" s="1"/>
      <c r="C203" s="2"/>
      <c r="D203" s="85"/>
      <c r="E203" s="1"/>
      <c r="F203" s="107"/>
      <c r="G203" s="107"/>
      <c r="H203" s="107"/>
      <c r="I203" s="107"/>
      <c r="J203" s="107"/>
      <c r="K203" s="87"/>
      <c r="L203" s="85"/>
      <c r="M203" s="85"/>
      <c r="N203" s="107"/>
      <c r="O203" s="107"/>
      <c r="P203" s="107"/>
      <c r="Q203" s="107"/>
      <c r="R203" s="1"/>
      <c r="S203" s="1"/>
      <c r="T203" s="1"/>
      <c r="U203" s="1"/>
      <c r="V203" s="1"/>
      <c r="W203" s="1"/>
      <c r="X203" s="1"/>
      <c r="Y203" s="1"/>
    </row>
    <row r="204" spans="1:39" customFormat="1" ht="15" customHeight="1">
      <c r="A204" s="1"/>
      <c r="B204" s="1"/>
      <c r="C204" s="2"/>
      <c r="D204" s="85"/>
      <c r="E204" s="1"/>
      <c r="F204" s="107"/>
      <c r="G204" s="107"/>
      <c r="H204" s="107"/>
      <c r="I204" s="107"/>
      <c r="J204" s="107"/>
      <c r="K204" s="87"/>
      <c r="L204" s="85"/>
      <c r="M204" s="85"/>
      <c r="N204" s="107"/>
      <c r="O204" s="107"/>
      <c r="P204" s="107"/>
      <c r="Q204" s="107"/>
      <c r="R204" s="1"/>
      <c r="S204" s="1"/>
      <c r="T204" s="1"/>
      <c r="U204" s="1"/>
      <c r="V204" s="1"/>
      <c r="W204" s="1"/>
      <c r="X204" s="1"/>
      <c r="Y204" s="1"/>
    </row>
    <row r="205" spans="1:39" customFormat="1" ht="15" customHeight="1">
      <c r="A205" s="1"/>
      <c r="B205" s="1"/>
      <c r="C205" s="2"/>
      <c r="D205" s="85"/>
      <c r="E205" s="1"/>
      <c r="F205" s="107"/>
      <c r="G205" s="107"/>
      <c r="H205" s="107"/>
      <c r="I205" s="107"/>
      <c r="J205" s="107"/>
      <c r="K205" s="87"/>
      <c r="L205" s="85"/>
      <c r="M205" s="85"/>
      <c r="N205" s="107"/>
      <c r="O205" s="107"/>
      <c r="P205" s="107"/>
      <c r="Q205" s="107"/>
      <c r="R205" s="1"/>
      <c r="S205" s="1"/>
      <c r="T205" s="1"/>
      <c r="U205" s="1"/>
      <c r="V205" s="1"/>
      <c r="W205" s="1"/>
      <c r="X205" s="1"/>
      <c r="Y205" s="1"/>
    </row>
    <row r="206" spans="1:39" s="475" customFormat="1" ht="15" customHeight="1">
      <c r="B206" s="479" t="s">
        <v>104</v>
      </c>
      <c r="C206" s="477"/>
      <c r="D206" s="478"/>
      <c r="K206" s="472"/>
    </row>
  </sheetData>
  <sheetProtection sheet="1" objects="1" scenarios="1"/>
  <protectedRanges>
    <protectedRange sqref="N16:Y30" name="Range1"/>
  </protectedRanges>
  <mergeCells count="7">
    <mergeCell ref="O14:P15"/>
    <mergeCell ref="U14:U15"/>
    <mergeCell ref="V14:V15"/>
    <mergeCell ref="Q14:Q15"/>
    <mergeCell ref="R14:R15"/>
    <mergeCell ref="S14:S15"/>
    <mergeCell ref="T14:T15"/>
  </mergeCells>
  <phoneticPr fontId="58" type="noConversion"/>
  <conditionalFormatting sqref="I4:I5">
    <cfRule type="cellIs" dxfId="78" priority="270" operator="between">
      <formula>-ErrorTolerance</formula>
      <formula>ErrorTolerance</formula>
    </cfRule>
  </conditionalFormatting>
  <conditionalFormatting sqref="B2:E3 J2:Q3">
    <cfRule type="expression" dxfId="77" priority="271">
      <formula>$I$4&lt;ErrorTolerance</formula>
    </cfRule>
  </conditionalFormatting>
  <conditionalFormatting sqref="B3">
    <cfRule type="expression" dxfId="76" priority="272">
      <formula>$I$5&gt;=ErrorTolerance</formula>
    </cfRule>
  </conditionalFormatting>
  <conditionalFormatting sqref="M16:M19 M50:M54 M193:M194 M200:M201">
    <cfRule type="cellIs" dxfId="75" priority="266" operator="greaterThan">
      <formula>0</formula>
    </cfRule>
  </conditionalFormatting>
  <conditionalFormatting sqref="L16:L19 L50:L54 L68:L72 L75:L79 L82:L88 L117:L121 L191:L194">
    <cfRule type="cellIs" dxfId="74" priority="265" operator="greaterThan">
      <formula>0</formula>
    </cfRule>
  </conditionalFormatting>
  <conditionalFormatting sqref="M18">
    <cfRule type="cellIs" dxfId="73" priority="264" operator="greaterThan">
      <formula>0</formula>
    </cfRule>
  </conditionalFormatting>
  <conditionalFormatting sqref="AM15">
    <cfRule type="expression" dxfId="72" priority="262">
      <formula>$L$16 &lt;&gt; 0</formula>
    </cfRule>
  </conditionalFormatting>
  <conditionalFormatting sqref="M20">
    <cfRule type="cellIs" dxfId="71" priority="257" operator="greaterThan">
      <formula>0</formula>
    </cfRule>
  </conditionalFormatting>
  <conditionalFormatting sqref="L35">
    <cfRule type="cellIs" dxfId="70" priority="256" operator="greaterThan">
      <formula>0</formula>
    </cfRule>
  </conditionalFormatting>
  <conditionalFormatting sqref="I6">
    <cfRule type="cellIs" dxfId="69" priority="226" operator="between">
      <formula>-ErrorTolerance</formula>
      <formula>ErrorTolerance</formula>
    </cfRule>
  </conditionalFormatting>
  <conditionalFormatting sqref="I7">
    <cfRule type="cellIs" dxfId="68" priority="225" operator="between">
      <formula>-ErrorTolerance</formula>
      <formula>ErrorTolerance</formula>
    </cfRule>
  </conditionalFormatting>
  <conditionalFormatting sqref="M35">
    <cfRule type="cellIs" dxfId="67" priority="221" operator="greaterThan">
      <formula>0</formula>
    </cfRule>
  </conditionalFormatting>
  <conditionalFormatting sqref="H2">
    <cfRule type="expression" dxfId="66" priority="220">
      <formula>Model.Navigation.View=No</formula>
    </cfRule>
  </conditionalFormatting>
  <conditionalFormatting sqref="H2">
    <cfRule type="expression" dxfId="65" priority="219">
      <formula>Model.Navigation.View=No</formula>
    </cfRule>
  </conditionalFormatting>
  <conditionalFormatting sqref="F2">
    <cfRule type="expression" dxfId="64" priority="218">
      <formula>Model.Navigation.View=No</formula>
    </cfRule>
  </conditionalFormatting>
  <conditionalFormatting sqref="F2">
    <cfRule type="expression" dxfId="63" priority="217">
      <formula>Model.Navigation.View=No</formula>
    </cfRule>
  </conditionalFormatting>
  <conditionalFormatting sqref="I2">
    <cfRule type="expression" dxfId="62" priority="216">
      <formula>Model.Navigation.View=No</formula>
    </cfRule>
  </conditionalFormatting>
  <conditionalFormatting sqref="I2">
    <cfRule type="expression" dxfId="61" priority="215">
      <formula>Model.Navigation.View=No</formula>
    </cfRule>
  </conditionalFormatting>
  <conditionalFormatting sqref="L36">
    <cfRule type="cellIs" dxfId="60" priority="187" operator="greaterThan">
      <formula>0</formula>
    </cfRule>
  </conditionalFormatting>
  <conditionalFormatting sqref="L37">
    <cfRule type="cellIs" dxfId="59" priority="185" operator="greaterThan">
      <formula>0</formula>
    </cfRule>
  </conditionalFormatting>
  <conditionalFormatting sqref="M37">
    <cfRule type="cellIs" dxfId="58" priority="180" operator="greaterThan">
      <formula>0</formula>
    </cfRule>
  </conditionalFormatting>
  <conditionalFormatting sqref="M36">
    <cfRule type="cellIs" dxfId="57" priority="181" operator="greaterThan">
      <formula>0</formula>
    </cfRule>
  </conditionalFormatting>
  <conditionalFormatting sqref="M82:M85">
    <cfRule type="cellIs" dxfId="56" priority="170" operator="greaterThan">
      <formula>0</formula>
    </cfRule>
  </conditionalFormatting>
  <conditionalFormatting sqref="M75:M78">
    <cfRule type="cellIs" dxfId="55" priority="172" operator="greaterThan">
      <formula>0</formula>
    </cfRule>
  </conditionalFormatting>
  <conditionalFormatting sqref="M79">
    <cfRule type="cellIs" dxfId="54" priority="169" operator="greaterThan">
      <formula>0</formula>
    </cfRule>
  </conditionalFormatting>
  <conditionalFormatting sqref="M86:M88">
    <cfRule type="cellIs" dxfId="53" priority="168" operator="greaterThan">
      <formula>0</formula>
    </cfRule>
  </conditionalFormatting>
  <conditionalFormatting sqref="M72">
    <cfRule type="cellIs" dxfId="52" priority="165" operator="greaterThan">
      <formula>0</formula>
    </cfRule>
  </conditionalFormatting>
  <conditionalFormatting sqref="M68:M71">
    <cfRule type="cellIs" dxfId="51" priority="166" operator="greaterThan">
      <formula>0</formula>
    </cfRule>
  </conditionalFormatting>
  <conditionalFormatting sqref="L93:L96">
    <cfRule type="cellIs" dxfId="50" priority="164" operator="greaterThan">
      <formula>0</formula>
    </cfRule>
  </conditionalFormatting>
  <conditionalFormatting sqref="M93:M96">
    <cfRule type="cellIs" dxfId="49" priority="163" operator="greaterThan">
      <formula>0</formula>
    </cfRule>
  </conditionalFormatting>
  <conditionalFormatting sqref="L99:L102">
    <cfRule type="cellIs" dxfId="48" priority="157" operator="greaterThan">
      <formula>0</formula>
    </cfRule>
  </conditionalFormatting>
  <conditionalFormatting sqref="M99:M102">
    <cfRule type="cellIs" dxfId="47" priority="156" operator="greaterThan">
      <formula>0</formula>
    </cfRule>
  </conditionalFormatting>
  <conditionalFormatting sqref="M117:M120">
    <cfRule type="cellIs" dxfId="46" priority="149" operator="greaterThan">
      <formula>0</formula>
    </cfRule>
  </conditionalFormatting>
  <conditionalFormatting sqref="M121">
    <cfRule type="cellIs" dxfId="45" priority="148" operator="greaterThan">
      <formula>0</formula>
    </cfRule>
  </conditionalFormatting>
  <conditionalFormatting sqref="L124:L127">
    <cfRule type="cellIs" dxfId="44" priority="144" operator="greaterThan">
      <formula>0</formula>
    </cfRule>
  </conditionalFormatting>
  <conditionalFormatting sqref="M124:M127">
    <cfRule type="cellIs" dxfId="43" priority="146" operator="greaterThan">
      <formula>0</formula>
    </cfRule>
  </conditionalFormatting>
  <conditionalFormatting sqref="M128">
    <cfRule type="cellIs" dxfId="42" priority="145" operator="greaterThan">
      <formula>0</formula>
    </cfRule>
  </conditionalFormatting>
  <conditionalFormatting sqref="M135">
    <cfRule type="cellIs" dxfId="41" priority="131" operator="greaterThan">
      <formula>0</formula>
    </cfRule>
  </conditionalFormatting>
  <conditionalFormatting sqref="L135">
    <cfRule type="cellIs" dxfId="40" priority="132" operator="greaterThan">
      <formula>0</formula>
    </cfRule>
  </conditionalFormatting>
  <conditionalFormatting sqref="M182:M185">
    <cfRule type="cellIs" dxfId="39" priority="123" operator="greaterThan">
      <formula>0</formula>
    </cfRule>
  </conditionalFormatting>
  <conditionalFormatting sqref="M186">
    <cfRule type="cellIs" dxfId="38" priority="122" operator="greaterThan">
      <formula>0</formula>
    </cfRule>
  </conditionalFormatting>
  <conditionalFormatting sqref="L182:L185">
    <cfRule type="cellIs" dxfId="37" priority="119" operator="greaterThan">
      <formula>0</formula>
    </cfRule>
  </conditionalFormatting>
  <conditionalFormatting sqref="L34">
    <cfRule type="cellIs" dxfId="36" priority="115" operator="greaterThan">
      <formula>0</formula>
    </cfRule>
  </conditionalFormatting>
  <conditionalFormatting sqref="M34">
    <cfRule type="cellIs" dxfId="35" priority="114" operator="greaterThan">
      <formula>0</formula>
    </cfRule>
  </conditionalFormatting>
  <conditionalFormatting sqref="L128">
    <cfRule type="cellIs" dxfId="34" priority="110" operator="greaterThan">
      <formula>0</formula>
    </cfRule>
  </conditionalFormatting>
  <conditionalFormatting sqref="M175:M178">
    <cfRule type="cellIs" dxfId="33" priority="108" operator="greaterThan">
      <formula>0</formula>
    </cfRule>
  </conditionalFormatting>
  <conditionalFormatting sqref="L179:M179">
    <cfRule type="cellIs" dxfId="32" priority="107" operator="greaterThan">
      <formula>0</formula>
    </cfRule>
  </conditionalFormatting>
  <conditionalFormatting sqref="L175:L178">
    <cfRule type="cellIs" dxfId="31" priority="106" operator="greaterThan">
      <formula>0</formula>
    </cfRule>
  </conditionalFormatting>
  <conditionalFormatting sqref="M168:M171">
    <cfRule type="cellIs" dxfId="30" priority="105" operator="greaterThan">
      <formula>0</formula>
    </cfRule>
  </conditionalFormatting>
  <conditionalFormatting sqref="L172:M172">
    <cfRule type="cellIs" dxfId="29" priority="104" operator="greaterThan">
      <formula>0</formula>
    </cfRule>
  </conditionalFormatting>
  <conditionalFormatting sqref="L168:L171">
    <cfRule type="cellIs" dxfId="28" priority="103" operator="greaterThan">
      <formula>0</formula>
    </cfRule>
  </conditionalFormatting>
  <conditionalFormatting sqref="M162:M165">
    <cfRule type="cellIs" dxfId="27" priority="102" operator="greaterThan">
      <formula>0</formula>
    </cfRule>
  </conditionalFormatting>
  <conditionalFormatting sqref="L162:L165">
    <cfRule type="cellIs" dxfId="26" priority="101" operator="greaterThan">
      <formula>0</formula>
    </cfRule>
  </conditionalFormatting>
  <conditionalFormatting sqref="M156:M159">
    <cfRule type="cellIs" dxfId="25" priority="100" operator="greaterThan">
      <formula>0</formula>
    </cfRule>
  </conditionalFormatting>
  <conditionalFormatting sqref="L156:L159">
    <cfRule type="cellIs" dxfId="24" priority="99" operator="greaterThan">
      <formula>0</formula>
    </cfRule>
  </conditionalFormatting>
  <conditionalFormatting sqref="L186">
    <cfRule type="cellIs" dxfId="23" priority="98" operator="greaterThan">
      <formula>0</formula>
    </cfRule>
  </conditionalFormatting>
  <conditionalFormatting sqref="M144:M147">
    <cfRule type="cellIs" dxfId="22" priority="97" operator="greaterThan">
      <formula>0</formula>
    </cfRule>
  </conditionalFormatting>
  <conditionalFormatting sqref="L144:L147">
    <cfRule type="cellIs" dxfId="21" priority="96" operator="greaterThan">
      <formula>0</formula>
    </cfRule>
  </conditionalFormatting>
  <conditionalFormatting sqref="M138:M141">
    <cfRule type="cellIs" dxfId="20" priority="95" operator="greaterThan">
      <formula>0</formula>
    </cfRule>
  </conditionalFormatting>
  <conditionalFormatting sqref="L138:L141">
    <cfRule type="cellIs" dxfId="19" priority="94" operator="greaterThan">
      <formula>0</formula>
    </cfRule>
  </conditionalFormatting>
  <conditionalFormatting sqref="AM190">
    <cfRule type="expression" dxfId="18" priority="87">
      <formula>#REF! &lt;&gt; 0</formula>
    </cfRule>
  </conditionalFormatting>
  <conditionalFormatting sqref="M195">
    <cfRule type="cellIs" dxfId="17" priority="86" operator="greaterThan">
      <formula>0</formula>
    </cfRule>
  </conditionalFormatting>
  <conditionalFormatting sqref="L195">
    <cfRule type="cellIs" dxfId="16" priority="75" operator="greaterThan">
      <formula>0</formula>
    </cfRule>
  </conditionalFormatting>
  <conditionalFormatting sqref="M198:M199">
    <cfRule type="cellIs" dxfId="15" priority="58" operator="greaterThan">
      <formula>0</formula>
    </cfRule>
  </conditionalFormatting>
  <conditionalFormatting sqref="M202">
    <cfRule type="cellIs" dxfId="14" priority="56" operator="greaterThan">
      <formula>0</formula>
    </cfRule>
  </conditionalFormatting>
  <conditionalFormatting sqref="M200">
    <cfRule type="cellIs" dxfId="13" priority="53" operator="greaterThan">
      <formula>0</formula>
    </cfRule>
  </conditionalFormatting>
  <conditionalFormatting sqref="AM197">
    <cfRule type="expression" dxfId="12" priority="51">
      <formula>$L$34 &lt;&gt; 0</formula>
    </cfRule>
  </conditionalFormatting>
  <conditionalFormatting sqref="L198">
    <cfRule type="cellIs" dxfId="11" priority="28" operator="greaterThan">
      <formula>0</formula>
    </cfRule>
  </conditionalFormatting>
  <conditionalFormatting sqref="L199">
    <cfRule type="cellIs" dxfId="10" priority="27" operator="greaterThan">
      <formula>0</formula>
    </cfRule>
  </conditionalFormatting>
  <conditionalFormatting sqref="L200">
    <cfRule type="cellIs" dxfId="9" priority="26" operator="greaterThan">
      <formula>0</formula>
    </cfRule>
  </conditionalFormatting>
  <conditionalFormatting sqref="L201">
    <cfRule type="cellIs" dxfId="8" priority="25" operator="greaterThan">
      <formula>0</formula>
    </cfRule>
  </conditionalFormatting>
  <conditionalFormatting sqref="L202">
    <cfRule type="cellIs" dxfId="7" priority="23" operator="greaterThan">
      <formula>0</formula>
    </cfRule>
  </conditionalFormatting>
  <conditionalFormatting sqref="M191:M192">
    <cfRule type="cellIs" dxfId="6" priority="14" operator="greaterThan">
      <formula>0</formula>
    </cfRule>
  </conditionalFormatting>
  <conditionalFormatting sqref="G2">
    <cfRule type="expression" dxfId="5" priority="8">
      <formula>Model.Navigation.View=No</formula>
    </cfRule>
  </conditionalFormatting>
  <conditionalFormatting sqref="G2">
    <cfRule type="expression" dxfId="4" priority="7">
      <formula>Model.Navigation.View=No</formula>
    </cfRule>
  </conditionalFormatting>
  <conditionalFormatting sqref="L62:L65">
    <cfRule type="cellIs" dxfId="3" priority="4" operator="greaterThan">
      <formula>0</formula>
    </cfRule>
  </conditionalFormatting>
  <conditionalFormatting sqref="L111:L114">
    <cfRule type="cellIs" dxfId="2" priority="3" operator="greaterThan">
      <formula>0</formula>
    </cfRule>
  </conditionalFormatting>
  <conditionalFormatting sqref="L150:L153">
    <cfRule type="cellIs" dxfId="1" priority="1" operator="greaterThan">
      <formula>0</formula>
    </cfRule>
  </conditionalFormatting>
  <conditionalFormatting sqref="M150:M153">
    <cfRule type="cellIs" dxfId="0" priority="2" operator="greaterThan">
      <formula>0</formula>
    </cfRule>
  </conditionalFormatting>
  <hyperlinks>
    <hyperlink ref="G2" location="'Hjælpeark, fall-back metoden'!Print_Titles" tooltip="Gå til toppen af arket" display="'Hjælpeark, fall-back metoden'!Print_Titles" xr:uid="{3AD0CE53-0F37-4DA7-B1BF-43E6250849D8}"/>
    <hyperlink ref="H2" location="'2.3 Selskabsspecifikke input'!B2" tooltip="Gå til selskabsspecifikke input" display="'2.3 Selskabsspecifikke input'!B2" xr:uid="{4B7B1123-A764-447D-83F6-1B6FED06A771}"/>
    <hyperlink ref="F2" location="Modeloverblik!B2" tooltip="Gå til modelbeskrivelse" display="Modeloverblik!B2" xr:uid="{D7B3E314-D643-4E2A-AE5B-16ABF72DF959}"/>
    <hyperlink ref="I2" location="'4.1 Fejl- og kontroloversigt'!B2" tooltip="Gå til fejl- og kontrolchecks" display="'4.1 Fejl- og kontroloversigt'!B2" xr:uid="{6218FAFD-D415-4BD0-847B-AE662DE164BD}"/>
  </hyperlinks>
  <pageMargins left="0.70866141732283472" right="0.70866141732283472" top="0.74803149606299213" bottom="0.74803149606299213" header="0.31496062992125984" footer="0.31496062992125984"/>
  <pageSetup paperSize="9" scale="35" fitToHeight="0" orientation="landscape"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21CF677-7094-4A06-9686-850713928814}">
          <x14:formula1>
            <xm:f>'2.1 Model setup'!$K$135:$K$137</xm:f>
          </x14:formula1>
          <xm:sqref>N27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5C8CC-2DF6-436C-96F3-E2A7846CAE36}">
  <sheetPr codeName="Sheet16">
    <tabColor rgb="FF222221"/>
    <outlinePr summaryBelow="0"/>
    <pageSetUpPr fitToPage="1"/>
  </sheetPr>
  <dimension ref="A1:AR44"/>
  <sheetViews>
    <sheetView showGridLines="0" zoomScale="85" zoomScaleNormal="85" workbookViewId="0">
      <pane xSplit="24" ySplit="10" topLeftCell="Y11" activePane="bottomRight" state="frozen"/>
      <selection activeCell="G5" sqref="G5"/>
      <selection pane="topRight" activeCell="G5" sqref="G5"/>
      <selection pane="bottomLeft" activeCell="G5" sqref="G5"/>
      <selection pane="bottomRight" activeCell="E43" sqref="E43"/>
    </sheetView>
  </sheetViews>
  <sheetFormatPr defaultColWidth="0" defaultRowHeight="15" customHeight="1" outlineLevelCol="1"/>
  <cols>
    <col min="1" max="1" width="1.33203125" style="1" customWidth="1"/>
    <col min="2" max="2" width="4.1640625" style="1" customWidth="1"/>
    <col min="3" max="3" width="4.1640625" style="4" customWidth="1"/>
    <col min="4" max="4" width="4.1640625" style="1" customWidth="1"/>
    <col min="5" max="5" width="116.5" style="1" customWidth="1"/>
    <col min="6" max="10" width="5.6640625" style="1" customWidth="1"/>
    <col min="11" max="14" width="17" style="1" customWidth="1"/>
    <col min="15" max="17" width="2.6640625" style="5" hidden="1" customWidth="1" outlineLevel="1"/>
    <col min="18" max="20" width="49.33203125" style="5" hidden="1" customWidth="1" outlineLevel="1"/>
    <col min="21" max="21" width="9" style="1" hidden="1" customWidth="1" collapsed="1"/>
    <col min="22" max="22" width="9" style="1" hidden="1" customWidth="1"/>
    <col min="23" max="23" width="17" style="5" hidden="1" customWidth="1"/>
    <col min="24" max="34" width="17" style="1" hidden="1" customWidth="1"/>
    <col min="35" max="44" width="0" style="1" hidden="1" customWidth="1"/>
    <col min="45" max="16384" width="16.6640625" style="1" hidden="1"/>
  </cols>
  <sheetData>
    <row r="1" spans="2:24" ht="4.9000000000000004" customHeight="1"/>
    <row r="2" spans="2:24" ht="19.899999999999999" customHeight="1">
      <c r="B2" s="6" t="str">
        <f ca="1" xml:space="preserve"> MID( CELL("filename", B2), FIND("]", CELL("filename",B2) ) + 1, Model.MaxChars)</f>
        <v>Disclaimer</v>
      </c>
      <c r="C2" s="7"/>
      <c r="D2" s="9"/>
      <c r="E2" s="9"/>
      <c r="F2" s="12" t="str">
        <f>'2.1 Model setup'!F2</f>
        <v>&amp;</v>
      </c>
      <c r="G2" s="12" t="str">
        <f xml:space="preserve"> Header.Details</f>
        <v>é</v>
      </c>
      <c r="H2" s="12" t="str">
        <f xml:space="preserve"> Header.Details</f>
        <v>¤</v>
      </c>
      <c r="I2" s="12" t="str">
        <f xml:space="preserve"> Header.Details</f>
        <v></v>
      </c>
      <c r="J2" s="9"/>
      <c r="K2" s="9"/>
      <c r="L2" s="9"/>
      <c r="M2" s="9"/>
      <c r="N2" s="9"/>
      <c r="O2" s="22"/>
      <c r="P2" s="22"/>
      <c r="Q2" s="23"/>
      <c r="R2" s="22"/>
    </row>
    <row r="3" spans="2:24" ht="15" customHeight="1">
      <c r="B3" s="10" t="str">
        <f xml:space="preserve"> Header.Details</f>
        <v xml:space="preserve">Tarifmodel 3.0 og producentbetaling (V2) </v>
      </c>
      <c r="C3" s="7"/>
      <c r="D3" s="9"/>
      <c r="E3" s="9"/>
      <c r="F3" s="9"/>
      <c r="G3" s="9"/>
      <c r="H3" s="9"/>
      <c r="I3" s="9"/>
      <c r="J3" s="9"/>
      <c r="K3" s="9"/>
      <c r="L3" s="9"/>
      <c r="M3" s="9"/>
      <c r="N3" s="9"/>
      <c r="O3" s="22"/>
      <c r="P3" s="22"/>
      <c r="Q3" s="23"/>
      <c r="R3" s="22"/>
    </row>
    <row r="9" spans="2:24" ht="4.1500000000000004" customHeight="1">
      <c r="E9" s="14"/>
      <c r="F9" s="14"/>
      <c r="G9" s="14"/>
      <c r="H9" s="14"/>
      <c r="I9" s="14"/>
      <c r="J9" s="14"/>
      <c r="K9" s="14"/>
      <c r="L9" s="14"/>
      <c r="M9" s="14"/>
      <c r="N9" s="14"/>
      <c r="O9" s="14"/>
      <c r="P9" s="14"/>
      <c r="Q9" s="14"/>
      <c r="R9" s="14"/>
      <c r="S9" s="14"/>
      <c r="T9" s="14"/>
      <c r="U9" s="14"/>
      <c r="V9" s="14"/>
      <c r="W9" s="14"/>
      <c r="X9" s="14"/>
    </row>
    <row r="10" spans="2:24" s="475" customFormat="1" ht="15" customHeight="1">
      <c r="B10" s="479" t="s">
        <v>143</v>
      </c>
      <c r="O10" s="474"/>
      <c r="P10" s="474"/>
      <c r="Q10" s="474"/>
      <c r="R10" s="474"/>
      <c r="S10" s="474"/>
      <c r="T10" s="474"/>
      <c r="U10" s="474"/>
      <c r="V10" s="474"/>
      <c r="W10" s="474"/>
      <c r="X10" s="472"/>
    </row>
    <row r="11" spans="2:24" s="15" customFormat="1" ht="15" customHeight="1">
      <c r="C11" s="18"/>
      <c r="J11" s="1"/>
      <c r="K11" s="1"/>
      <c r="L11" s="1"/>
      <c r="M11" s="1"/>
      <c r="N11" s="1"/>
      <c r="O11" s="19"/>
      <c r="P11" s="19"/>
      <c r="Q11" s="19"/>
      <c r="R11" s="19"/>
      <c r="S11" s="19"/>
      <c r="T11" s="19"/>
      <c r="W11" s="19"/>
    </row>
    <row r="12" spans="2:24" ht="15" customHeight="1">
      <c r="E12" s="65" t="str">
        <f xml:space="preserve"> '2.1 Model setup'!N15</f>
        <v>Tarifmodel 3.0 og producentbetaling</v>
      </c>
      <c r="F12" s="51"/>
      <c r="G12" s="51"/>
      <c r="H12" s="51"/>
      <c r="I12" s="51"/>
      <c r="J12" s="51"/>
      <c r="K12" s="51"/>
      <c r="L12" s="51"/>
      <c r="M12" s="51"/>
      <c r="N12" s="51"/>
    </row>
    <row r="13" spans="2:24" ht="78" customHeight="1">
      <c r="E13" s="66" t="s">
        <v>554</v>
      </c>
      <c r="F13" s="52"/>
      <c r="G13" s="52"/>
      <c r="H13" s="52"/>
      <c r="I13" s="52"/>
      <c r="J13" s="52"/>
      <c r="K13" s="52"/>
      <c r="L13" s="52"/>
      <c r="M13" s="52"/>
      <c r="N13" s="52"/>
    </row>
    <row r="14" spans="2:24" ht="8.65" customHeight="1">
      <c r="E14" s="67"/>
      <c r="F14" s="52"/>
      <c r="G14" s="52"/>
      <c r="H14" s="52"/>
      <c r="I14" s="52"/>
      <c r="J14" s="52"/>
      <c r="K14" s="52"/>
      <c r="L14" s="52"/>
      <c r="M14" s="52"/>
      <c r="N14" s="52"/>
    </row>
    <row r="15" spans="2:24" ht="64.900000000000006" customHeight="1">
      <c r="E15" s="66" t="s">
        <v>555</v>
      </c>
      <c r="F15" s="53"/>
      <c r="G15" s="53"/>
      <c r="H15" s="53"/>
      <c r="I15" s="53"/>
      <c r="J15" s="53"/>
      <c r="K15" s="53"/>
      <c r="L15" s="53"/>
      <c r="M15" s="53"/>
      <c r="N15" s="53"/>
    </row>
    <row r="16" spans="2:24" ht="8.65" customHeight="1">
      <c r="E16" s="66"/>
      <c r="F16" s="53"/>
      <c r="G16" s="53"/>
      <c r="H16" s="53"/>
      <c r="I16" s="53"/>
      <c r="J16" s="53"/>
      <c r="K16" s="53"/>
      <c r="L16" s="53"/>
      <c r="M16" s="53"/>
      <c r="N16" s="53"/>
    </row>
    <row r="17" spans="2:23" ht="38.25">
      <c r="E17" s="68" t="s">
        <v>556</v>
      </c>
      <c r="F17" s="53"/>
      <c r="G17" s="53"/>
      <c r="H17" s="53"/>
      <c r="I17" s="53"/>
      <c r="J17" s="53"/>
      <c r="K17" s="53"/>
      <c r="L17" s="53"/>
      <c r="M17" s="53"/>
      <c r="N17" s="53"/>
    </row>
    <row r="21" spans="2:23" s="475" customFormat="1" ht="15" customHeight="1">
      <c r="B21" s="479" t="s">
        <v>104</v>
      </c>
      <c r="O21" s="472"/>
      <c r="P21" s="472"/>
      <c r="Q21" s="472"/>
      <c r="R21" s="472"/>
      <c r="S21" s="472"/>
      <c r="T21" s="472"/>
      <c r="W21" s="472"/>
    </row>
    <row r="32" spans="2:23" ht="15" customHeight="1">
      <c r="C32" s="1"/>
      <c r="O32" s="1"/>
      <c r="P32" s="1"/>
      <c r="Q32" s="1"/>
      <c r="R32" s="1"/>
      <c r="S32" s="1"/>
      <c r="T32" s="1"/>
      <c r="W32" s="1"/>
    </row>
    <row r="33" s="1" customFormat="1" ht="15" customHeight="1"/>
    <row r="34" s="1" customFormat="1" ht="15" customHeight="1"/>
    <row r="35" s="1" customFormat="1" ht="15" customHeight="1"/>
    <row r="36" s="1" customFormat="1" ht="15" customHeight="1"/>
    <row r="37" s="1" customFormat="1" ht="15" customHeight="1"/>
    <row r="38" s="1" customFormat="1" ht="15" customHeight="1"/>
    <row r="39" s="1" customFormat="1" ht="15" customHeight="1"/>
    <row r="40" s="1" customFormat="1" ht="15" customHeight="1"/>
    <row r="41" s="1" customFormat="1" ht="15" customHeight="1"/>
    <row r="42" s="1" customFormat="1" ht="15" customHeight="1"/>
    <row r="43" s="1" customFormat="1" ht="15" customHeight="1"/>
    <row r="44" s="1" customFormat="1" ht="15" customHeight="1"/>
  </sheetData>
  <sheetProtection sheet="1" objects="1" scenarios="1"/>
  <conditionalFormatting sqref="B2:E2 J2:R2 B3:R3">
    <cfRule type="expression" dxfId="858" priority="18">
      <formula>$C$10&lt;ErrorTolerance</formula>
    </cfRule>
  </conditionalFormatting>
  <conditionalFormatting sqref="B3">
    <cfRule type="expression" dxfId="857" priority="17">
      <formula>$C$11&gt;=ErrorTolerance</formula>
    </cfRule>
  </conditionalFormatting>
  <conditionalFormatting sqref="H2">
    <cfRule type="expression" dxfId="856" priority="8">
      <formula>Model.Navigation.View=No</formula>
    </cfRule>
  </conditionalFormatting>
  <conditionalFormatting sqref="H2">
    <cfRule type="expression" dxfId="855" priority="7">
      <formula>Model.Navigation.View=No</formula>
    </cfRule>
  </conditionalFormatting>
  <conditionalFormatting sqref="F2">
    <cfRule type="expression" dxfId="854" priority="6">
      <formula>Model.Navigation.View=No</formula>
    </cfRule>
  </conditionalFormatting>
  <conditionalFormatting sqref="F2">
    <cfRule type="expression" dxfId="853" priority="5">
      <formula>Model.Navigation.View=No</formula>
    </cfRule>
  </conditionalFormatting>
  <conditionalFormatting sqref="I2">
    <cfRule type="expression" dxfId="852" priority="4">
      <formula>Model.Navigation.View=No</formula>
    </cfRule>
  </conditionalFormatting>
  <conditionalFormatting sqref="I2">
    <cfRule type="expression" dxfId="851" priority="3">
      <formula>Model.Navigation.View=No</formula>
    </cfRule>
  </conditionalFormatting>
  <conditionalFormatting sqref="G2">
    <cfRule type="expression" dxfId="850" priority="2">
      <formula>Model.Navigation.View=No</formula>
    </cfRule>
  </conditionalFormatting>
  <conditionalFormatting sqref="G2">
    <cfRule type="expression" dxfId="849" priority="1">
      <formula>Model.Navigation.View=No</formula>
    </cfRule>
  </conditionalFormatting>
  <hyperlinks>
    <hyperlink ref="G2" location="Disclaimer!B11" tooltip="Gå til toppen af arket" display="Disclaimer!B11" xr:uid="{2AD503CA-250E-4A36-920D-2B0EF0E9BFCC}"/>
    <hyperlink ref="H2" location="'2.3 Selskabsspecifikke input'!B2" tooltip="Gå til selskabsspecifikke input" display="'2.3 Selskabsspecifikke input'!B2" xr:uid="{48DF8E2A-3BFA-4285-BE95-C0380C83BEF7}"/>
    <hyperlink ref="F2" location="Modeloverblik!B2" tooltip="Gå til modelbeskrivelse" display="Modeloverblik!B2" xr:uid="{25016352-2A17-499D-BCD1-89129F310BF8}"/>
    <hyperlink ref="I2" location="'4.1 Fejl- og kontroloversigt'!B2" tooltip="Gå til fejl- og kontrolchecks" display="'4.1 Fejl- og kontroloversigt'!B2" xr:uid="{4F2E8CE1-BAD2-48D6-BACD-95087C3A9CDD}"/>
  </hyperlinks>
  <pageMargins left="0.7" right="0.7" top="0.75" bottom="0.75" header="0.3" footer="0.3"/>
  <pageSetup paperSize="9" scale="75" orientation="portrait"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9795F-D81F-4485-B6A0-586727FA4B8A}">
  <sheetPr>
    <tabColor rgb="FF222221"/>
    <outlinePr summaryBelow="0"/>
    <pageSetUpPr fitToPage="1"/>
  </sheetPr>
  <dimension ref="A1:AU91"/>
  <sheetViews>
    <sheetView showGridLines="0" zoomScale="85" zoomScaleNormal="85" workbookViewId="0">
      <pane xSplit="26" ySplit="10" topLeftCell="AA11" activePane="bottomRight" state="frozen"/>
      <selection pane="topRight"/>
      <selection pane="bottomLeft"/>
      <selection pane="bottomRight"/>
    </sheetView>
  </sheetViews>
  <sheetFormatPr defaultColWidth="0" defaultRowHeight="15" customHeight="1" outlineLevelCol="1"/>
  <cols>
    <col min="1" max="1" width="1.33203125" style="1" customWidth="1"/>
    <col min="2" max="2" width="4.1640625" style="1" customWidth="1"/>
    <col min="3" max="3" width="4.1640625" style="4" customWidth="1"/>
    <col min="4" max="4" width="5.1640625" style="5" customWidth="1"/>
    <col min="5" max="5" width="23.5" style="5" customWidth="1"/>
    <col min="6" max="7" width="21.33203125" style="5" customWidth="1"/>
    <col min="8" max="8" width="131.5" style="1" customWidth="1"/>
    <col min="9" max="12" width="5.6640625" style="1" customWidth="1"/>
    <col min="13" max="16" width="3.5" style="1" customWidth="1"/>
    <col min="17" max="19" width="2.6640625" style="5" hidden="1" customWidth="1" outlineLevel="1"/>
    <col min="20" max="22" width="49.33203125" style="5" hidden="1" customWidth="1" outlineLevel="1"/>
    <col min="23" max="23" width="9" style="1" hidden="1" customWidth="1" collapsed="1"/>
    <col min="24" max="24" width="9" style="1" hidden="1" customWidth="1"/>
    <col min="25" max="25" width="17" style="5" hidden="1" customWidth="1"/>
    <col min="26" max="36" width="17" style="1" hidden="1" customWidth="1"/>
    <col min="37" max="47" width="0" style="1" hidden="1" customWidth="1"/>
    <col min="48" max="16384" width="16.6640625" style="1" hidden="1"/>
  </cols>
  <sheetData>
    <row r="1" spans="2:26" ht="4.9000000000000004" customHeight="1"/>
    <row r="2" spans="2:26" ht="19.899999999999999" customHeight="1">
      <c r="B2" s="6" t="str">
        <f ca="1" xml:space="preserve"> MID( CELL("filename", B2), FIND("]", CELL("filename",B2) ) + 1, Model.MaxChars)</f>
        <v>Opdateringslog, netselskab</v>
      </c>
      <c r="C2" s="7"/>
      <c r="D2" s="24"/>
      <c r="E2" s="24"/>
      <c r="F2" s="24"/>
      <c r="G2" s="24"/>
      <c r="I2" s="12" t="str">
        <f>'2.1 Model setup'!F2</f>
        <v>&amp;</v>
      </c>
      <c r="J2" s="12" t="str">
        <f>'2.1 Model setup'!G2</f>
        <v>é</v>
      </c>
      <c r="K2" s="12" t="str">
        <f>'2.1 Model setup'!H2</f>
        <v>¤</v>
      </c>
      <c r="L2" s="12" t="str">
        <f>'2.1 Model setup'!I2</f>
        <v></v>
      </c>
      <c r="M2" s="9"/>
      <c r="N2" s="9"/>
      <c r="O2" s="9"/>
      <c r="P2" s="9"/>
      <c r="Q2" s="22"/>
      <c r="R2" s="22"/>
      <c r="S2" s="23"/>
      <c r="T2" s="22"/>
    </row>
    <row r="3" spans="2:26" ht="15" customHeight="1">
      <c r="B3" s="10" t="str">
        <f xml:space="preserve"> Header.Details</f>
        <v xml:space="preserve">Tarifmodel 3.0 og producentbetaling (V2) </v>
      </c>
      <c r="C3" s="7"/>
      <c r="D3" s="24"/>
      <c r="E3" s="24"/>
      <c r="F3" s="24"/>
      <c r="G3" s="24"/>
      <c r="H3" s="9"/>
      <c r="I3" s="9"/>
      <c r="J3" s="9"/>
      <c r="K3" s="9"/>
      <c r="L3" s="9"/>
      <c r="M3" s="9"/>
      <c r="N3" s="9"/>
      <c r="O3" s="9"/>
      <c r="P3" s="9"/>
      <c r="Q3" s="22"/>
      <c r="R3" s="22"/>
      <c r="S3" s="23"/>
      <c r="T3" s="22"/>
    </row>
    <row r="9" spans="2:26" ht="4.1500000000000004" customHeight="1">
      <c r="E9" s="54"/>
      <c r="F9" s="54"/>
      <c r="G9" s="54"/>
      <c r="H9" s="14"/>
      <c r="I9" s="14"/>
      <c r="J9" s="14"/>
      <c r="K9" s="14"/>
      <c r="L9" s="14"/>
      <c r="M9" s="14"/>
      <c r="N9" s="14"/>
      <c r="O9" s="14"/>
      <c r="P9" s="14"/>
      <c r="Q9" s="14"/>
      <c r="R9" s="14"/>
      <c r="S9" s="14"/>
      <c r="T9" s="14"/>
      <c r="U9" s="14"/>
      <c r="V9" s="14"/>
      <c r="W9" s="14"/>
      <c r="X9" s="14"/>
      <c r="Y9" s="14"/>
      <c r="Z9" s="14"/>
    </row>
    <row r="10" spans="2:26" s="475" customFormat="1" ht="15" customHeight="1">
      <c r="B10" s="479" t="s">
        <v>101</v>
      </c>
      <c r="D10" s="472"/>
      <c r="E10" s="472"/>
      <c r="F10" s="472"/>
      <c r="G10" s="472"/>
      <c r="Q10" s="474"/>
      <c r="R10" s="474"/>
      <c r="S10" s="474"/>
      <c r="T10" s="474"/>
      <c r="U10" s="474"/>
      <c r="V10" s="474"/>
      <c r="W10" s="474"/>
      <c r="X10" s="474"/>
      <c r="Y10" s="474"/>
      <c r="Z10" s="472"/>
    </row>
    <row r="11" spans="2:26" s="15" customFormat="1" ht="15" customHeight="1">
      <c r="C11" s="18"/>
      <c r="D11" s="19"/>
      <c r="E11" s="19"/>
      <c r="F11" s="19"/>
      <c r="G11" s="19"/>
      <c r="L11" s="1"/>
      <c r="M11" s="1"/>
      <c r="N11" s="1"/>
      <c r="O11" s="1"/>
      <c r="P11" s="1"/>
      <c r="Q11" s="19"/>
      <c r="R11" s="19"/>
      <c r="S11" s="19"/>
      <c r="T11" s="19"/>
      <c r="U11" s="19"/>
      <c r="V11" s="19"/>
      <c r="Y11" s="19"/>
    </row>
    <row r="12" spans="2:26" s="475" customFormat="1" ht="15" customHeight="1">
      <c r="B12" s="476" t="s">
        <v>528</v>
      </c>
      <c r="C12" s="477"/>
      <c r="D12" s="483"/>
      <c r="E12" s="472"/>
      <c r="F12" s="472"/>
      <c r="G12" s="472"/>
      <c r="S12" s="472"/>
    </row>
    <row r="14" spans="2:26" ht="15" customHeight="1">
      <c r="D14" s="5" t="s">
        <v>3</v>
      </c>
      <c r="E14" s="427" t="s">
        <v>523</v>
      </c>
      <c r="F14" s="427" t="s">
        <v>350</v>
      </c>
      <c r="G14" s="427" t="s">
        <v>527</v>
      </c>
      <c r="H14" s="51" t="s">
        <v>148</v>
      </c>
      <c r="I14" s="51"/>
      <c r="J14" s="51"/>
      <c r="K14" s="51"/>
      <c r="L14" s="51"/>
      <c r="M14" s="51"/>
      <c r="N14" s="51"/>
      <c r="O14" s="51"/>
      <c r="P14" s="51"/>
    </row>
    <row r="15" spans="2:26" ht="30" customHeight="1">
      <c r="D15" s="19">
        <v>1</v>
      </c>
      <c r="E15" s="445"/>
      <c r="F15" s="436"/>
      <c r="G15" s="436"/>
      <c r="H15" s="440"/>
      <c r="I15" s="52"/>
      <c r="J15" s="52"/>
      <c r="K15" s="52"/>
      <c r="L15" s="52"/>
      <c r="M15" s="52"/>
      <c r="N15" s="52"/>
      <c r="O15" s="52"/>
      <c r="P15" s="52"/>
    </row>
    <row r="16" spans="2:26" ht="34.9" customHeight="1">
      <c r="D16" s="5">
        <f xml:space="preserve"> D15 + 1</f>
        <v>2</v>
      </c>
      <c r="E16" s="444"/>
      <c r="F16" s="437"/>
      <c r="G16" s="437"/>
      <c r="H16" s="441"/>
      <c r="I16" s="52"/>
      <c r="J16" s="52"/>
      <c r="K16" s="52"/>
      <c r="L16" s="52"/>
      <c r="M16" s="52"/>
      <c r="N16" s="52"/>
      <c r="O16" s="52"/>
      <c r="P16" s="52"/>
    </row>
    <row r="17" spans="4:16" ht="34.9" customHeight="1">
      <c r="D17" s="5">
        <f t="shared" ref="D17:D64" si="0" xml:space="preserve"> D16 + 1</f>
        <v>3</v>
      </c>
      <c r="E17" s="444"/>
      <c r="F17" s="438"/>
      <c r="G17" s="438"/>
      <c r="H17" s="442"/>
      <c r="I17" s="53"/>
      <c r="J17" s="53"/>
      <c r="K17" s="53"/>
      <c r="L17" s="53"/>
      <c r="M17" s="53"/>
      <c r="N17" s="53"/>
      <c r="O17" s="53"/>
      <c r="P17" s="53"/>
    </row>
    <row r="18" spans="4:16" ht="34.9" customHeight="1">
      <c r="D18" s="5">
        <f t="shared" si="0"/>
        <v>4</v>
      </c>
      <c r="E18" s="444"/>
      <c r="F18" s="438"/>
      <c r="G18" s="438"/>
      <c r="H18" s="442"/>
      <c r="I18" s="53"/>
      <c r="J18" s="53"/>
      <c r="K18" s="53"/>
      <c r="L18" s="53"/>
      <c r="M18" s="53"/>
      <c r="N18" s="53"/>
      <c r="O18" s="53"/>
      <c r="P18" s="53"/>
    </row>
    <row r="19" spans="4:16" ht="34.9" customHeight="1">
      <c r="D19" s="5">
        <f t="shared" si="0"/>
        <v>5</v>
      </c>
      <c r="E19" s="444"/>
      <c r="F19" s="438"/>
      <c r="G19" s="438"/>
      <c r="H19" s="442"/>
      <c r="I19" s="53"/>
      <c r="J19" s="53"/>
      <c r="K19" s="53"/>
      <c r="L19" s="53"/>
      <c r="M19" s="53"/>
      <c r="N19" s="53"/>
      <c r="O19" s="53"/>
      <c r="P19" s="53"/>
    </row>
    <row r="20" spans="4:16" ht="34.9" customHeight="1">
      <c r="D20" s="5">
        <f t="shared" si="0"/>
        <v>6</v>
      </c>
      <c r="E20" s="444"/>
      <c r="F20" s="438"/>
      <c r="G20" s="438"/>
      <c r="H20" s="442"/>
      <c r="I20" s="53"/>
      <c r="J20" s="53"/>
      <c r="K20" s="53"/>
      <c r="L20" s="53"/>
      <c r="M20" s="53"/>
      <c r="N20" s="53"/>
      <c r="O20" s="53"/>
      <c r="P20" s="53"/>
    </row>
    <row r="21" spans="4:16" ht="34.9" customHeight="1">
      <c r="D21" s="5">
        <f t="shared" si="0"/>
        <v>7</v>
      </c>
      <c r="E21" s="444"/>
      <c r="F21" s="438"/>
      <c r="G21" s="438"/>
      <c r="H21" s="442"/>
      <c r="I21" s="53"/>
      <c r="J21" s="53"/>
      <c r="K21" s="53"/>
      <c r="L21" s="53"/>
      <c r="M21" s="53"/>
      <c r="N21" s="53"/>
      <c r="O21" s="53"/>
      <c r="P21" s="53"/>
    </row>
    <row r="22" spans="4:16" ht="34.9" customHeight="1">
      <c r="D22" s="5">
        <f t="shared" si="0"/>
        <v>8</v>
      </c>
      <c r="E22" s="444"/>
      <c r="F22" s="438"/>
      <c r="G22" s="438"/>
      <c r="H22" s="442"/>
      <c r="I22" s="53"/>
      <c r="J22" s="53"/>
      <c r="K22" s="53"/>
      <c r="L22" s="53"/>
      <c r="M22" s="53"/>
      <c r="N22" s="53"/>
      <c r="O22" s="53"/>
      <c r="P22" s="53"/>
    </row>
    <row r="23" spans="4:16" ht="34.9" customHeight="1">
      <c r="D23" s="5">
        <f t="shared" si="0"/>
        <v>9</v>
      </c>
      <c r="E23" s="444"/>
      <c r="F23" s="438"/>
      <c r="G23" s="438"/>
      <c r="H23" s="442"/>
      <c r="I23" s="53"/>
      <c r="J23" s="53"/>
      <c r="K23" s="53"/>
      <c r="L23" s="53"/>
      <c r="M23" s="53"/>
      <c r="N23" s="53"/>
      <c r="O23" s="53"/>
      <c r="P23" s="53"/>
    </row>
    <row r="24" spans="4:16" ht="34.9" customHeight="1">
      <c r="D24" s="5">
        <f t="shared" si="0"/>
        <v>10</v>
      </c>
      <c r="E24" s="454"/>
      <c r="F24" s="455"/>
      <c r="G24" s="455"/>
      <c r="H24" s="456"/>
      <c r="I24" s="53"/>
      <c r="J24" s="53"/>
      <c r="K24" s="53"/>
      <c r="L24" s="53"/>
      <c r="M24" s="53"/>
      <c r="N24" s="53"/>
      <c r="O24" s="53"/>
      <c r="P24" s="53"/>
    </row>
    <row r="25" spans="4:16" ht="34.9" customHeight="1">
      <c r="D25" s="5">
        <f t="shared" si="0"/>
        <v>11</v>
      </c>
      <c r="E25" s="454"/>
      <c r="F25" s="455"/>
      <c r="G25" s="455"/>
      <c r="H25" s="456"/>
      <c r="I25" s="53"/>
      <c r="J25" s="53"/>
      <c r="K25" s="53"/>
      <c r="L25" s="53"/>
      <c r="M25" s="53"/>
      <c r="N25" s="53"/>
      <c r="O25" s="53"/>
      <c r="P25" s="53"/>
    </row>
    <row r="26" spans="4:16" ht="34.9" customHeight="1">
      <c r="D26" s="5">
        <f t="shared" si="0"/>
        <v>12</v>
      </c>
      <c r="E26" s="454"/>
      <c r="F26" s="455"/>
      <c r="G26" s="455"/>
      <c r="H26" s="456"/>
      <c r="I26" s="53"/>
      <c r="J26" s="53"/>
      <c r="K26" s="53"/>
      <c r="L26" s="53"/>
      <c r="M26" s="53"/>
      <c r="N26" s="53"/>
      <c r="O26" s="53"/>
      <c r="P26" s="53"/>
    </row>
    <row r="27" spans="4:16" ht="34.9" customHeight="1">
      <c r="D27" s="5">
        <f t="shared" si="0"/>
        <v>13</v>
      </c>
      <c r="E27" s="454"/>
      <c r="F27" s="455"/>
      <c r="G27" s="455"/>
      <c r="H27" s="456"/>
      <c r="I27" s="53"/>
      <c r="J27" s="53"/>
      <c r="K27" s="53"/>
      <c r="L27" s="53"/>
      <c r="M27" s="53"/>
      <c r="N27" s="53"/>
      <c r="O27" s="53"/>
      <c r="P27" s="53"/>
    </row>
    <row r="28" spans="4:16" ht="34.9" customHeight="1">
      <c r="D28" s="5">
        <f t="shared" si="0"/>
        <v>14</v>
      </c>
      <c r="E28" s="454"/>
      <c r="F28" s="455"/>
      <c r="G28" s="455"/>
      <c r="H28" s="456"/>
      <c r="I28" s="53"/>
      <c r="J28" s="53"/>
      <c r="K28" s="53"/>
      <c r="L28" s="53"/>
      <c r="M28" s="53"/>
      <c r="N28" s="53"/>
      <c r="O28" s="53"/>
      <c r="P28" s="53"/>
    </row>
    <row r="29" spans="4:16" ht="34.9" customHeight="1">
      <c r="D29" s="5">
        <f t="shared" si="0"/>
        <v>15</v>
      </c>
      <c r="E29" s="454"/>
      <c r="F29" s="455"/>
      <c r="G29" s="455"/>
      <c r="H29" s="456"/>
      <c r="I29" s="53"/>
      <c r="J29" s="53"/>
      <c r="K29" s="53"/>
      <c r="L29" s="53"/>
      <c r="M29" s="53"/>
      <c r="N29" s="53"/>
      <c r="O29" s="53"/>
      <c r="P29" s="53"/>
    </row>
    <row r="30" spans="4:16" ht="34.9" customHeight="1">
      <c r="D30" s="5">
        <f t="shared" si="0"/>
        <v>16</v>
      </c>
      <c r="E30" s="454"/>
      <c r="F30" s="455"/>
      <c r="G30" s="455"/>
      <c r="H30" s="456"/>
      <c r="I30" s="53"/>
      <c r="J30" s="53"/>
      <c r="K30" s="53"/>
      <c r="L30" s="53"/>
      <c r="M30" s="53"/>
      <c r="N30" s="53"/>
      <c r="O30" s="53"/>
      <c r="P30" s="53"/>
    </row>
    <row r="31" spans="4:16" ht="34.9" customHeight="1">
      <c r="D31" s="5">
        <f t="shared" si="0"/>
        <v>17</v>
      </c>
      <c r="E31" s="454"/>
      <c r="F31" s="455"/>
      <c r="G31" s="455"/>
      <c r="H31" s="456"/>
      <c r="I31" s="53"/>
      <c r="J31" s="53"/>
      <c r="K31" s="53"/>
      <c r="L31" s="53"/>
      <c r="M31" s="53"/>
      <c r="N31" s="53"/>
      <c r="O31" s="53"/>
      <c r="P31" s="53"/>
    </row>
    <row r="32" spans="4:16" ht="34.9" customHeight="1">
      <c r="D32" s="5">
        <f t="shared" si="0"/>
        <v>18</v>
      </c>
      <c r="E32" s="454"/>
      <c r="F32" s="455"/>
      <c r="G32" s="455"/>
      <c r="H32" s="456"/>
      <c r="I32" s="53"/>
      <c r="J32" s="53"/>
      <c r="K32" s="53"/>
      <c r="L32" s="53"/>
      <c r="M32" s="53"/>
      <c r="N32" s="53"/>
      <c r="O32" s="53"/>
      <c r="P32" s="53"/>
    </row>
    <row r="33" spans="4:16" ht="34.9" customHeight="1">
      <c r="D33" s="5">
        <f t="shared" si="0"/>
        <v>19</v>
      </c>
      <c r="E33" s="454"/>
      <c r="F33" s="455"/>
      <c r="G33" s="455"/>
      <c r="H33" s="456"/>
      <c r="I33" s="53"/>
      <c r="J33" s="53"/>
      <c r="K33" s="53"/>
      <c r="L33" s="53"/>
      <c r="M33" s="53"/>
      <c r="N33" s="53"/>
      <c r="O33" s="53"/>
      <c r="P33" s="53"/>
    </row>
    <row r="34" spans="4:16" ht="34.9" customHeight="1">
      <c r="D34" s="5">
        <f t="shared" si="0"/>
        <v>20</v>
      </c>
      <c r="E34" s="454"/>
      <c r="F34" s="455"/>
      <c r="G34" s="455"/>
      <c r="H34" s="456"/>
      <c r="I34" s="53"/>
      <c r="J34" s="53"/>
      <c r="K34" s="53"/>
      <c r="L34" s="53"/>
      <c r="M34" s="53"/>
      <c r="N34" s="53"/>
      <c r="O34" s="53"/>
      <c r="P34" s="53"/>
    </row>
    <row r="35" spans="4:16" ht="34.9" customHeight="1">
      <c r="D35" s="5">
        <f t="shared" si="0"/>
        <v>21</v>
      </c>
      <c r="E35" s="454"/>
      <c r="F35" s="455"/>
      <c r="G35" s="455"/>
      <c r="H35" s="456"/>
      <c r="I35" s="53"/>
      <c r="J35" s="53"/>
      <c r="K35" s="53"/>
      <c r="L35" s="53"/>
      <c r="M35" s="53"/>
      <c r="N35" s="53"/>
      <c r="O35" s="53"/>
      <c r="P35" s="53"/>
    </row>
    <row r="36" spans="4:16" ht="34.9" customHeight="1">
      <c r="D36" s="5">
        <f t="shared" si="0"/>
        <v>22</v>
      </c>
      <c r="E36" s="454"/>
      <c r="F36" s="455"/>
      <c r="G36" s="455"/>
      <c r="H36" s="456"/>
      <c r="I36" s="53"/>
      <c r="J36" s="53"/>
      <c r="K36" s="53"/>
      <c r="L36" s="53"/>
      <c r="M36" s="53"/>
      <c r="N36" s="53"/>
      <c r="O36" s="53"/>
      <c r="P36" s="53"/>
    </row>
    <row r="37" spans="4:16" ht="34.9" customHeight="1">
      <c r="D37" s="5">
        <f t="shared" si="0"/>
        <v>23</v>
      </c>
      <c r="E37" s="454"/>
      <c r="F37" s="455"/>
      <c r="G37" s="455"/>
      <c r="H37" s="456"/>
      <c r="I37" s="53"/>
      <c r="J37" s="53"/>
      <c r="K37" s="53"/>
      <c r="L37" s="53"/>
      <c r="M37" s="53"/>
      <c r="N37" s="53"/>
      <c r="O37" s="53"/>
      <c r="P37" s="53"/>
    </row>
    <row r="38" spans="4:16" ht="34.9" customHeight="1">
      <c r="D38" s="5">
        <f t="shared" si="0"/>
        <v>24</v>
      </c>
      <c r="E38" s="454"/>
      <c r="F38" s="455"/>
      <c r="G38" s="455"/>
      <c r="H38" s="456"/>
      <c r="I38" s="53"/>
      <c r="J38" s="53"/>
      <c r="K38" s="53"/>
      <c r="L38" s="53"/>
      <c r="M38" s="53"/>
      <c r="N38" s="53"/>
      <c r="O38" s="53"/>
      <c r="P38" s="53"/>
    </row>
    <row r="39" spans="4:16" ht="34.9" customHeight="1">
      <c r="D39" s="5">
        <f t="shared" si="0"/>
        <v>25</v>
      </c>
      <c r="E39" s="454"/>
      <c r="F39" s="455"/>
      <c r="G39" s="455"/>
      <c r="H39" s="456"/>
      <c r="I39" s="53"/>
      <c r="J39" s="53"/>
      <c r="K39" s="53"/>
      <c r="L39" s="53"/>
      <c r="M39" s="53"/>
      <c r="N39" s="53"/>
      <c r="O39" s="53"/>
      <c r="P39" s="53"/>
    </row>
    <row r="40" spans="4:16" ht="34.9" customHeight="1">
      <c r="D40" s="5">
        <f t="shared" si="0"/>
        <v>26</v>
      </c>
      <c r="E40" s="454"/>
      <c r="F40" s="455"/>
      <c r="G40" s="455"/>
      <c r="H40" s="456"/>
      <c r="I40" s="53"/>
      <c r="J40" s="53"/>
      <c r="K40" s="53"/>
      <c r="L40" s="53"/>
      <c r="M40" s="53"/>
      <c r="N40" s="53"/>
      <c r="O40" s="53"/>
      <c r="P40" s="53"/>
    </row>
    <row r="41" spans="4:16" ht="34.9" customHeight="1">
      <c r="D41" s="5">
        <f t="shared" si="0"/>
        <v>27</v>
      </c>
      <c r="E41" s="454"/>
      <c r="F41" s="455"/>
      <c r="G41" s="455"/>
      <c r="H41" s="456"/>
      <c r="I41" s="53"/>
      <c r="J41" s="53"/>
      <c r="K41" s="53"/>
      <c r="L41" s="53"/>
      <c r="M41" s="53"/>
      <c r="N41" s="53"/>
      <c r="O41" s="53"/>
      <c r="P41" s="53"/>
    </row>
    <row r="42" spans="4:16" ht="34.9" customHeight="1">
      <c r="D42" s="5">
        <f t="shared" si="0"/>
        <v>28</v>
      </c>
      <c r="E42" s="454"/>
      <c r="F42" s="455"/>
      <c r="G42" s="455"/>
      <c r="H42" s="456"/>
      <c r="I42" s="53"/>
      <c r="J42" s="53"/>
      <c r="K42" s="53"/>
      <c r="L42" s="53"/>
      <c r="M42" s="53"/>
      <c r="N42" s="53"/>
      <c r="O42" s="53"/>
      <c r="P42" s="53"/>
    </row>
    <row r="43" spans="4:16" ht="34.9" customHeight="1">
      <c r="D43" s="5">
        <f t="shared" si="0"/>
        <v>29</v>
      </c>
      <c r="E43" s="454"/>
      <c r="F43" s="455"/>
      <c r="G43" s="455"/>
      <c r="H43" s="456"/>
      <c r="I43" s="53"/>
      <c r="J43" s="53"/>
      <c r="K43" s="53"/>
      <c r="L43" s="53"/>
      <c r="M43" s="53"/>
      <c r="N43" s="53"/>
      <c r="O43" s="53"/>
      <c r="P43" s="53"/>
    </row>
    <row r="44" spans="4:16" ht="34.9" customHeight="1">
      <c r="D44" s="5">
        <f t="shared" si="0"/>
        <v>30</v>
      </c>
      <c r="E44" s="454"/>
      <c r="F44" s="455"/>
      <c r="G44" s="455"/>
      <c r="H44" s="456"/>
      <c r="I44" s="53"/>
      <c r="J44" s="53"/>
      <c r="K44" s="53"/>
      <c r="L44" s="53"/>
      <c r="M44" s="53"/>
      <c r="N44" s="53"/>
      <c r="O44" s="53"/>
      <c r="P44" s="53"/>
    </row>
    <row r="45" spans="4:16" ht="34.9" customHeight="1">
      <c r="D45" s="5">
        <f t="shared" si="0"/>
        <v>31</v>
      </c>
      <c r="E45" s="454"/>
      <c r="F45" s="455"/>
      <c r="G45" s="455"/>
      <c r="H45" s="456"/>
      <c r="I45" s="53"/>
      <c r="J45" s="53"/>
      <c r="K45" s="53"/>
      <c r="L45" s="53"/>
      <c r="M45" s="53"/>
      <c r="N45" s="53"/>
      <c r="O45" s="53"/>
      <c r="P45" s="53"/>
    </row>
    <row r="46" spans="4:16" ht="34.9" customHeight="1">
      <c r="D46" s="5">
        <f t="shared" si="0"/>
        <v>32</v>
      </c>
      <c r="E46" s="454"/>
      <c r="F46" s="455"/>
      <c r="G46" s="455"/>
      <c r="H46" s="456"/>
      <c r="I46" s="53"/>
      <c r="J46" s="53"/>
      <c r="K46" s="53"/>
      <c r="L46" s="53"/>
      <c r="M46" s="53"/>
      <c r="N46" s="53"/>
      <c r="O46" s="53"/>
      <c r="P46" s="53"/>
    </row>
    <row r="47" spans="4:16" ht="34.9" customHeight="1">
      <c r="D47" s="5">
        <f t="shared" si="0"/>
        <v>33</v>
      </c>
      <c r="E47" s="454"/>
      <c r="F47" s="455"/>
      <c r="G47" s="455"/>
      <c r="H47" s="456"/>
      <c r="I47" s="53"/>
      <c r="J47" s="53"/>
      <c r="K47" s="53"/>
      <c r="L47" s="53"/>
      <c r="M47" s="53"/>
      <c r="N47" s="53"/>
      <c r="O47" s="53"/>
      <c r="P47" s="53"/>
    </row>
    <row r="48" spans="4:16" ht="34.9" customHeight="1">
      <c r="D48" s="5">
        <f t="shared" si="0"/>
        <v>34</v>
      </c>
      <c r="E48" s="454"/>
      <c r="F48" s="455"/>
      <c r="G48" s="455"/>
      <c r="H48" s="456"/>
      <c r="I48" s="53"/>
      <c r="J48" s="53"/>
      <c r="K48" s="53"/>
      <c r="L48" s="53"/>
      <c r="M48" s="53"/>
      <c r="N48" s="53"/>
      <c r="O48" s="53"/>
      <c r="P48" s="53"/>
    </row>
    <row r="49" spans="4:16" ht="34.9" customHeight="1">
      <c r="D49" s="5">
        <f t="shared" si="0"/>
        <v>35</v>
      </c>
      <c r="E49" s="454"/>
      <c r="F49" s="455"/>
      <c r="G49" s="455"/>
      <c r="H49" s="456"/>
      <c r="I49" s="53"/>
      <c r="J49" s="53"/>
      <c r="K49" s="53"/>
      <c r="L49" s="53"/>
      <c r="M49" s="53"/>
      <c r="N49" s="53"/>
      <c r="O49" s="53"/>
      <c r="P49" s="53"/>
    </row>
    <row r="50" spans="4:16" ht="34.9" customHeight="1">
      <c r="D50" s="5">
        <f t="shared" si="0"/>
        <v>36</v>
      </c>
      <c r="E50" s="454"/>
      <c r="F50" s="455"/>
      <c r="G50" s="455"/>
      <c r="H50" s="456"/>
      <c r="I50" s="53"/>
      <c r="J50" s="53"/>
      <c r="K50" s="53"/>
      <c r="L50" s="53"/>
      <c r="M50" s="53"/>
      <c r="N50" s="53"/>
      <c r="O50" s="53"/>
      <c r="P50" s="53"/>
    </row>
    <row r="51" spans="4:16" ht="34.9" customHeight="1">
      <c r="D51" s="5">
        <f t="shared" si="0"/>
        <v>37</v>
      </c>
      <c r="E51" s="454"/>
      <c r="F51" s="455"/>
      <c r="G51" s="455"/>
      <c r="H51" s="456"/>
      <c r="I51" s="53"/>
      <c r="J51" s="53"/>
      <c r="K51" s="53"/>
      <c r="L51" s="53"/>
      <c r="M51" s="53"/>
      <c r="N51" s="53"/>
      <c r="O51" s="53"/>
      <c r="P51" s="53"/>
    </row>
    <row r="52" spans="4:16" ht="34.9" customHeight="1">
      <c r="D52" s="5">
        <f t="shared" si="0"/>
        <v>38</v>
      </c>
      <c r="E52" s="454"/>
      <c r="F52" s="455"/>
      <c r="G52" s="455"/>
      <c r="H52" s="456"/>
      <c r="I52" s="53"/>
      <c r="J52" s="53"/>
      <c r="K52" s="53"/>
      <c r="L52" s="53"/>
      <c r="M52" s="53"/>
      <c r="N52" s="53"/>
      <c r="O52" s="53"/>
      <c r="P52" s="53"/>
    </row>
    <row r="53" spans="4:16" ht="34.9" customHeight="1">
      <c r="D53" s="5">
        <f t="shared" si="0"/>
        <v>39</v>
      </c>
      <c r="E53" s="454"/>
      <c r="F53" s="455"/>
      <c r="G53" s="455"/>
      <c r="H53" s="456"/>
      <c r="I53" s="53"/>
      <c r="J53" s="53"/>
      <c r="K53" s="53"/>
      <c r="L53" s="53"/>
      <c r="M53" s="53"/>
      <c r="N53" s="53"/>
      <c r="O53" s="53"/>
      <c r="P53" s="53"/>
    </row>
    <row r="54" spans="4:16" ht="34.9" customHeight="1">
      <c r="D54" s="5">
        <f t="shared" si="0"/>
        <v>40</v>
      </c>
      <c r="E54" s="454"/>
      <c r="F54" s="455"/>
      <c r="G54" s="455"/>
      <c r="H54" s="456"/>
      <c r="I54" s="53"/>
      <c r="J54" s="53"/>
      <c r="K54" s="53"/>
      <c r="L54" s="53"/>
      <c r="M54" s="53"/>
      <c r="N54" s="53"/>
      <c r="O54" s="53"/>
      <c r="P54" s="53"/>
    </row>
    <row r="55" spans="4:16" ht="34.9" customHeight="1">
      <c r="D55" s="5">
        <f t="shared" si="0"/>
        <v>41</v>
      </c>
      <c r="E55" s="454"/>
      <c r="F55" s="455"/>
      <c r="G55" s="455"/>
      <c r="H55" s="456"/>
      <c r="I55" s="53"/>
      <c r="J55" s="53"/>
      <c r="K55" s="53"/>
      <c r="L55" s="53"/>
      <c r="M55" s="53"/>
      <c r="N55" s="53"/>
      <c r="O55" s="53"/>
      <c r="P55" s="53"/>
    </row>
    <row r="56" spans="4:16" ht="34.9" customHeight="1">
      <c r="D56" s="5">
        <f t="shared" si="0"/>
        <v>42</v>
      </c>
      <c r="E56" s="454"/>
      <c r="F56" s="455"/>
      <c r="G56" s="455"/>
      <c r="H56" s="456"/>
      <c r="I56" s="53"/>
      <c r="J56" s="53"/>
      <c r="K56" s="53"/>
      <c r="L56" s="53"/>
      <c r="M56" s="53"/>
      <c r="N56" s="53"/>
      <c r="O56" s="53"/>
      <c r="P56" s="53"/>
    </row>
    <row r="57" spans="4:16" ht="34.9" customHeight="1">
      <c r="D57" s="5">
        <f t="shared" si="0"/>
        <v>43</v>
      </c>
      <c r="E57" s="454"/>
      <c r="F57" s="455"/>
      <c r="G57" s="455"/>
      <c r="H57" s="456"/>
      <c r="I57" s="53"/>
      <c r="J57" s="53"/>
      <c r="K57" s="53"/>
      <c r="L57" s="53"/>
      <c r="M57" s="53"/>
      <c r="N57" s="53"/>
      <c r="O57" s="53"/>
      <c r="P57" s="53"/>
    </row>
    <row r="58" spans="4:16" ht="34.9" customHeight="1">
      <c r="D58" s="5">
        <f t="shared" si="0"/>
        <v>44</v>
      </c>
      <c r="E58" s="454"/>
      <c r="F58" s="455"/>
      <c r="G58" s="455"/>
      <c r="H58" s="456"/>
      <c r="I58" s="53"/>
      <c r="J58" s="53"/>
      <c r="K58" s="53"/>
      <c r="L58" s="53"/>
      <c r="M58" s="53"/>
      <c r="N58" s="53"/>
      <c r="O58" s="53"/>
      <c r="P58" s="53"/>
    </row>
    <row r="59" spans="4:16" ht="34.9" customHeight="1">
      <c r="D59" s="5">
        <f t="shared" si="0"/>
        <v>45</v>
      </c>
      <c r="E59" s="454"/>
      <c r="F59" s="455"/>
      <c r="G59" s="455"/>
      <c r="H59" s="456"/>
      <c r="I59" s="53"/>
      <c r="J59" s="53"/>
      <c r="K59" s="53"/>
      <c r="L59" s="53"/>
      <c r="M59" s="53"/>
      <c r="N59" s="53"/>
      <c r="O59" s="53"/>
      <c r="P59" s="53"/>
    </row>
    <row r="60" spans="4:16" ht="34.9" customHeight="1">
      <c r="D60" s="5">
        <f t="shared" si="0"/>
        <v>46</v>
      </c>
      <c r="E60" s="454"/>
      <c r="F60" s="455"/>
      <c r="G60" s="455"/>
      <c r="H60" s="456"/>
      <c r="I60" s="53"/>
      <c r="J60" s="53"/>
      <c r="K60" s="53"/>
      <c r="L60" s="53"/>
      <c r="M60" s="53"/>
      <c r="N60" s="53"/>
      <c r="O60" s="53"/>
      <c r="P60" s="53"/>
    </row>
    <row r="61" spans="4:16" ht="34.9" customHeight="1">
      <c r="D61" s="5">
        <f t="shared" si="0"/>
        <v>47</v>
      </c>
      <c r="E61" s="454"/>
      <c r="F61" s="455"/>
      <c r="G61" s="455"/>
      <c r="H61" s="456"/>
      <c r="I61" s="53"/>
      <c r="J61" s="53"/>
      <c r="K61" s="53"/>
      <c r="L61" s="53"/>
      <c r="M61" s="53"/>
      <c r="N61" s="53"/>
      <c r="O61" s="53"/>
      <c r="P61" s="53"/>
    </row>
    <row r="62" spans="4:16" ht="34.9" customHeight="1">
      <c r="D62" s="5">
        <f t="shared" si="0"/>
        <v>48</v>
      </c>
      <c r="E62" s="454"/>
      <c r="F62" s="455"/>
      <c r="G62" s="455"/>
      <c r="H62" s="456"/>
      <c r="I62" s="53"/>
      <c r="J62" s="53"/>
      <c r="K62" s="53"/>
      <c r="L62" s="53"/>
      <c r="M62" s="53"/>
      <c r="N62" s="53"/>
      <c r="O62" s="53"/>
      <c r="P62" s="53"/>
    </row>
    <row r="63" spans="4:16" ht="34.9" customHeight="1">
      <c r="D63" s="5">
        <f t="shared" si="0"/>
        <v>49</v>
      </c>
      <c r="E63" s="454"/>
      <c r="F63" s="455"/>
      <c r="G63" s="455"/>
      <c r="H63" s="456"/>
      <c r="I63" s="53"/>
      <c r="J63" s="53"/>
      <c r="K63" s="53"/>
      <c r="L63" s="53"/>
      <c r="M63" s="53"/>
      <c r="N63" s="53"/>
      <c r="O63" s="53"/>
      <c r="P63" s="53"/>
    </row>
    <row r="64" spans="4:16" ht="34.9" customHeight="1">
      <c r="D64" s="32">
        <f t="shared" si="0"/>
        <v>50</v>
      </c>
      <c r="E64" s="446"/>
      <c r="F64" s="439"/>
      <c r="G64" s="439"/>
      <c r="H64" s="443"/>
      <c r="I64" s="53"/>
      <c r="J64" s="53"/>
      <c r="K64" s="53"/>
      <c r="L64" s="53"/>
      <c r="M64" s="53"/>
      <c r="N64" s="53"/>
      <c r="O64" s="53"/>
      <c r="P64" s="53"/>
    </row>
    <row r="68" spans="2:25" s="475" customFormat="1" ht="15" customHeight="1">
      <c r="B68" s="479" t="s">
        <v>104</v>
      </c>
      <c r="D68" s="472"/>
      <c r="E68" s="472"/>
      <c r="F68" s="472"/>
      <c r="G68" s="472"/>
      <c r="Q68" s="472"/>
      <c r="R68" s="472"/>
      <c r="S68" s="472"/>
      <c r="T68" s="472"/>
      <c r="U68" s="472"/>
      <c r="V68" s="472"/>
      <c r="Y68" s="472"/>
    </row>
    <row r="79" spans="2:25" ht="15" customHeight="1">
      <c r="C79" s="1"/>
      <c r="Q79" s="1"/>
      <c r="R79" s="1"/>
      <c r="S79" s="1"/>
      <c r="T79" s="1"/>
      <c r="U79" s="1"/>
      <c r="V79" s="1"/>
      <c r="Y79" s="1"/>
    </row>
    <row r="80" spans="2:25" ht="15" customHeight="1">
      <c r="C80" s="1"/>
      <c r="Q80" s="1"/>
      <c r="R80" s="1"/>
      <c r="S80" s="1"/>
      <c r="T80" s="1"/>
      <c r="U80" s="1"/>
      <c r="V80" s="1"/>
      <c r="Y80" s="1"/>
    </row>
    <row r="81" spans="4:7" s="1" customFormat="1" ht="15" customHeight="1">
      <c r="D81" s="5"/>
      <c r="E81" s="5"/>
      <c r="F81" s="5"/>
      <c r="G81" s="5"/>
    </row>
    <row r="82" spans="4:7" s="1" customFormat="1" ht="15" customHeight="1">
      <c r="D82" s="5"/>
      <c r="E82" s="5"/>
      <c r="F82" s="5"/>
      <c r="G82" s="5"/>
    </row>
    <row r="83" spans="4:7" s="1" customFormat="1" ht="15" customHeight="1">
      <c r="D83" s="5"/>
      <c r="E83" s="5"/>
      <c r="F83" s="5"/>
      <c r="G83" s="5"/>
    </row>
    <row r="84" spans="4:7" s="1" customFormat="1" ht="15" customHeight="1">
      <c r="D84" s="5"/>
      <c r="E84" s="5"/>
      <c r="F84" s="5"/>
      <c r="G84" s="5"/>
    </row>
    <row r="85" spans="4:7" s="1" customFormat="1" ht="15" customHeight="1">
      <c r="D85" s="5"/>
      <c r="E85" s="5"/>
      <c r="F85" s="5"/>
      <c r="G85" s="5"/>
    </row>
    <row r="86" spans="4:7" s="1" customFormat="1" ht="15" customHeight="1">
      <c r="D86" s="5"/>
      <c r="E86" s="5"/>
      <c r="F86" s="5"/>
      <c r="G86" s="5"/>
    </row>
    <row r="87" spans="4:7" s="1" customFormat="1" ht="15" customHeight="1">
      <c r="D87" s="5"/>
      <c r="E87" s="5"/>
      <c r="F87" s="5"/>
      <c r="G87" s="5"/>
    </row>
    <row r="88" spans="4:7" s="1" customFormat="1" ht="15" customHeight="1">
      <c r="D88" s="5"/>
      <c r="E88" s="5"/>
      <c r="F88" s="5"/>
      <c r="G88" s="5"/>
    </row>
    <row r="89" spans="4:7" s="1" customFormat="1" ht="15" customHeight="1">
      <c r="D89" s="5"/>
      <c r="E89" s="5"/>
      <c r="F89" s="5"/>
      <c r="G89" s="5"/>
    </row>
    <row r="90" spans="4:7" s="1" customFormat="1" ht="15" customHeight="1">
      <c r="D90" s="5"/>
      <c r="E90" s="5"/>
      <c r="F90" s="5"/>
      <c r="G90" s="5"/>
    </row>
    <row r="91" spans="4:7" s="1" customFormat="1" ht="15" customHeight="1">
      <c r="D91" s="5"/>
      <c r="E91" s="5"/>
      <c r="F91" s="5"/>
      <c r="G91" s="5"/>
    </row>
  </sheetData>
  <sheetProtection sheet="1" objects="1" scenarios="1"/>
  <conditionalFormatting sqref="M2:T2 B2:G2 B3:T3">
    <cfRule type="expression" dxfId="848" priority="12">
      <formula>$C$10&lt;ErrorTolerance</formula>
    </cfRule>
  </conditionalFormatting>
  <conditionalFormatting sqref="B3">
    <cfRule type="expression" dxfId="847" priority="11">
      <formula>$C$11&gt;=ErrorTolerance</formula>
    </cfRule>
  </conditionalFormatting>
  <conditionalFormatting sqref="K2">
    <cfRule type="expression" dxfId="846" priority="10">
      <formula>Model.Navigation.View=No</formula>
    </cfRule>
  </conditionalFormatting>
  <conditionalFormatting sqref="K2">
    <cfRule type="expression" dxfId="845" priority="9">
      <formula>Model.Navigation.View=No</formula>
    </cfRule>
  </conditionalFormatting>
  <conditionalFormatting sqref="I2">
    <cfRule type="expression" dxfId="844" priority="8">
      <formula>Model.Navigation.View=No</formula>
    </cfRule>
  </conditionalFormatting>
  <conditionalFormatting sqref="I2">
    <cfRule type="expression" dxfId="843" priority="7">
      <formula>Model.Navigation.View=No</formula>
    </cfRule>
  </conditionalFormatting>
  <conditionalFormatting sqref="L2">
    <cfRule type="expression" dxfId="842" priority="6">
      <formula>Model.Navigation.View=No</formula>
    </cfRule>
  </conditionalFormatting>
  <conditionalFormatting sqref="L2">
    <cfRule type="expression" dxfId="841" priority="5">
      <formula>Model.Navigation.View=No</formula>
    </cfRule>
  </conditionalFormatting>
  <conditionalFormatting sqref="J2">
    <cfRule type="expression" dxfId="840" priority="2">
      <formula>Model.Navigation.View=No</formula>
    </cfRule>
  </conditionalFormatting>
  <conditionalFormatting sqref="J2">
    <cfRule type="expression" dxfId="839" priority="1">
      <formula>Model.Navigation.View=No</formula>
    </cfRule>
  </conditionalFormatting>
  <hyperlinks>
    <hyperlink ref="J2" location="'Opdateringslog, netselskab'!B11" tooltip="Gå til toppen af arket" display="'Opdateringslog, netselskab'!B11" xr:uid="{B0F0E122-4ABE-43A3-9F2E-447D669E9748}"/>
    <hyperlink ref="K2" location="'2.3 Selskabsspecifikke input'!B2" tooltip="Gå til selskabsspecifikke input" display="'2.3 Selskabsspecifikke input'!B2" xr:uid="{32561C9D-D65F-4DFB-8BD8-FE2D1506C52F}"/>
    <hyperlink ref="I2" location="Modeloverblik!B2" tooltip="Gå til modelbeskrivelse" display="Modeloverblik!B2" xr:uid="{F7E18E91-C333-43FD-8F24-59E99EB4DA06}"/>
    <hyperlink ref="L2" location="'4.1 Fejl- og kontroloversigt'!B2" tooltip="Gå til fejl- og kontrolchecks" display="'4.1 Fejl- og kontroloversigt'!B2" xr:uid="{1CD6050D-904D-4C4D-B20C-AA1481712B61}"/>
  </hyperlinks>
  <pageMargins left="0.7" right="0.7" top="0.75" bottom="0.75" header="0.3" footer="0.3"/>
  <pageSetup paperSize="9" scale="75" orientation="portrait"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D70F8-997A-4A25-AAD4-3C6988635E10}">
  <sheetPr>
    <tabColor rgb="FF222221"/>
    <outlinePr summaryBelow="0"/>
    <pageSetUpPr fitToPage="1"/>
  </sheetPr>
  <dimension ref="A1:AU91"/>
  <sheetViews>
    <sheetView showGridLines="0" zoomScale="85" zoomScaleNormal="85" workbookViewId="0">
      <pane xSplit="27" ySplit="10" topLeftCell="AB11" activePane="bottomRight" state="frozen"/>
      <selection pane="topRight"/>
      <selection pane="bottomLeft"/>
      <selection pane="bottomRight" activeCell="I17" sqref="I17"/>
    </sheetView>
  </sheetViews>
  <sheetFormatPr defaultColWidth="0" defaultRowHeight="15" customHeight="1" outlineLevelCol="1"/>
  <cols>
    <col min="1" max="1" width="1.33203125" style="1" customWidth="1"/>
    <col min="2" max="2" width="4.1640625" style="1" customWidth="1"/>
    <col min="3" max="3" width="4.1640625" style="4" customWidth="1"/>
    <col min="4" max="4" width="5.1640625" style="5" customWidth="1"/>
    <col min="5" max="5" width="23.5" style="5" customWidth="1"/>
    <col min="6" max="8" width="21.33203125" style="5" customWidth="1"/>
    <col min="9" max="9" width="131.5" style="1" customWidth="1"/>
    <col min="10" max="13" width="5.6640625" style="1" customWidth="1"/>
    <col min="14" max="17" width="3.5" style="1" customWidth="1"/>
    <col min="18" max="20" width="2.6640625" style="5" hidden="1" customWidth="1" outlineLevel="1"/>
    <col min="21" max="23" width="49.33203125" style="5" hidden="1" customWidth="1" outlineLevel="1"/>
    <col min="24" max="24" width="9" style="1" hidden="1" customWidth="1" collapsed="1"/>
    <col min="25" max="25" width="9" style="1" hidden="1" customWidth="1"/>
    <col min="26" max="26" width="17" style="5" hidden="1" customWidth="1"/>
    <col min="27" max="37" width="17" style="1" hidden="1" customWidth="1"/>
    <col min="38" max="47" width="0" style="1" hidden="1" customWidth="1"/>
    <col min="48" max="16384" width="16.6640625" style="1" hidden="1"/>
  </cols>
  <sheetData>
    <row r="1" spans="2:27" ht="4.9000000000000004" customHeight="1"/>
    <row r="2" spans="2:27" ht="19.899999999999999" customHeight="1">
      <c r="B2" s="6" t="str">
        <f ca="1" xml:space="preserve"> MID( CELL("filename", B2), FIND("]", CELL("filename",B2) ) + 1, Model.MaxChars)</f>
        <v>Opdateringslog, Green Power Den</v>
      </c>
      <c r="C2" s="7"/>
      <c r="D2" s="24"/>
      <c r="E2" s="24"/>
      <c r="F2" s="24"/>
      <c r="G2" s="24"/>
      <c r="H2" s="24"/>
      <c r="J2" s="12" t="str">
        <f>'2.1 Model setup'!F2</f>
        <v>&amp;</v>
      </c>
      <c r="K2" s="12" t="str">
        <f>'2.1 Model setup'!G2</f>
        <v>é</v>
      </c>
      <c r="L2" s="12" t="str">
        <f>'2.1 Model setup'!H2</f>
        <v>¤</v>
      </c>
      <c r="M2" s="12" t="str">
        <f>'2.1 Model setup'!I2</f>
        <v></v>
      </c>
      <c r="N2" s="9"/>
      <c r="O2" s="9"/>
      <c r="P2" s="9"/>
      <c r="Q2" s="9"/>
      <c r="R2" s="22"/>
      <c r="S2" s="22"/>
      <c r="T2" s="23"/>
      <c r="U2" s="22"/>
    </row>
    <row r="3" spans="2:27" ht="15" customHeight="1">
      <c r="B3" s="10" t="str">
        <f xml:space="preserve"> Header.Details</f>
        <v xml:space="preserve">Tarifmodel 3.0 og producentbetaling (V2) </v>
      </c>
      <c r="C3" s="7"/>
      <c r="D3" s="24"/>
      <c r="E3" s="24"/>
      <c r="F3" s="24"/>
      <c r="G3" s="24"/>
      <c r="H3" s="24"/>
      <c r="I3" s="9"/>
      <c r="J3" s="9"/>
      <c r="K3" s="9"/>
      <c r="L3" s="9"/>
      <c r="M3" s="9"/>
      <c r="N3" s="9"/>
      <c r="O3" s="9"/>
      <c r="P3" s="9"/>
      <c r="Q3" s="9"/>
      <c r="R3" s="22"/>
      <c r="S3" s="22"/>
      <c r="T3" s="23"/>
      <c r="U3" s="22"/>
    </row>
    <row r="9" spans="2:27" ht="4.1500000000000004" customHeight="1">
      <c r="E9" s="54"/>
      <c r="F9" s="54"/>
      <c r="G9" s="54"/>
      <c r="H9" s="54"/>
      <c r="I9" s="14"/>
      <c r="J9" s="14"/>
      <c r="K9" s="14"/>
      <c r="L9" s="14"/>
      <c r="M9" s="14"/>
      <c r="N9" s="14"/>
      <c r="O9" s="14"/>
      <c r="P9" s="14"/>
      <c r="Q9" s="14"/>
      <c r="R9" s="14"/>
      <c r="S9" s="14"/>
      <c r="T9" s="14"/>
      <c r="U9" s="14"/>
      <c r="V9" s="14"/>
      <c r="W9" s="14"/>
      <c r="X9" s="14"/>
      <c r="Y9" s="14"/>
      <c r="Z9" s="14"/>
      <c r="AA9" s="14"/>
    </row>
    <row r="10" spans="2:27" s="475" customFormat="1" ht="15" customHeight="1">
      <c r="B10" s="479" t="s">
        <v>101</v>
      </c>
      <c r="D10" s="472"/>
      <c r="E10" s="472"/>
      <c r="F10" s="472"/>
      <c r="G10" s="472"/>
      <c r="H10" s="472"/>
      <c r="R10" s="474"/>
      <c r="S10" s="474"/>
      <c r="T10" s="474"/>
      <c r="U10" s="474"/>
      <c r="V10" s="474"/>
      <c r="W10" s="474"/>
      <c r="X10" s="474"/>
      <c r="Y10" s="474"/>
      <c r="Z10" s="474"/>
      <c r="AA10" s="472"/>
    </row>
    <row r="11" spans="2:27" s="15" customFormat="1" ht="15" customHeight="1">
      <c r="C11" s="18"/>
      <c r="D11" s="19"/>
      <c r="E11" s="19"/>
      <c r="F11" s="19"/>
      <c r="G11" s="19"/>
      <c r="H11" s="19"/>
      <c r="M11" s="1"/>
      <c r="N11" s="1"/>
      <c r="O11" s="1"/>
      <c r="P11" s="1"/>
      <c r="Q11" s="1"/>
      <c r="R11" s="19"/>
      <c r="S11" s="19"/>
      <c r="T11" s="19"/>
      <c r="U11" s="19"/>
      <c r="V11" s="19"/>
      <c r="W11" s="19"/>
      <c r="Z11" s="19"/>
    </row>
    <row r="12" spans="2:27" s="475" customFormat="1" ht="15" customHeight="1">
      <c r="B12" s="476" t="s">
        <v>557</v>
      </c>
      <c r="C12" s="477"/>
      <c r="D12" s="483"/>
      <c r="E12" s="472"/>
      <c r="F12" s="472"/>
      <c r="G12" s="472"/>
      <c r="H12" s="472"/>
      <c r="T12" s="472"/>
    </row>
    <row r="14" spans="2:27" ht="15" customHeight="1">
      <c r="D14" s="5" t="s">
        <v>3</v>
      </c>
      <c r="E14" s="427" t="s">
        <v>523</v>
      </c>
      <c r="F14" s="427" t="s">
        <v>350</v>
      </c>
      <c r="G14" s="427" t="s">
        <v>526</v>
      </c>
      <c r="H14" s="427" t="s">
        <v>527</v>
      </c>
      <c r="I14" s="51" t="s">
        <v>148</v>
      </c>
      <c r="J14" s="51"/>
      <c r="K14" s="51"/>
      <c r="L14" s="51"/>
      <c r="M14" s="51"/>
      <c r="N14" s="51"/>
      <c r="O14" s="51"/>
      <c r="P14" s="51"/>
      <c r="Q14" s="51"/>
    </row>
    <row r="15" spans="2:27" ht="30" customHeight="1">
      <c r="D15" s="19">
        <v>1</v>
      </c>
      <c r="E15" s="432">
        <v>44900</v>
      </c>
      <c r="F15" s="432" t="s">
        <v>687</v>
      </c>
      <c r="G15" s="433" t="s">
        <v>685</v>
      </c>
      <c r="H15" s="433" t="s">
        <v>685</v>
      </c>
      <c r="I15" s="424" t="s">
        <v>686</v>
      </c>
      <c r="J15" s="52"/>
      <c r="K15" s="52"/>
      <c r="L15" s="52"/>
      <c r="M15" s="52"/>
      <c r="N15" s="52"/>
      <c r="O15" s="52"/>
      <c r="P15" s="52"/>
      <c r="Q15" s="52"/>
    </row>
    <row r="16" spans="2:27" ht="34.9" customHeight="1">
      <c r="D16" s="5">
        <f xml:space="preserve"> D15 + 1</f>
        <v>2</v>
      </c>
      <c r="E16" s="428"/>
      <c r="F16" s="431"/>
      <c r="G16" s="431"/>
      <c r="H16" s="431"/>
      <c r="I16" s="426"/>
      <c r="J16" s="52"/>
      <c r="K16" s="52"/>
      <c r="L16" s="52"/>
      <c r="M16" s="52"/>
      <c r="N16" s="52"/>
      <c r="O16" s="52"/>
      <c r="P16" s="52"/>
      <c r="Q16" s="52"/>
    </row>
    <row r="17" spans="4:17" ht="34.9" customHeight="1">
      <c r="D17" s="5">
        <f t="shared" ref="D17:D64" si="0" xml:space="preserve"> D16 + 1</f>
        <v>3</v>
      </c>
      <c r="E17" s="428"/>
      <c r="F17" s="430"/>
      <c r="G17" s="430"/>
      <c r="H17" s="430"/>
      <c r="I17" s="425"/>
      <c r="J17" s="53"/>
      <c r="K17" s="53"/>
      <c r="L17" s="53"/>
      <c r="M17" s="53"/>
      <c r="N17" s="53"/>
      <c r="O17" s="53"/>
      <c r="P17" s="53"/>
      <c r="Q17" s="53"/>
    </row>
    <row r="18" spans="4:17" ht="34.9" customHeight="1">
      <c r="D18" s="5">
        <f t="shared" si="0"/>
        <v>4</v>
      </c>
      <c r="E18" s="428"/>
      <c r="F18" s="430"/>
      <c r="G18" s="430"/>
      <c r="H18" s="430"/>
      <c r="I18" s="425"/>
      <c r="J18" s="53"/>
      <c r="K18" s="53"/>
      <c r="L18" s="53"/>
      <c r="M18" s="53"/>
      <c r="N18" s="53"/>
      <c r="O18" s="53"/>
      <c r="P18" s="53"/>
      <c r="Q18" s="53"/>
    </row>
    <row r="19" spans="4:17" ht="34.9" customHeight="1">
      <c r="D19" s="5">
        <f t="shared" si="0"/>
        <v>5</v>
      </c>
      <c r="E19" s="428"/>
      <c r="F19" s="430"/>
      <c r="G19" s="430"/>
      <c r="H19" s="430"/>
      <c r="I19" s="425"/>
      <c r="J19" s="53"/>
      <c r="K19" s="53"/>
      <c r="L19" s="53"/>
      <c r="M19" s="53"/>
      <c r="N19" s="53"/>
      <c r="O19" s="53"/>
      <c r="P19" s="53"/>
      <c r="Q19" s="53"/>
    </row>
    <row r="20" spans="4:17" ht="34.9" customHeight="1">
      <c r="D20" s="5">
        <f t="shared" si="0"/>
        <v>6</v>
      </c>
      <c r="E20" s="428"/>
      <c r="F20" s="430"/>
      <c r="G20" s="430"/>
      <c r="H20" s="430"/>
      <c r="I20" s="425"/>
      <c r="J20" s="53"/>
      <c r="K20" s="53"/>
      <c r="L20" s="53"/>
      <c r="M20" s="53"/>
      <c r="N20" s="53"/>
      <c r="O20" s="53"/>
      <c r="P20" s="53"/>
      <c r="Q20" s="53"/>
    </row>
    <row r="21" spans="4:17" ht="34.9" customHeight="1">
      <c r="D21" s="5">
        <f t="shared" si="0"/>
        <v>7</v>
      </c>
      <c r="E21" s="428"/>
      <c r="F21" s="430"/>
      <c r="G21" s="430"/>
      <c r="H21" s="430"/>
      <c r="I21" s="425"/>
      <c r="J21" s="53"/>
      <c r="K21" s="53"/>
      <c r="L21" s="53"/>
      <c r="M21" s="53"/>
      <c r="N21" s="53"/>
      <c r="O21" s="53"/>
      <c r="P21" s="53"/>
      <c r="Q21" s="53"/>
    </row>
    <row r="22" spans="4:17" ht="34.9" customHeight="1">
      <c r="D22" s="5">
        <f t="shared" si="0"/>
        <v>8</v>
      </c>
      <c r="E22" s="428"/>
      <c r="F22" s="430"/>
      <c r="G22" s="430"/>
      <c r="H22" s="430"/>
      <c r="I22" s="425"/>
      <c r="J22" s="53"/>
      <c r="K22" s="53"/>
      <c r="L22" s="53"/>
      <c r="M22" s="53"/>
      <c r="N22" s="53"/>
      <c r="O22" s="53"/>
      <c r="P22" s="53"/>
      <c r="Q22" s="53"/>
    </row>
    <row r="23" spans="4:17" ht="34.9" customHeight="1">
      <c r="D23" s="5">
        <f t="shared" si="0"/>
        <v>9</v>
      </c>
      <c r="E23" s="428"/>
      <c r="F23" s="430"/>
      <c r="G23" s="430"/>
      <c r="H23" s="430"/>
      <c r="I23" s="425"/>
      <c r="J23" s="53"/>
      <c r="K23" s="53"/>
      <c r="L23" s="53"/>
      <c r="M23" s="53"/>
      <c r="N23" s="53"/>
      <c r="O23" s="53"/>
      <c r="P23" s="53"/>
      <c r="Q23" s="53"/>
    </row>
    <row r="24" spans="4:17" ht="34.9" customHeight="1">
      <c r="D24" s="5">
        <f t="shared" si="0"/>
        <v>10</v>
      </c>
      <c r="E24" s="457"/>
      <c r="F24" s="458"/>
      <c r="G24" s="458"/>
      <c r="H24" s="458"/>
      <c r="I24" s="459"/>
      <c r="J24" s="53"/>
      <c r="K24" s="53"/>
      <c r="L24" s="53"/>
      <c r="M24" s="53"/>
      <c r="N24" s="53"/>
      <c r="O24" s="53"/>
      <c r="P24" s="53"/>
      <c r="Q24" s="53"/>
    </row>
    <row r="25" spans="4:17" ht="34.9" customHeight="1">
      <c r="D25" s="5">
        <f t="shared" si="0"/>
        <v>11</v>
      </c>
      <c r="E25" s="457"/>
      <c r="F25" s="458"/>
      <c r="G25" s="458"/>
      <c r="H25" s="458"/>
      <c r="I25" s="459"/>
      <c r="J25" s="53"/>
      <c r="K25" s="53"/>
      <c r="L25" s="53"/>
      <c r="M25" s="53"/>
      <c r="N25" s="53"/>
      <c r="O25" s="53"/>
      <c r="P25" s="53"/>
      <c r="Q25" s="53"/>
    </row>
    <row r="26" spans="4:17" ht="34.9" customHeight="1">
      <c r="D26" s="5">
        <f t="shared" si="0"/>
        <v>12</v>
      </c>
      <c r="E26" s="457"/>
      <c r="F26" s="458"/>
      <c r="G26" s="458"/>
      <c r="H26" s="458"/>
      <c r="I26" s="459"/>
      <c r="J26" s="53"/>
      <c r="K26" s="53"/>
      <c r="L26" s="53"/>
      <c r="M26" s="53"/>
      <c r="N26" s="53"/>
      <c r="O26" s="53"/>
      <c r="P26" s="53"/>
      <c r="Q26" s="53"/>
    </row>
    <row r="27" spans="4:17" ht="34.9" customHeight="1">
      <c r="D27" s="5">
        <f t="shared" si="0"/>
        <v>13</v>
      </c>
      <c r="E27" s="457"/>
      <c r="F27" s="458"/>
      <c r="G27" s="458"/>
      <c r="H27" s="458"/>
      <c r="I27" s="459"/>
      <c r="J27" s="53"/>
      <c r="K27" s="53"/>
      <c r="L27" s="53"/>
      <c r="M27" s="53"/>
      <c r="N27" s="53"/>
      <c r="O27" s="53"/>
      <c r="P27" s="53"/>
      <c r="Q27" s="53"/>
    </row>
    <row r="28" spans="4:17" ht="34.9" customHeight="1">
      <c r="D28" s="5">
        <f t="shared" si="0"/>
        <v>14</v>
      </c>
      <c r="E28" s="457"/>
      <c r="F28" s="458"/>
      <c r="G28" s="458"/>
      <c r="H28" s="458"/>
      <c r="I28" s="459"/>
      <c r="J28" s="53"/>
      <c r="K28" s="53"/>
      <c r="L28" s="53"/>
      <c r="M28" s="53"/>
      <c r="N28" s="53"/>
      <c r="O28" s="53"/>
      <c r="P28" s="53"/>
      <c r="Q28" s="53"/>
    </row>
    <row r="29" spans="4:17" ht="34.9" customHeight="1">
      <c r="D29" s="5">
        <f t="shared" si="0"/>
        <v>15</v>
      </c>
      <c r="E29" s="457"/>
      <c r="F29" s="458"/>
      <c r="G29" s="458"/>
      <c r="H29" s="458"/>
      <c r="I29" s="459"/>
      <c r="J29" s="53"/>
      <c r="K29" s="53"/>
      <c r="L29" s="53"/>
      <c r="M29" s="53"/>
      <c r="N29" s="53"/>
      <c r="O29" s="53"/>
      <c r="P29" s="53"/>
      <c r="Q29" s="53"/>
    </row>
    <row r="30" spans="4:17" ht="34.9" customHeight="1">
      <c r="D30" s="5">
        <f t="shared" si="0"/>
        <v>16</v>
      </c>
      <c r="E30" s="457"/>
      <c r="F30" s="458"/>
      <c r="G30" s="458"/>
      <c r="H30" s="458"/>
      <c r="I30" s="459"/>
      <c r="J30" s="53"/>
      <c r="K30" s="53"/>
      <c r="L30" s="53"/>
      <c r="M30" s="53"/>
      <c r="N30" s="53"/>
      <c r="O30" s="53"/>
      <c r="P30" s="53"/>
      <c r="Q30" s="53"/>
    </row>
    <row r="31" spans="4:17" ht="34.9" customHeight="1">
      <c r="D31" s="5">
        <f t="shared" si="0"/>
        <v>17</v>
      </c>
      <c r="E31" s="457"/>
      <c r="F31" s="458"/>
      <c r="G31" s="458"/>
      <c r="H31" s="458"/>
      <c r="I31" s="459"/>
      <c r="J31" s="53"/>
      <c r="K31" s="53"/>
      <c r="L31" s="53"/>
      <c r="M31" s="53"/>
      <c r="N31" s="53"/>
      <c r="O31" s="53"/>
      <c r="P31" s="53"/>
      <c r="Q31" s="53"/>
    </row>
    <row r="32" spans="4:17" ht="34.9" customHeight="1">
      <c r="D32" s="5">
        <f t="shared" si="0"/>
        <v>18</v>
      </c>
      <c r="E32" s="457"/>
      <c r="F32" s="458"/>
      <c r="G32" s="458"/>
      <c r="H32" s="458"/>
      <c r="I32" s="459"/>
      <c r="J32" s="53"/>
      <c r="K32" s="53"/>
      <c r="L32" s="53"/>
      <c r="M32" s="53"/>
      <c r="N32" s="53"/>
      <c r="O32" s="53"/>
      <c r="P32" s="53"/>
      <c r="Q32" s="53"/>
    </row>
    <row r="33" spans="4:17" ht="34.9" customHeight="1">
      <c r="D33" s="5">
        <f t="shared" si="0"/>
        <v>19</v>
      </c>
      <c r="E33" s="457"/>
      <c r="F33" s="458"/>
      <c r="G33" s="458"/>
      <c r="H33" s="458"/>
      <c r="I33" s="459"/>
      <c r="J33" s="53"/>
      <c r="K33" s="53"/>
      <c r="L33" s="53"/>
      <c r="M33" s="53"/>
      <c r="N33" s="53"/>
      <c r="O33" s="53"/>
      <c r="P33" s="53"/>
      <c r="Q33" s="53"/>
    </row>
    <row r="34" spans="4:17" ht="34.9" customHeight="1">
      <c r="D34" s="5">
        <f t="shared" si="0"/>
        <v>20</v>
      </c>
      <c r="E34" s="457"/>
      <c r="F34" s="458"/>
      <c r="G34" s="458"/>
      <c r="H34" s="458"/>
      <c r="I34" s="459"/>
      <c r="J34" s="53"/>
      <c r="K34" s="53"/>
      <c r="L34" s="53"/>
      <c r="M34" s="53"/>
      <c r="N34" s="53"/>
      <c r="O34" s="53"/>
      <c r="P34" s="53"/>
      <c r="Q34" s="53"/>
    </row>
    <row r="35" spans="4:17" ht="34.9" customHeight="1">
      <c r="D35" s="5">
        <f t="shared" si="0"/>
        <v>21</v>
      </c>
      <c r="E35" s="457"/>
      <c r="F35" s="458"/>
      <c r="G35" s="458"/>
      <c r="H35" s="458"/>
      <c r="I35" s="459"/>
      <c r="J35" s="53"/>
      <c r="K35" s="53"/>
      <c r="L35" s="53"/>
      <c r="M35" s="53"/>
      <c r="N35" s="53"/>
      <c r="O35" s="53"/>
      <c r="P35" s="53"/>
      <c r="Q35" s="53"/>
    </row>
    <row r="36" spans="4:17" ht="34.9" customHeight="1">
      <c r="D36" s="5">
        <f t="shared" si="0"/>
        <v>22</v>
      </c>
      <c r="E36" s="457"/>
      <c r="F36" s="458"/>
      <c r="G36" s="458"/>
      <c r="H36" s="458"/>
      <c r="I36" s="459"/>
      <c r="J36" s="53"/>
      <c r="K36" s="53"/>
      <c r="L36" s="53"/>
      <c r="M36" s="53"/>
      <c r="N36" s="53"/>
      <c r="O36" s="53"/>
      <c r="P36" s="53"/>
      <c r="Q36" s="53"/>
    </row>
    <row r="37" spans="4:17" ht="34.9" customHeight="1">
      <c r="D37" s="5">
        <f t="shared" si="0"/>
        <v>23</v>
      </c>
      <c r="E37" s="457"/>
      <c r="F37" s="458"/>
      <c r="G37" s="458"/>
      <c r="H37" s="458"/>
      <c r="I37" s="459"/>
      <c r="J37" s="53"/>
      <c r="K37" s="53"/>
      <c r="L37" s="53"/>
      <c r="M37" s="53"/>
      <c r="N37" s="53"/>
      <c r="O37" s="53"/>
      <c r="P37" s="53"/>
      <c r="Q37" s="53"/>
    </row>
    <row r="38" spans="4:17" ht="34.9" customHeight="1">
      <c r="D38" s="5">
        <f t="shared" si="0"/>
        <v>24</v>
      </c>
      <c r="E38" s="457"/>
      <c r="F38" s="458"/>
      <c r="G38" s="458"/>
      <c r="H38" s="458"/>
      <c r="I38" s="459"/>
      <c r="J38" s="53"/>
      <c r="K38" s="53"/>
      <c r="L38" s="53"/>
      <c r="M38" s="53"/>
      <c r="N38" s="53"/>
      <c r="O38" s="53"/>
      <c r="P38" s="53"/>
      <c r="Q38" s="53"/>
    </row>
    <row r="39" spans="4:17" ht="34.9" customHeight="1">
      <c r="D39" s="5">
        <f t="shared" si="0"/>
        <v>25</v>
      </c>
      <c r="E39" s="457"/>
      <c r="F39" s="458"/>
      <c r="G39" s="458"/>
      <c r="H39" s="458"/>
      <c r="I39" s="459"/>
      <c r="J39" s="53"/>
      <c r="K39" s="53"/>
      <c r="L39" s="53"/>
      <c r="M39" s="53"/>
      <c r="N39" s="53"/>
      <c r="O39" s="53"/>
      <c r="P39" s="53"/>
      <c r="Q39" s="53"/>
    </row>
    <row r="40" spans="4:17" ht="34.9" customHeight="1">
      <c r="D40" s="5">
        <f t="shared" si="0"/>
        <v>26</v>
      </c>
      <c r="E40" s="457"/>
      <c r="F40" s="458"/>
      <c r="G40" s="458"/>
      <c r="H40" s="458"/>
      <c r="I40" s="459"/>
      <c r="J40" s="53"/>
      <c r="K40" s="53"/>
      <c r="L40" s="53"/>
      <c r="M40" s="53"/>
      <c r="N40" s="53"/>
      <c r="O40" s="53"/>
      <c r="P40" s="53"/>
      <c r="Q40" s="53"/>
    </row>
    <row r="41" spans="4:17" ht="34.9" customHeight="1">
      <c r="D41" s="5">
        <f t="shared" si="0"/>
        <v>27</v>
      </c>
      <c r="E41" s="457"/>
      <c r="F41" s="458"/>
      <c r="G41" s="458"/>
      <c r="H41" s="458"/>
      <c r="I41" s="459"/>
      <c r="J41" s="53"/>
      <c r="K41" s="53"/>
      <c r="L41" s="53"/>
      <c r="M41" s="53"/>
      <c r="N41" s="53"/>
      <c r="O41" s="53"/>
      <c r="P41" s="53"/>
      <c r="Q41" s="53"/>
    </row>
    <row r="42" spans="4:17" ht="34.9" customHeight="1">
      <c r="D42" s="5">
        <f t="shared" si="0"/>
        <v>28</v>
      </c>
      <c r="E42" s="457"/>
      <c r="F42" s="458"/>
      <c r="G42" s="458"/>
      <c r="H42" s="458"/>
      <c r="I42" s="459"/>
      <c r="J42" s="53"/>
      <c r="K42" s="53"/>
      <c r="L42" s="53"/>
      <c r="M42" s="53"/>
      <c r="N42" s="53"/>
      <c r="O42" s="53"/>
      <c r="P42" s="53"/>
      <c r="Q42" s="53"/>
    </row>
    <row r="43" spans="4:17" ht="34.9" customHeight="1">
      <c r="D43" s="5">
        <f t="shared" si="0"/>
        <v>29</v>
      </c>
      <c r="E43" s="457"/>
      <c r="F43" s="458"/>
      <c r="G43" s="458"/>
      <c r="H43" s="458"/>
      <c r="I43" s="459"/>
      <c r="J43" s="53"/>
      <c r="K43" s="53"/>
      <c r="L43" s="53"/>
      <c r="M43" s="53"/>
      <c r="N43" s="53"/>
      <c r="O43" s="53"/>
      <c r="P43" s="53"/>
      <c r="Q43" s="53"/>
    </row>
    <row r="44" spans="4:17" ht="34.9" customHeight="1">
      <c r="D44" s="5">
        <f t="shared" si="0"/>
        <v>30</v>
      </c>
      <c r="E44" s="457"/>
      <c r="F44" s="458"/>
      <c r="G44" s="458"/>
      <c r="H44" s="458"/>
      <c r="I44" s="459"/>
      <c r="J44" s="53"/>
      <c r="K44" s="53"/>
      <c r="L44" s="53"/>
      <c r="M44" s="53"/>
      <c r="N44" s="53"/>
      <c r="O44" s="53"/>
      <c r="P44" s="53"/>
      <c r="Q44" s="53"/>
    </row>
    <row r="45" spans="4:17" ht="34.9" customHeight="1">
      <c r="D45" s="5">
        <f t="shared" si="0"/>
        <v>31</v>
      </c>
      <c r="E45" s="457"/>
      <c r="F45" s="458"/>
      <c r="G45" s="458"/>
      <c r="H45" s="458"/>
      <c r="I45" s="459"/>
      <c r="J45" s="53"/>
      <c r="K45" s="53"/>
      <c r="L45" s="53"/>
      <c r="M45" s="53"/>
      <c r="N45" s="53"/>
      <c r="O45" s="53"/>
      <c r="P45" s="53"/>
      <c r="Q45" s="53"/>
    </row>
    <row r="46" spans="4:17" ht="34.9" customHeight="1">
      <c r="D46" s="5">
        <f t="shared" si="0"/>
        <v>32</v>
      </c>
      <c r="E46" s="457"/>
      <c r="F46" s="458"/>
      <c r="G46" s="458"/>
      <c r="H46" s="458"/>
      <c r="I46" s="459"/>
      <c r="J46" s="53"/>
      <c r="K46" s="53"/>
      <c r="L46" s="53"/>
      <c r="M46" s="53"/>
      <c r="N46" s="53"/>
      <c r="O46" s="53"/>
      <c r="P46" s="53"/>
      <c r="Q46" s="53"/>
    </row>
    <row r="47" spans="4:17" ht="34.9" customHeight="1">
      <c r="D47" s="5">
        <f t="shared" si="0"/>
        <v>33</v>
      </c>
      <c r="E47" s="457"/>
      <c r="F47" s="458"/>
      <c r="G47" s="458"/>
      <c r="H47" s="458"/>
      <c r="I47" s="459"/>
      <c r="J47" s="53"/>
      <c r="K47" s="53"/>
      <c r="L47" s="53"/>
      <c r="M47" s="53"/>
      <c r="N47" s="53"/>
      <c r="O47" s="53"/>
      <c r="P47" s="53"/>
      <c r="Q47" s="53"/>
    </row>
    <row r="48" spans="4:17" ht="34.9" customHeight="1">
      <c r="D48" s="5">
        <f t="shared" si="0"/>
        <v>34</v>
      </c>
      <c r="E48" s="457"/>
      <c r="F48" s="458"/>
      <c r="G48" s="458"/>
      <c r="H48" s="458"/>
      <c r="I48" s="459"/>
      <c r="J48" s="53"/>
      <c r="K48" s="53"/>
      <c r="L48" s="53"/>
      <c r="M48" s="53"/>
      <c r="N48" s="53"/>
      <c r="O48" s="53"/>
      <c r="P48" s="53"/>
      <c r="Q48" s="53"/>
    </row>
    <row r="49" spans="4:17" ht="34.9" customHeight="1">
      <c r="D49" s="5">
        <f t="shared" si="0"/>
        <v>35</v>
      </c>
      <c r="E49" s="457"/>
      <c r="F49" s="458"/>
      <c r="G49" s="458"/>
      <c r="H49" s="458"/>
      <c r="I49" s="459"/>
      <c r="J49" s="53"/>
      <c r="K49" s="53"/>
      <c r="L49" s="53"/>
      <c r="M49" s="53"/>
      <c r="N49" s="53"/>
      <c r="O49" s="53"/>
      <c r="P49" s="53"/>
      <c r="Q49" s="53"/>
    </row>
    <row r="50" spans="4:17" ht="34.9" customHeight="1">
      <c r="D50" s="5">
        <f t="shared" si="0"/>
        <v>36</v>
      </c>
      <c r="E50" s="457"/>
      <c r="F50" s="458"/>
      <c r="G50" s="458"/>
      <c r="H50" s="458"/>
      <c r="I50" s="459"/>
      <c r="J50" s="53"/>
      <c r="K50" s="53"/>
      <c r="L50" s="53"/>
      <c r="M50" s="53"/>
      <c r="N50" s="53"/>
      <c r="O50" s="53"/>
      <c r="P50" s="53"/>
      <c r="Q50" s="53"/>
    </row>
    <row r="51" spans="4:17" ht="34.9" customHeight="1">
      <c r="D51" s="5">
        <f t="shared" si="0"/>
        <v>37</v>
      </c>
      <c r="E51" s="457"/>
      <c r="F51" s="458"/>
      <c r="G51" s="458"/>
      <c r="H51" s="458"/>
      <c r="I51" s="459"/>
      <c r="J51" s="53"/>
      <c r="K51" s="53"/>
      <c r="L51" s="53"/>
      <c r="M51" s="53"/>
      <c r="N51" s="53"/>
      <c r="O51" s="53"/>
      <c r="P51" s="53"/>
      <c r="Q51" s="53"/>
    </row>
    <row r="52" spans="4:17" ht="34.9" customHeight="1">
      <c r="D52" s="5">
        <f t="shared" si="0"/>
        <v>38</v>
      </c>
      <c r="E52" s="457"/>
      <c r="F52" s="458"/>
      <c r="G52" s="458"/>
      <c r="H52" s="458"/>
      <c r="I52" s="459"/>
      <c r="J52" s="53"/>
      <c r="K52" s="53"/>
      <c r="L52" s="53"/>
      <c r="M52" s="53"/>
      <c r="N52" s="53"/>
      <c r="O52" s="53"/>
      <c r="P52" s="53"/>
      <c r="Q52" s="53"/>
    </row>
    <row r="53" spans="4:17" ht="34.9" customHeight="1">
      <c r="D53" s="5">
        <f t="shared" si="0"/>
        <v>39</v>
      </c>
      <c r="E53" s="457"/>
      <c r="F53" s="458"/>
      <c r="G53" s="458"/>
      <c r="H53" s="458"/>
      <c r="I53" s="459"/>
      <c r="J53" s="53"/>
      <c r="K53" s="53"/>
      <c r="L53" s="53"/>
      <c r="M53" s="53"/>
      <c r="N53" s="53"/>
      <c r="O53" s="53"/>
      <c r="P53" s="53"/>
      <c r="Q53" s="53"/>
    </row>
    <row r="54" spans="4:17" ht="34.9" customHeight="1">
      <c r="D54" s="5">
        <f t="shared" si="0"/>
        <v>40</v>
      </c>
      <c r="E54" s="457"/>
      <c r="F54" s="458"/>
      <c r="G54" s="458"/>
      <c r="H54" s="458"/>
      <c r="I54" s="459"/>
      <c r="J54" s="53"/>
      <c r="K54" s="53"/>
      <c r="L54" s="53"/>
      <c r="M54" s="53"/>
      <c r="N54" s="53"/>
      <c r="O54" s="53"/>
      <c r="P54" s="53"/>
      <c r="Q54" s="53"/>
    </row>
    <row r="55" spans="4:17" ht="34.9" customHeight="1">
      <c r="D55" s="5">
        <f t="shared" si="0"/>
        <v>41</v>
      </c>
      <c r="E55" s="457"/>
      <c r="F55" s="458"/>
      <c r="G55" s="458"/>
      <c r="H55" s="458"/>
      <c r="I55" s="459"/>
      <c r="J55" s="53"/>
      <c r="K55" s="53"/>
      <c r="L55" s="53"/>
      <c r="M55" s="53"/>
      <c r="N55" s="53"/>
      <c r="O55" s="53"/>
      <c r="P55" s="53"/>
      <c r="Q55" s="53"/>
    </row>
    <row r="56" spans="4:17" ht="34.9" customHeight="1">
      <c r="D56" s="5">
        <f t="shared" si="0"/>
        <v>42</v>
      </c>
      <c r="E56" s="457"/>
      <c r="F56" s="458"/>
      <c r="G56" s="458"/>
      <c r="H56" s="458"/>
      <c r="I56" s="459"/>
      <c r="J56" s="53"/>
      <c r="K56" s="53"/>
      <c r="L56" s="53"/>
      <c r="M56" s="53"/>
      <c r="N56" s="53"/>
      <c r="O56" s="53"/>
      <c r="P56" s="53"/>
      <c r="Q56" s="53"/>
    </row>
    <row r="57" spans="4:17" ht="34.9" customHeight="1">
      <c r="D57" s="5">
        <f t="shared" si="0"/>
        <v>43</v>
      </c>
      <c r="E57" s="457"/>
      <c r="F57" s="458"/>
      <c r="G57" s="458"/>
      <c r="H57" s="458"/>
      <c r="I57" s="459"/>
      <c r="J57" s="53"/>
      <c r="K57" s="53"/>
      <c r="L57" s="53"/>
      <c r="M57" s="53"/>
      <c r="N57" s="53"/>
      <c r="O57" s="53"/>
      <c r="P57" s="53"/>
      <c r="Q57" s="53"/>
    </row>
    <row r="58" spans="4:17" ht="34.9" customHeight="1">
      <c r="D58" s="5">
        <f t="shared" si="0"/>
        <v>44</v>
      </c>
      <c r="E58" s="457"/>
      <c r="F58" s="458"/>
      <c r="G58" s="458"/>
      <c r="H58" s="458"/>
      <c r="I58" s="459"/>
      <c r="J58" s="53"/>
      <c r="K58" s="53"/>
      <c r="L58" s="53"/>
      <c r="M58" s="53"/>
      <c r="N58" s="53"/>
      <c r="O58" s="53"/>
      <c r="P58" s="53"/>
      <c r="Q58" s="53"/>
    </row>
    <row r="59" spans="4:17" ht="34.9" customHeight="1">
      <c r="D59" s="5">
        <f t="shared" si="0"/>
        <v>45</v>
      </c>
      <c r="E59" s="457"/>
      <c r="F59" s="458"/>
      <c r="G59" s="458"/>
      <c r="H59" s="458"/>
      <c r="I59" s="459"/>
      <c r="J59" s="53"/>
      <c r="K59" s="53"/>
      <c r="L59" s="53"/>
      <c r="M59" s="53"/>
      <c r="N59" s="53"/>
      <c r="O59" s="53"/>
      <c r="P59" s="53"/>
      <c r="Q59" s="53"/>
    </row>
    <row r="60" spans="4:17" ht="34.9" customHeight="1">
      <c r="D60" s="5">
        <f t="shared" si="0"/>
        <v>46</v>
      </c>
      <c r="E60" s="457"/>
      <c r="F60" s="458"/>
      <c r="G60" s="458"/>
      <c r="H60" s="458"/>
      <c r="I60" s="459"/>
      <c r="J60" s="53"/>
      <c r="K60" s="53"/>
      <c r="L60" s="53"/>
      <c r="M60" s="53"/>
      <c r="N60" s="53"/>
      <c r="O60" s="53"/>
      <c r="P60" s="53"/>
      <c r="Q60" s="53"/>
    </row>
    <row r="61" spans="4:17" ht="34.9" customHeight="1">
      <c r="D61" s="5">
        <f t="shared" si="0"/>
        <v>47</v>
      </c>
      <c r="E61" s="457"/>
      <c r="F61" s="458"/>
      <c r="G61" s="458"/>
      <c r="H61" s="458"/>
      <c r="I61" s="459"/>
      <c r="J61" s="53"/>
      <c r="K61" s="53"/>
      <c r="L61" s="53"/>
      <c r="M61" s="53"/>
      <c r="N61" s="53"/>
      <c r="O61" s="53"/>
      <c r="P61" s="53"/>
      <c r="Q61" s="53"/>
    </row>
    <row r="62" spans="4:17" ht="34.9" customHeight="1">
      <c r="D62" s="5">
        <f t="shared" si="0"/>
        <v>48</v>
      </c>
      <c r="E62" s="457"/>
      <c r="F62" s="458"/>
      <c r="G62" s="458"/>
      <c r="H62" s="458"/>
      <c r="I62" s="459"/>
      <c r="J62" s="53"/>
      <c r="K62" s="53"/>
      <c r="L62" s="53"/>
      <c r="M62" s="53"/>
      <c r="N62" s="53"/>
      <c r="O62" s="53"/>
      <c r="P62" s="53"/>
      <c r="Q62" s="53"/>
    </row>
    <row r="63" spans="4:17" ht="34.9" customHeight="1">
      <c r="D63" s="5">
        <f t="shared" si="0"/>
        <v>49</v>
      </c>
      <c r="E63" s="457"/>
      <c r="F63" s="458"/>
      <c r="G63" s="458"/>
      <c r="H63" s="458"/>
      <c r="I63" s="459"/>
      <c r="J63" s="53"/>
      <c r="K63" s="53"/>
      <c r="L63" s="53"/>
      <c r="M63" s="53"/>
      <c r="N63" s="53"/>
      <c r="O63" s="53"/>
      <c r="P63" s="53"/>
      <c r="Q63" s="53"/>
    </row>
    <row r="64" spans="4:17" ht="34.9" customHeight="1">
      <c r="D64" s="32">
        <f t="shared" si="0"/>
        <v>50</v>
      </c>
      <c r="E64" s="434"/>
      <c r="F64" s="435"/>
      <c r="G64" s="435"/>
      <c r="H64" s="435"/>
      <c r="I64" s="423"/>
      <c r="J64" s="53"/>
      <c r="K64" s="53"/>
      <c r="L64" s="53"/>
      <c r="M64" s="53"/>
      <c r="N64" s="53"/>
      <c r="O64" s="53"/>
      <c r="P64" s="53"/>
      <c r="Q64" s="53"/>
    </row>
    <row r="65" spans="2:26" ht="12.75">
      <c r="E65" s="429"/>
      <c r="F65" s="429"/>
      <c r="G65" s="429"/>
      <c r="H65" s="429"/>
      <c r="I65" s="53"/>
      <c r="J65" s="53"/>
      <c r="K65" s="53"/>
      <c r="L65" s="53"/>
      <c r="M65" s="53"/>
      <c r="N65" s="53"/>
      <c r="O65" s="53"/>
      <c r="P65" s="53"/>
      <c r="Q65" s="53"/>
    </row>
    <row r="66" spans="2:26" ht="12.75">
      <c r="E66" s="429"/>
      <c r="F66" s="429"/>
      <c r="G66" s="429"/>
      <c r="H66" s="429"/>
      <c r="I66" s="53"/>
      <c r="J66" s="53"/>
      <c r="K66" s="53"/>
      <c r="L66" s="53"/>
      <c r="M66" s="53"/>
      <c r="N66" s="53"/>
      <c r="O66" s="53"/>
      <c r="P66" s="53"/>
      <c r="Q66" s="53"/>
    </row>
    <row r="67" spans="2:26" ht="12.75">
      <c r="E67" s="429"/>
      <c r="F67" s="429"/>
      <c r="G67" s="429"/>
      <c r="H67" s="429"/>
      <c r="I67" s="53"/>
      <c r="J67" s="53"/>
      <c r="K67" s="53"/>
      <c r="L67" s="53"/>
      <c r="M67" s="53"/>
      <c r="N67" s="53"/>
      <c r="O67" s="53"/>
      <c r="P67" s="53"/>
      <c r="Q67" s="53"/>
    </row>
    <row r="68" spans="2:26" s="475" customFormat="1" ht="15" customHeight="1">
      <c r="B68" s="479" t="s">
        <v>104</v>
      </c>
      <c r="D68" s="472"/>
      <c r="E68" s="472"/>
      <c r="F68" s="472"/>
      <c r="G68" s="472"/>
      <c r="H68" s="472"/>
      <c r="R68" s="472"/>
      <c r="S68" s="472"/>
      <c r="T68" s="472"/>
      <c r="U68" s="472"/>
      <c r="V68" s="472"/>
      <c r="W68" s="472"/>
      <c r="Z68" s="472"/>
    </row>
    <row r="79" spans="2:26" ht="15" customHeight="1">
      <c r="C79" s="1"/>
      <c r="R79" s="1"/>
      <c r="S79" s="1"/>
      <c r="T79" s="1"/>
      <c r="U79" s="1"/>
      <c r="V79" s="1"/>
      <c r="W79" s="1"/>
      <c r="Z79" s="1"/>
    </row>
    <row r="80" spans="2:26" ht="15" customHeight="1">
      <c r="C80" s="1"/>
      <c r="R80" s="1"/>
      <c r="S80" s="1"/>
      <c r="T80" s="1"/>
      <c r="U80" s="1"/>
      <c r="V80" s="1"/>
      <c r="W80" s="1"/>
      <c r="Z80" s="1"/>
    </row>
    <row r="81" spans="4:8" s="1" customFormat="1" ht="15" customHeight="1">
      <c r="D81" s="5"/>
      <c r="E81" s="5"/>
      <c r="F81" s="5"/>
      <c r="G81" s="5"/>
      <c r="H81" s="5"/>
    </row>
    <row r="82" spans="4:8" s="1" customFormat="1" ht="15" customHeight="1">
      <c r="D82" s="5"/>
      <c r="E82" s="5"/>
      <c r="F82" s="5"/>
      <c r="G82" s="5"/>
      <c r="H82" s="5"/>
    </row>
    <row r="83" spans="4:8" s="1" customFormat="1" ht="15" customHeight="1">
      <c r="D83" s="5"/>
      <c r="E83" s="5"/>
      <c r="F83" s="5"/>
      <c r="G83" s="5"/>
      <c r="H83" s="5"/>
    </row>
    <row r="84" spans="4:8" s="1" customFormat="1" ht="15" customHeight="1">
      <c r="D84" s="5"/>
      <c r="E84" s="5"/>
      <c r="F84" s="5"/>
      <c r="G84" s="5"/>
      <c r="H84" s="5"/>
    </row>
    <row r="85" spans="4:8" s="1" customFormat="1" ht="15" customHeight="1">
      <c r="D85" s="5"/>
      <c r="E85" s="5"/>
      <c r="F85" s="5"/>
      <c r="G85" s="5"/>
      <c r="H85" s="5"/>
    </row>
    <row r="86" spans="4:8" s="1" customFormat="1" ht="15" customHeight="1">
      <c r="D86" s="5"/>
      <c r="E86" s="5"/>
      <c r="F86" s="5"/>
      <c r="G86" s="5"/>
      <c r="H86" s="5"/>
    </row>
    <row r="87" spans="4:8" s="1" customFormat="1" ht="15" customHeight="1">
      <c r="D87" s="5"/>
      <c r="E87" s="5"/>
      <c r="F87" s="5"/>
      <c r="G87" s="5"/>
      <c r="H87" s="5"/>
    </row>
    <row r="88" spans="4:8" s="1" customFormat="1" ht="15" customHeight="1">
      <c r="D88" s="5"/>
      <c r="E88" s="5"/>
      <c r="F88" s="5"/>
      <c r="G88" s="5"/>
      <c r="H88" s="5"/>
    </row>
    <row r="89" spans="4:8" s="1" customFormat="1" ht="15" customHeight="1">
      <c r="D89" s="5"/>
      <c r="E89" s="5"/>
      <c r="F89" s="5"/>
      <c r="G89" s="5"/>
      <c r="H89" s="5"/>
    </row>
    <row r="90" spans="4:8" s="1" customFormat="1" ht="15" customHeight="1">
      <c r="D90" s="5"/>
      <c r="E90" s="5"/>
      <c r="F90" s="5"/>
      <c r="G90" s="5"/>
      <c r="H90" s="5"/>
    </row>
    <row r="91" spans="4:8" s="1" customFormat="1" ht="15" customHeight="1">
      <c r="D91" s="5"/>
      <c r="E91" s="5"/>
      <c r="F91" s="5"/>
      <c r="G91" s="5"/>
      <c r="H91" s="5"/>
    </row>
  </sheetData>
  <sheetProtection sheet="1" objects="1" scenarios="1"/>
  <conditionalFormatting sqref="B2:H2 N2:U2 B3:U3">
    <cfRule type="expression" dxfId="838" priority="16">
      <formula>$C$10&lt;ErrorTolerance</formula>
    </cfRule>
  </conditionalFormatting>
  <conditionalFormatting sqref="B3">
    <cfRule type="expression" dxfId="837" priority="15">
      <formula>$C$11&gt;=ErrorTolerance</formula>
    </cfRule>
  </conditionalFormatting>
  <conditionalFormatting sqref="L2">
    <cfRule type="expression" dxfId="836" priority="14">
      <formula>Model.Navigation.View=No</formula>
    </cfRule>
  </conditionalFormatting>
  <conditionalFormatting sqref="L2">
    <cfRule type="expression" dxfId="835" priority="13">
      <formula>Model.Navigation.View=No</formula>
    </cfRule>
  </conditionalFormatting>
  <conditionalFormatting sqref="J2">
    <cfRule type="expression" dxfId="834" priority="12">
      <formula>Model.Navigation.View=No</formula>
    </cfRule>
  </conditionalFormatting>
  <conditionalFormatting sqref="J2">
    <cfRule type="expression" dxfId="833" priority="11">
      <formula>Model.Navigation.View=No</formula>
    </cfRule>
  </conditionalFormatting>
  <conditionalFormatting sqref="M2">
    <cfRule type="expression" dxfId="832" priority="6">
      <formula>Model.Navigation.View=No</formula>
    </cfRule>
  </conditionalFormatting>
  <conditionalFormatting sqref="M2">
    <cfRule type="expression" dxfId="831" priority="5">
      <formula>Model.Navigation.View=No</formula>
    </cfRule>
  </conditionalFormatting>
  <conditionalFormatting sqref="K2">
    <cfRule type="expression" dxfId="830" priority="2">
      <formula>Model.Navigation.View=No</formula>
    </cfRule>
  </conditionalFormatting>
  <conditionalFormatting sqref="K2">
    <cfRule type="expression" dxfId="829" priority="1">
      <formula>Model.Navigation.View=No</formula>
    </cfRule>
  </conditionalFormatting>
  <hyperlinks>
    <hyperlink ref="K2" location="'Opdateringslog, Dansk Energi'!B11" tooltip="Gå til toppen af arket" display="'Opdateringslog, Dansk Energi'!B11" xr:uid="{EC9D7011-3298-4C66-9708-990B8B83F167}"/>
    <hyperlink ref="L2" location="'2.3 Selskabsspecifikke input'!B2" tooltip="Gå til selskabsspecifikke input" display="'2.3 Selskabsspecifikke input'!B2" xr:uid="{C27ECE6E-0519-4CDD-B3D8-DCFCA4901B12}"/>
    <hyperlink ref="J2" location="Modeloverblik!B2" tooltip="Gå til modelbeskrivelse" display="Modeloverblik!B2" xr:uid="{17D3C7B5-6C76-4651-A917-80706556B67E}"/>
    <hyperlink ref="M2" location="'4.1 Fejl- og kontroloversigt'!B2" tooltip="Gå til fejl- og kontrolchecks" display="'4.1 Fejl- og kontroloversigt'!B2" xr:uid="{B87366FE-36E7-478C-A1FB-CB61A71FC6A7}"/>
  </hyperlinks>
  <pageMargins left="0.7" right="0.7" top="0.75" bottom="0.75" header="0.3" footer="0.3"/>
  <pageSetup paperSize="9" scale="75" orientation="portrait" r:id="rId1"/>
  <headerFooter scaleWithDoc="0">
    <oddHeader>&amp;L&amp;"Arial,Bold"&amp;8PwC | Modeling Center of Excellence&amp;R&amp;"Arial,Bold"&amp;8DRAFT FOR DISCUSSION PURPOSES ONLY</oddHeader>
    <oddFooter>&amp;L&amp;8Printed: &amp;T
&amp;D&amp;C&amp;"Arial,Bold"&amp;8* This model is untested.  Treat all output with caution. *&amp;"Arial,Regular"
&amp;8&amp;F  :  &amp;A&amp;R&amp;8Page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5CFDE-598D-4281-B060-29ACA19FDFB2}">
  <sheetPr>
    <tabColor rgb="FF222221"/>
  </sheetPr>
  <dimension ref="A1:O11"/>
  <sheetViews>
    <sheetView showGridLines="0" zoomScale="85" zoomScaleNormal="85" workbookViewId="0"/>
  </sheetViews>
  <sheetFormatPr defaultColWidth="0" defaultRowHeight="12" customHeight="1" zeroHeight="1"/>
  <cols>
    <col min="1" max="2" width="4.1640625" customWidth="1"/>
    <col min="3" max="13" width="9.1640625" customWidth="1"/>
    <col min="14" max="15" width="4.1640625" customWidth="1"/>
    <col min="16" max="16384" width="9.1640625" hidden="1"/>
  </cols>
  <sheetData>
    <row r="1" spans="2:14"/>
    <row r="2" spans="2:14">
      <c r="B2" s="55"/>
      <c r="C2" s="56"/>
      <c r="D2" s="56"/>
      <c r="E2" s="56"/>
      <c r="F2" s="56"/>
      <c r="G2" s="56"/>
      <c r="H2" s="56"/>
      <c r="I2" s="56"/>
      <c r="J2" s="56"/>
      <c r="K2" s="56"/>
      <c r="L2" s="56"/>
      <c r="M2" s="56"/>
      <c r="N2" s="57"/>
    </row>
    <row r="3" spans="2:14"/>
    <row r="4" spans="2:14"/>
    <row r="5" spans="2:14"/>
    <row r="6" spans="2:14" ht="35.25">
      <c r="C6" s="58" t="s">
        <v>335</v>
      </c>
    </row>
    <row r="7" spans="2:14"/>
    <row r="8" spans="2:14"/>
    <row r="9" spans="2:14"/>
    <row r="10" spans="2:14">
      <c r="B10" s="59"/>
      <c r="C10" s="60"/>
      <c r="D10" s="60"/>
      <c r="E10" s="60"/>
      <c r="F10" s="60"/>
      <c r="G10" s="60"/>
      <c r="H10" s="60"/>
      <c r="I10" s="60"/>
      <c r="J10" s="60"/>
      <c r="K10" s="60"/>
      <c r="L10" s="60"/>
      <c r="M10" s="60"/>
      <c r="N10" s="61"/>
    </row>
    <row r="11" spans="2:14"/>
  </sheetData>
  <sheetProtection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28725-A003-416E-BB22-99C29EF38A34}">
  <sheetPr codeName="Sheet29">
    <tabColor rgb="FF307675"/>
    <outlinePr summaryBelow="0"/>
  </sheetPr>
  <dimension ref="A1:CI254"/>
  <sheetViews>
    <sheetView showGridLines="0" zoomScale="85" zoomScaleNormal="85" workbookViewId="0">
      <pane xSplit="14" ySplit="10" topLeftCell="O11" activePane="bottomRight" state="frozen"/>
      <selection pane="topRight" activeCell="O1" sqref="O1"/>
      <selection pane="bottomLeft" activeCell="A11" sqref="A11"/>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23" width="18.6640625" style="1" customWidth="1"/>
    <col min="24" max="29" width="16.6640625" style="1" customWidth="1"/>
    <col min="30" max="87" width="16.6640625" style="1" hidden="1" customWidth="1"/>
    <col min="88" max="16384" width="9.1640625" style="1" hidden="1"/>
  </cols>
  <sheetData>
    <row r="1" spans="1:29" ht="4.9000000000000004" customHeight="1"/>
    <row r="2" spans="1:29" ht="19.899999999999999" customHeight="1">
      <c r="B2" s="6" t="str">
        <f ca="1" xml:space="preserve"> MID( CELL("filename", B2), FIND("]", CELL("filename",B2) ) + 1, Model.MaxChars)</f>
        <v>1.1 Provenu</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1:29"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1:29" ht="15" customHeight="1">
      <c r="F4" s="74" t="s">
        <v>274</v>
      </c>
      <c r="I4" s="25">
        <f xml:space="preserve"> SUM(L:L)</f>
        <v>0</v>
      </c>
    </row>
    <row r="5" spans="1:29" ht="15" customHeight="1">
      <c r="F5" s="74" t="s">
        <v>275</v>
      </c>
      <c r="I5" s="84">
        <f xml:space="preserve"> SUM(M:M)</f>
        <v>0</v>
      </c>
    </row>
    <row r="6" spans="1:29" ht="15" customHeight="1">
      <c r="F6" s="74" t="s">
        <v>276</v>
      </c>
      <c r="I6" s="25">
        <f xml:space="preserve"> SUM( L:L ) + SUM( '1.2 Tarifoversigt'!L:L) + SUM( '1.3 Varslingsanalyse'!L:L) + SUM( '1.4 Hoveddata'!L:L) + SUM('2.1 Model setup'!L:L ) + SUM('2.2 Generelle input'!L:L ) + SUM( '2.3 Selskabsspecifikke input'!L:L) + SUM( '3.1 Opsplitning af forbrug'!L:L) + SUM( '3.2 Abonnement'!L:L) + SUM( '3.3 Forbrugstariffer og effekt'!L:L) + SUM( '3.4 Tidsdifferentieret tarif'!L:L) + SUM('3.5 Indfødningstarif'!L:L)+ SUM( 'Hjælpeark, forbrugsnøgler'!L:L) + SUM( 'Hjælpeark, fall-back-metoden'!L:L )</f>
        <v>0</v>
      </c>
    </row>
    <row r="7" spans="1:29" ht="15" customHeight="1">
      <c r="F7" s="75" t="s">
        <v>236</v>
      </c>
      <c r="G7" s="27"/>
      <c r="H7" s="27"/>
      <c r="I7" s="329">
        <f xml:space="preserve"> '1.3 Varslingsanalyse'!I7</f>
        <v>0</v>
      </c>
    </row>
    <row r="8" spans="1:29" ht="15" customHeight="1">
      <c r="L8" s="484" t="str">
        <f xml:space="preserve"> Header.Labels</f>
        <v>Checks</v>
      </c>
      <c r="M8" s="484"/>
    </row>
    <row r="9" spans="1:29" ht="5.0999999999999996" customHeight="1">
      <c r="E9" s="14"/>
      <c r="F9" s="28"/>
      <c r="G9" s="28"/>
      <c r="H9" s="28"/>
      <c r="I9" s="28"/>
      <c r="J9" s="28"/>
      <c r="L9" s="485"/>
      <c r="M9" s="473"/>
      <c r="N9" s="28"/>
      <c r="O9" s="28"/>
      <c r="P9" s="28"/>
      <c r="Q9" s="28"/>
    </row>
    <row r="10" spans="1:29"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1:29" s="15" customFormat="1" ht="15" customHeight="1">
      <c r="A11" s="1"/>
      <c r="C11" s="16"/>
      <c r="D11" s="17"/>
      <c r="F11" s="1"/>
      <c r="K11" s="19"/>
    </row>
    <row r="12" spans="1:29" s="475" customFormat="1" ht="15" customHeight="1">
      <c r="B12" s="479" t="str">
        <f xml:space="preserve"> COUNTA(B$10:B11) &amp; ") Nedbrydning af provenu på kundekategorier"</f>
        <v>1) Nedbrydning af provenu på kundekategorier</v>
      </c>
      <c r="C12" s="477"/>
      <c r="D12" s="478"/>
      <c r="K12" s="472"/>
    </row>
    <row r="14" spans="1:29" ht="15" customHeight="1">
      <c r="D14" s="4" t="s">
        <v>285</v>
      </c>
      <c r="W14" s="185" t="s">
        <v>16</v>
      </c>
      <c r="AC14" s="4"/>
    </row>
    <row r="15" spans="1:29" ht="15" customHeight="1">
      <c r="D15" s="15" t="s">
        <v>125</v>
      </c>
      <c r="E15" s="15"/>
      <c r="F15" s="15"/>
      <c r="G15" s="15"/>
      <c r="H15" s="15"/>
      <c r="I15" s="15"/>
      <c r="J15" s="15"/>
      <c r="K15" s="19" t="str">
        <f xml:space="preserve"> Model.Units</f>
        <v>DKKt</v>
      </c>
      <c r="L15" s="123">
        <f xml:space="preserve"> -- ( IF( '2.3 Selskabsspecifikke input'!N51 = 0, 0, ROUND( W15, 5 ) &lt;&gt; ROUND( '3.3 Forbrugstariffer og effekt'!W765 + W25 + W26, 5 ) ) )</f>
        <v>0</v>
      </c>
      <c r="M15" s="15"/>
      <c r="N15" s="15"/>
      <c r="O15" s="15">
        <f t="shared" ref="O15:P15" si="0" xml:space="preserve"> O27</f>
        <v>0</v>
      </c>
      <c r="P15" s="15">
        <f t="shared" si="0"/>
        <v>0</v>
      </c>
      <c r="Q15" s="274"/>
      <c r="R15" s="15">
        <f xml:space="preserve"> R27</f>
        <v>0</v>
      </c>
      <c r="S15" s="15">
        <f xml:space="preserve"> S27</f>
        <v>0</v>
      </c>
      <c r="T15" s="15">
        <f xml:space="preserve"> T27</f>
        <v>0</v>
      </c>
      <c r="U15" s="15">
        <f xml:space="preserve"> U27</f>
        <v>0</v>
      </c>
      <c r="V15" s="15">
        <f xml:space="preserve"> V27</f>
        <v>0</v>
      </c>
      <c r="W15" s="18">
        <f xml:space="preserve"> SUM( O15:V15 )</f>
        <v>0</v>
      </c>
    </row>
    <row r="16" spans="1:29" ht="15" customHeight="1">
      <c r="D16" s="1" t="s">
        <v>192</v>
      </c>
      <c r="K16" s="5" t="str">
        <f xml:space="preserve"> Model.Units</f>
        <v>DKKt</v>
      </c>
      <c r="L16" s="85">
        <f xml:space="preserve"> -- ( IF( '2.3 Selskabsspecifikke input'!N51 = 0, 0, ROUND( W16, 5 ) &lt;&gt; ROUND( '3.3 Forbrugstariffer og effekt'!W766, 5 ) ) )</f>
        <v>0</v>
      </c>
      <c r="O16" s="202"/>
      <c r="P16" s="202"/>
      <c r="Q16" s="202"/>
      <c r="R16" s="1">
        <f xml:space="preserve"> R30</f>
        <v>0</v>
      </c>
      <c r="S16" s="1">
        <f xml:space="preserve"> S30</f>
        <v>0</v>
      </c>
      <c r="T16" s="1">
        <f xml:space="preserve"> T30</f>
        <v>0</v>
      </c>
      <c r="U16" s="1">
        <f xml:space="preserve"> U30</f>
        <v>0</v>
      </c>
      <c r="V16" s="1">
        <f xml:space="preserve"> V30</f>
        <v>0</v>
      </c>
      <c r="W16" s="4">
        <f xml:space="preserve"> SUM( O16:V16 )</f>
        <v>0</v>
      </c>
    </row>
    <row r="17" spans="4:23" ht="15" customHeight="1">
      <c r="D17" s="1" t="s">
        <v>39</v>
      </c>
      <c r="K17" s="5" t="str">
        <f xml:space="preserve"> Model.Units</f>
        <v>DKKt</v>
      </c>
      <c r="L17" s="99">
        <f xml:space="preserve"> -- ( IF( '2.3 Selskabsspecifikke input'!N51 = 0, 0, ROUND( W17, 5 ) &lt;&gt; ROUND( '3.2 Abonnement'!W162, 5 ) ) )</f>
        <v>0</v>
      </c>
      <c r="O17" s="202"/>
      <c r="P17" s="202"/>
      <c r="Q17" s="1">
        <f xml:space="preserve"> Q37</f>
        <v>0</v>
      </c>
      <c r="R17" s="1">
        <f xml:space="preserve"> R37</f>
        <v>0</v>
      </c>
      <c r="S17" s="1">
        <f t="shared" ref="S17:V17" si="1" xml:space="preserve"> S37</f>
        <v>0</v>
      </c>
      <c r="T17" s="1">
        <f t="shared" si="1"/>
        <v>0</v>
      </c>
      <c r="U17" s="1">
        <f t="shared" si="1"/>
        <v>0</v>
      </c>
      <c r="V17" s="1">
        <f t="shared" si="1"/>
        <v>0</v>
      </c>
      <c r="W17" s="4">
        <f xml:space="preserve"> SUM( O17:V17 )</f>
        <v>0</v>
      </c>
    </row>
    <row r="18" spans="4:23" ht="15" customHeight="1">
      <c r="D18" s="186" t="s">
        <v>16</v>
      </c>
      <c r="E18" s="186"/>
      <c r="F18" s="186"/>
      <c r="G18" s="186"/>
      <c r="H18" s="186"/>
      <c r="I18" s="186"/>
      <c r="J18" s="186"/>
      <c r="K18" s="187" t="str">
        <f xml:space="preserve"> Model.Units</f>
        <v>DKKt</v>
      </c>
      <c r="L18" s="99">
        <f xml:space="preserve"> -- ( IF( '2.3 Selskabsspecifikke input'!N51 = 0, 0, ROUND( W18, 5 ) &lt;&gt; ROUND( '3.1 Opsplitning af forbrug'!N18, 5 ) ) )</f>
        <v>0</v>
      </c>
      <c r="M18" s="186"/>
      <c r="N18" s="186"/>
      <c r="O18" s="186">
        <f t="shared" ref="O18:U18" si="2" xml:space="preserve"> SUM( O15:O17 )</f>
        <v>0</v>
      </c>
      <c r="P18" s="186">
        <f t="shared" si="2"/>
        <v>0</v>
      </c>
      <c r="Q18" s="186">
        <f t="shared" si="2"/>
        <v>0</v>
      </c>
      <c r="R18" s="186">
        <f t="shared" si="2"/>
        <v>0</v>
      </c>
      <c r="S18" s="186">
        <f t="shared" si="2"/>
        <v>0</v>
      </c>
      <c r="T18" s="186">
        <f t="shared" si="2"/>
        <v>0</v>
      </c>
      <c r="U18" s="186">
        <f t="shared" si="2"/>
        <v>0</v>
      </c>
      <c r="V18" s="186">
        <f xml:space="preserve"> SUM( V15:V17 )</f>
        <v>0</v>
      </c>
      <c r="W18" s="186">
        <f xml:space="preserve"> SUM( W15:W17 )</f>
        <v>0</v>
      </c>
    </row>
    <row r="19" spans="4:23" ht="15" customHeight="1">
      <c r="D19" s="4"/>
      <c r="E19" s="4"/>
      <c r="F19" s="4"/>
      <c r="G19" s="4"/>
      <c r="H19" s="4"/>
      <c r="I19" s="4"/>
      <c r="J19" s="4"/>
      <c r="K19" s="78"/>
      <c r="L19" s="4"/>
      <c r="M19" s="4"/>
      <c r="N19" s="4"/>
      <c r="O19" s="4"/>
      <c r="P19" s="4"/>
      <c r="Q19" s="4"/>
      <c r="R19" s="111"/>
      <c r="S19" s="111"/>
      <c r="T19" s="111"/>
      <c r="U19" s="111"/>
      <c r="V19" s="111"/>
      <c r="W19" s="111"/>
    </row>
    <row r="20" spans="4:23" ht="15" customHeight="1">
      <c r="D20" s="35" t="s">
        <v>125</v>
      </c>
      <c r="E20" s="27"/>
      <c r="F20" s="27"/>
      <c r="G20" s="27"/>
      <c r="H20" s="27"/>
      <c r="I20" s="27"/>
      <c r="J20" s="27"/>
      <c r="K20" s="32"/>
      <c r="L20" s="27"/>
      <c r="M20" s="27"/>
      <c r="N20" s="27"/>
      <c r="O20" s="27"/>
      <c r="P20" s="27"/>
      <c r="Q20" s="27"/>
      <c r="R20" s="27"/>
      <c r="S20" s="27"/>
      <c r="T20" s="27"/>
      <c r="U20" s="27"/>
      <c r="V20" s="27"/>
      <c r="W20" s="185" t="s">
        <v>16</v>
      </c>
    </row>
    <row r="21" spans="4:23" ht="15" customHeight="1">
      <c r="D21" s="124" t="s">
        <v>268</v>
      </c>
      <c r="K21" s="5" t="str">
        <f t="shared" ref="K21:K27" si="3" xml:space="preserve"> Model.Units</f>
        <v>DKKt</v>
      </c>
      <c r="O21" s="202"/>
      <c r="P21" s="202"/>
      <c r="Q21" s="202"/>
      <c r="R21" s="1">
        <f xml:space="preserve"> '3.4 Tidsdifferentieret tarif'!R353</f>
        <v>0</v>
      </c>
      <c r="S21" s="1">
        <f xml:space="preserve"> '3.4 Tidsdifferentieret tarif'!S353</f>
        <v>0</v>
      </c>
      <c r="T21" s="1">
        <f xml:space="preserve"> '3.4 Tidsdifferentieret tarif'!T353</f>
        <v>0</v>
      </c>
      <c r="U21" s="1">
        <f xml:space="preserve"> '3.4 Tidsdifferentieret tarif'!U353</f>
        <v>0</v>
      </c>
      <c r="V21" s="1">
        <f xml:space="preserve"> '3.4 Tidsdifferentieret tarif'!V353</f>
        <v>0</v>
      </c>
      <c r="W21" s="566">
        <f xml:space="preserve"> SUM( O21:V21 )</f>
        <v>0</v>
      </c>
    </row>
    <row r="22" spans="4:23" ht="15" customHeight="1">
      <c r="D22" s="124" t="s">
        <v>269</v>
      </c>
      <c r="K22" s="5" t="str">
        <f t="shared" si="3"/>
        <v>DKKt</v>
      </c>
      <c r="O22" s="202"/>
      <c r="P22" s="202"/>
      <c r="Q22" s="202"/>
      <c r="R22" s="1">
        <f xml:space="preserve"> '3.4 Tidsdifferentieret tarif'!R354</f>
        <v>0</v>
      </c>
      <c r="S22" s="1">
        <f xml:space="preserve"> '3.4 Tidsdifferentieret tarif'!S354</f>
        <v>0</v>
      </c>
      <c r="T22" s="1">
        <f xml:space="preserve"> '3.4 Tidsdifferentieret tarif'!T354</f>
        <v>0</v>
      </c>
      <c r="U22" s="1">
        <f xml:space="preserve"> '3.4 Tidsdifferentieret tarif'!U354</f>
        <v>0</v>
      </c>
      <c r="V22" s="1">
        <f xml:space="preserve"> '3.4 Tidsdifferentieret tarif'!V354</f>
        <v>0</v>
      </c>
      <c r="W22" s="566">
        <f xml:space="preserve"> SUM( O22:V22 )</f>
        <v>0</v>
      </c>
    </row>
    <row r="23" spans="4:23" ht="15" customHeight="1">
      <c r="D23" s="124" t="s">
        <v>270</v>
      </c>
      <c r="K23" s="5" t="str">
        <f t="shared" si="3"/>
        <v>DKKt</v>
      </c>
      <c r="L23" s="85">
        <f xml:space="preserve"> -- ( IF( '2.3 Selskabsspecifikke input'!N51 = 0, 0, ROUND( ( W21 + W22 + W23 ), 5 ) &lt;&gt; ROUND( ( '3.4 Tidsdifferentieret tarif'!W360 ), 5 ) ) )</f>
        <v>0</v>
      </c>
      <c r="O23" s="202"/>
      <c r="P23" s="202"/>
      <c r="Q23" s="202"/>
      <c r="R23" s="1">
        <f xml:space="preserve"> '3.4 Tidsdifferentieret tarif'!R355</f>
        <v>0</v>
      </c>
      <c r="S23" s="1">
        <f xml:space="preserve"> '3.4 Tidsdifferentieret tarif'!S355</f>
        <v>0</v>
      </c>
      <c r="T23" s="1">
        <f xml:space="preserve"> '3.4 Tidsdifferentieret tarif'!T355</f>
        <v>0</v>
      </c>
      <c r="U23" s="1">
        <f xml:space="preserve"> '3.4 Tidsdifferentieret tarif'!U355</f>
        <v>0</v>
      </c>
      <c r="V23" s="1">
        <f xml:space="preserve"> '3.4 Tidsdifferentieret tarif'!V355</f>
        <v>0</v>
      </c>
      <c r="W23" s="566">
        <f t="shared" ref="W23:W25" si="4" xml:space="preserve"> SUM( O23:V23 )</f>
        <v>0</v>
      </c>
    </row>
    <row r="24" spans="4:23" ht="15" customHeight="1">
      <c r="D24" s="1" t="s">
        <v>220</v>
      </c>
      <c r="K24" s="5" t="str">
        <f t="shared" si="3"/>
        <v>DKKt</v>
      </c>
      <c r="O24" s="202"/>
      <c r="P24" s="202"/>
      <c r="Q24" s="202"/>
      <c r="R24" s="231">
        <f xml:space="preserve"> '3.3 Forbrugstariffer og effekt'!R983</f>
        <v>0</v>
      </c>
      <c r="S24" s="231">
        <f xml:space="preserve"> '3.3 Forbrugstariffer og effekt'!S983</f>
        <v>0</v>
      </c>
      <c r="T24" s="231">
        <f xml:space="preserve"> '3.3 Forbrugstariffer og effekt'!T983</f>
        <v>0</v>
      </c>
      <c r="U24" s="231">
        <f xml:space="preserve"> '3.3 Forbrugstariffer og effekt'!U983</f>
        <v>0</v>
      </c>
      <c r="V24" s="231">
        <f xml:space="preserve"> '3.3 Forbrugstariffer og effekt'!V983</f>
        <v>0</v>
      </c>
      <c r="W24" s="566">
        <f t="shared" si="4"/>
        <v>0</v>
      </c>
    </row>
    <row r="25" spans="4:23" ht="15" customHeight="1">
      <c r="D25" s="124" t="s">
        <v>191</v>
      </c>
      <c r="K25" s="5" t="str">
        <f t="shared" si="3"/>
        <v>DKKt</v>
      </c>
      <c r="L25" s="85"/>
      <c r="O25" s="202"/>
      <c r="P25" s="202"/>
      <c r="Q25" s="202"/>
      <c r="R25" s="231">
        <f xml:space="preserve"> '3.1 Opsplitning af forbrug'!R31</f>
        <v>0</v>
      </c>
      <c r="S25" s="231">
        <f xml:space="preserve"> '3.1 Opsplitning af forbrug'!S31</f>
        <v>0</v>
      </c>
      <c r="T25" s="231">
        <f xml:space="preserve"> '3.1 Opsplitning af forbrug'!T31</f>
        <v>0</v>
      </c>
      <c r="U25" s="231">
        <f xml:space="preserve"> '3.1 Opsplitning af forbrug'!U31</f>
        <v>0</v>
      </c>
      <c r="V25" s="231">
        <f xml:space="preserve"> '3.1 Opsplitning af forbrug'!V31</f>
        <v>0</v>
      </c>
      <c r="W25" s="566">
        <f t="shared" si="4"/>
        <v>0</v>
      </c>
    </row>
    <row r="26" spans="4:23" ht="15" customHeight="1">
      <c r="D26" s="1" t="s">
        <v>585</v>
      </c>
      <c r="K26" s="5" t="str">
        <f t="shared" si="3"/>
        <v>DKKt</v>
      </c>
      <c r="O26" s="231">
        <f xml:space="preserve"> '3.5 Indfødningstarif'!O799</f>
        <v>0</v>
      </c>
      <c r="P26" s="1">
        <f xml:space="preserve"> '3.5 Indfødningstarif'!P799</f>
        <v>0</v>
      </c>
      <c r="Q26" s="202"/>
      <c r="R26" s="231">
        <f xml:space="preserve"> '3.5 Indfødningstarif'!R799</f>
        <v>0</v>
      </c>
      <c r="S26" s="231">
        <f xml:space="preserve"> '3.5 Indfødningstarif'!S799</f>
        <v>0</v>
      </c>
      <c r="T26" s="231">
        <f xml:space="preserve"> '3.5 Indfødningstarif'!T799</f>
        <v>0</v>
      </c>
      <c r="U26" s="231">
        <f xml:space="preserve"> '3.5 Indfødningstarif'!U799</f>
        <v>0</v>
      </c>
      <c r="V26" s="231">
        <f xml:space="preserve"> '3.5 Indfødningstarif'!V799</f>
        <v>0</v>
      </c>
      <c r="W26" s="566">
        <f xml:space="preserve"> SUM( O26:V26 )</f>
        <v>0</v>
      </c>
    </row>
    <row r="27" spans="4:23" ht="15" customHeight="1">
      <c r="D27" s="188" t="s">
        <v>16</v>
      </c>
      <c r="E27" s="186"/>
      <c r="F27" s="186"/>
      <c r="G27" s="186"/>
      <c r="H27" s="186"/>
      <c r="I27" s="186"/>
      <c r="J27" s="186"/>
      <c r="K27" s="187" t="str">
        <f t="shared" si="3"/>
        <v>DKKt</v>
      </c>
      <c r="L27" s="186"/>
      <c r="M27" s="186"/>
      <c r="N27" s="186"/>
      <c r="O27" s="186">
        <f xml:space="preserve"> SUM( O21:O26 )</f>
        <v>0</v>
      </c>
      <c r="P27" s="186">
        <f xml:space="preserve"> SUM( P21:P26 )</f>
        <v>0</v>
      </c>
      <c r="Q27" s="388"/>
      <c r="R27" s="186">
        <f xml:space="preserve"> SUM( R21:R26 )</f>
        <v>0</v>
      </c>
      <c r="S27" s="186">
        <f t="shared" ref="S27:W27" si="5" xml:space="preserve"> SUM( S21:S26 )</f>
        <v>0</v>
      </c>
      <c r="T27" s="186">
        <f t="shared" si="5"/>
        <v>0</v>
      </c>
      <c r="U27" s="186">
        <f t="shared" si="5"/>
        <v>0</v>
      </c>
      <c r="V27" s="186">
        <f xml:space="preserve"> SUM( V21:V26 )</f>
        <v>0</v>
      </c>
      <c r="W27" s="186">
        <f t="shared" si="5"/>
        <v>0</v>
      </c>
    </row>
    <row r="29" spans="4:23" ht="15" customHeight="1">
      <c r="D29" s="4" t="s">
        <v>192</v>
      </c>
      <c r="W29" s="185" t="s">
        <v>16</v>
      </c>
    </row>
    <row r="30" spans="4:23" ht="15" customHeight="1">
      <c r="D30" s="33" t="s">
        <v>193</v>
      </c>
      <c r="E30" s="33"/>
      <c r="F30" s="33"/>
      <c r="G30" s="33"/>
      <c r="H30" s="33"/>
      <c r="I30" s="33"/>
      <c r="J30" s="33"/>
      <c r="K30" s="34" t="str">
        <f xml:space="preserve"> Model.Units</f>
        <v>DKKt</v>
      </c>
      <c r="L30" s="33"/>
      <c r="M30" s="33"/>
      <c r="N30" s="33"/>
      <c r="O30" s="271"/>
      <c r="P30" s="271"/>
      <c r="Q30" s="271"/>
      <c r="R30" s="33">
        <f xml:space="preserve"> '3.3 Forbrugstariffer og effekt'!R766</f>
        <v>0</v>
      </c>
      <c r="S30" s="33">
        <f xml:space="preserve"> '3.3 Forbrugstariffer og effekt'!S766</f>
        <v>0</v>
      </c>
      <c r="T30" s="33">
        <f xml:space="preserve"> '3.3 Forbrugstariffer og effekt'!T766</f>
        <v>0</v>
      </c>
      <c r="U30" s="33">
        <f xml:space="preserve"> '3.3 Forbrugstariffer og effekt'!U766</f>
        <v>0</v>
      </c>
      <c r="V30" s="33">
        <f xml:space="preserve"> '3.3 Forbrugstariffer og effekt'!V766</f>
        <v>0</v>
      </c>
      <c r="W30" s="186">
        <f xml:space="preserve"> SUM( R30:V30 )</f>
        <v>0</v>
      </c>
    </row>
    <row r="32" spans="4:23" ht="15" customHeight="1">
      <c r="D32" s="4" t="s">
        <v>39</v>
      </c>
      <c r="W32" s="185" t="s">
        <v>16</v>
      </c>
    </row>
    <row r="33" spans="4:23" ht="15" customHeight="1">
      <c r="D33" s="123" t="s">
        <v>240</v>
      </c>
      <c r="E33" s="15"/>
      <c r="F33" s="15"/>
      <c r="G33" s="15"/>
      <c r="H33" s="15"/>
      <c r="I33" s="15"/>
      <c r="J33" s="15"/>
      <c r="K33" s="19" t="str">
        <f xml:space="preserve"> Model.Units</f>
        <v>DKKt</v>
      </c>
      <c r="L33" s="15"/>
      <c r="M33" s="15"/>
      <c r="N33" s="15"/>
      <c r="O33" s="274"/>
      <c r="P33" s="274"/>
      <c r="Q33" s="15">
        <f xml:space="preserve"> '3.2 Abonnement'!$R152 * '2.3 Selskabsspecifikke input'!Q322 / tDKKtilDKK</f>
        <v>0</v>
      </c>
      <c r="R33" s="15">
        <f xml:space="preserve"> '3.2 Abonnement'!$R152 * '2.3 Selskabsspecifikke input'!R322 / tDKKtilDKK</f>
        <v>0</v>
      </c>
      <c r="S33" s="15">
        <f xml:space="preserve"> '3.2 Abonnement'!S158</f>
        <v>0</v>
      </c>
      <c r="T33" s="15">
        <f xml:space="preserve"> '3.2 Abonnement'!T158</f>
        <v>0</v>
      </c>
      <c r="U33" s="15">
        <f xml:space="preserve"> '3.2 Abonnement'!U158</f>
        <v>0</v>
      </c>
      <c r="V33" s="15">
        <f xml:space="preserve"> '3.2 Abonnement'!V158</f>
        <v>0</v>
      </c>
      <c r="W33" s="4">
        <f xml:space="preserve"> SUM( Q33:V33 )</f>
        <v>0</v>
      </c>
    </row>
    <row r="34" spans="4:23" ht="15" customHeight="1">
      <c r="D34" s="1" t="s">
        <v>679</v>
      </c>
      <c r="K34" s="5" t="str">
        <f xml:space="preserve"> Model.Units</f>
        <v>DKKt</v>
      </c>
      <c r="O34" s="202"/>
      <c r="P34" s="202"/>
      <c r="Q34" s="1">
        <f xml:space="preserve"> '3.2 Abonnement'!$R153 * '2.3 Selskabsspecifikke input'!Q323 / tDKKtilDKK</f>
        <v>0</v>
      </c>
      <c r="R34" s="1">
        <f xml:space="preserve"> '3.2 Abonnement'!$R153 * '2.3 Selskabsspecifikke input'!R323 / tDKKtilDKK</f>
        <v>0</v>
      </c>
      <c r="S34" s="1">
        <f xml:space="preserve"> '3.2 Abonnement'!S159</f>
        <v>0</v>
      </c>
      <c r="T34" s="1">
        <f xml:space="preserve"> '3.2 Abonnement'!T159</f>
        <v>0</v>
      </c>
      <c r="U34" s="1">
        <f xml:space="preserve"> '3.2 Abonnement'!U159</f>
        <v>0</v>
      </c>
      <c r="V34" s="1">
        <f xml:space="preserve"> '3.2 Abonnement'!V159</f>
        <v>0</v>
      </c>
      <c r="W34" s="4">
        <f xml:space="preserve"> SUM( Q34:V34 )</f>
        <v>0</v>
      </c>
    </row>
    <row r="35" spans="4:23" ht="15" customHeight="1">
      <c r="D35" s="85" t="s">
        <v>243</v>
      </c>
      <c r="K35" s="5" t="str">
        <f xml:space="preserve"> Model.Units</f>
        <v>DKKt</v>
      </c>
      <c r="O35" s="202"/>
      <c r="P35" s="202"/>
      <c r="Q35" s="1">
        <f xml:space="preserve"> '3.2 Abonnement'!$R154 * '2.3 Selskabsspecifikke input'!Q324 / tDKKtilDKK</f>
        <v>0</v>
      </c>
      <c r="R35" s="1">
        <f xml:space="preserve"> '3.2 Abonnement'!$R154 * '2.3 Selskabsspecifikke input'!R324 / tDKKtilDKK</f>
        <v>0</v>
      </c>
      <c r="S35" s="1">
        <f xml:space="preserve"> '3.2 Abonnement'!S160</f>
        <v>0</v>
      </c>
      <c r="T35" s="1">
        <f xml:space="preserve"> '3.2 Abonnement'!T160</f>
        <v>0</v>
      </c>
      <c r="U35" s="1">
        <f xml:space="preserve"> '3.2 Abonnement'!U160</f>
        <v>0</v>
      </c>
      <c r="V35" s="1">
        <f xml:space="preserve"> '3.2 Abonnement'!V160</f>
        <v>0</v>
      </c>
      <c r="W35" s="4">
        <f xml:space="preserve"> SUM( Q35:V35 )</f>
        <v>0</v>
      </c>
    </row>
    <row r="36" spans="4:23" ht="15" customHeight="1">
      <c r="D36" s="85" t="s">
        <v>241</v>
      </c>
      <c r="K36" s="5" t="str">
        <f xml:space="preserve"> Model.Units</f>
        <v>DKKt</v>
      </c>
      <c r="O36" s="269"/>
      <c r="P36" s="269"/>
      <c r="Q36" s="1">
        <f xml:space="preserve"> '3.2 Abonnement'!$R155 * '2.3 Selskabsspecifikke input'!Q326 / tDKKtilDKK</f>
        <v>0</v>
      </c>
      <c r="R36" s="1">
        <f xml:space="preserve"> '3.2 Abonnement'!$R155 * '2.3 Selskabsspecifikke input'!R326 / tDKKtilDKK</f>
        <v>0</v>
      </c>
      <c r="S36" s="1">
        <f xml:space="preserve"> '3.2 Abonnement'!S161</f>
        <v>0</v>
      </c>
      <c r="T36" s="1">
        <f xml:space="preserve"> '3.2 Abonnement'!T161</f>
        <v>0</v>
      </c>
      <c r="U36" s="1">
        <f xml:space="preserve"> '3.2 Abonnement'!U161</f>
        <v>0</v>
      </c>
      <c r="V36" s="1">
        <f xml:space="preserve"> '3.2 Abonnement'!V161</f>
        <v>0</v>
      </c>
      <c r="W36" s="4">
        <f xml:space="preserve"> SUM( Q36:V36 )</f>
        <v>0</v>
      </c>
    </row>
    <row r="37" spans="4:23" ht="15" customHeight="1">
      <c r="D37" s="105" t="s">
        <v>16</v>
      </c>
      <c r="E37" s="186"/>
      <c r="F37" s="186"/>
      <c r="G37" s="186"/>
      <c r="H37" s="186"/>
      <c r="I37" s="186"/>
      <c r="J37" s="186"/>
      <c r="K37" s="187" t="str">
        <f xml:space="preserve"> Model.Units</f>
        <v>DKKt</v>
      </c>
      <c r="L37" s="90">
        <f xml:space="preserve"> -- ( ROUND( SUM( Q37:V37 ), 5 ) - ROUND( SUM( '3.2 Abonnement'!R162:V162 ), 5 ) &lt;&gt; 0 )</f>
        <v>0</v>
      </c>
      <c r="M37" s="186"/>
      <c r="N37" s="186"/>
      <c r="O37" s="388"/>
      <c r="P37" s="388"/>
      <c r="Q37" s="186">
        <f t="shared" ref="Q37:W37" si="6" xml:space="preserve"> SUM( Q33:Q36 )</f>
        <v>0</v>
      </c>
      <c r="R37" s="186">
        <f t="shared" si="6"/>
        <v>0</v>
      </c>
      <c r="S37" s="186">
        <f t="shared" si="6"/>
        <v>0</v>
      </c>
      <c r="T37" s="186">
        <f t="shared" si="6"/>
        <v>0</v>
      </c>
      <c r="U37" s="186">
        <f t="shared" si="6"/>
        <v>0</v>
      </c>
      <c r="V37" s="186">
        <f t="shared" si="6"/>
        <v>0</v>
      </c>
      <c r="W37" s="186">
        <f t="shared" si="6"/>
        <v>0</v>
      </c>
    </row>
    <row r="38" spans="4:23" ht="15" customHeight="1">
      <c r="D38" s="653" t="s">
        <v>684</v>
      </c>
      <c r="E38" s="4"/>
      <c r="F38" s="4"/>
      <c r="G38" s="4"/>
      <c r="H38" s="4"/>
      <c r="I38" s="4"/>
      <c r="J38" s="4"/>
      <c r="K38" s="78"/>
      <c r="L38" s="85"/>
      <c r="M38" s="4"/>
      <c r="N38" s="4"/>
      <c r="O38" s="4"/>
      <c r="P38" s="4"/>
      <c r="Q38" s="4"/>
      <c r="R38" s="4"/>
      <c r="S38" s="4"/>
      <c r="T38" s="4"/>
      <c r="U38" s="4"/>
      <c r="V38" s="4"/>
      <c r="W38" s="4"/>
    </row>
    <row r="39" spans="4:23" ht="15" customHeight="1">
      <c r="D39" s="1"/>
      <c r="E39" s="4"/>
      <c r="F39" s="4"/>
      <c r="G39" s="4"/>
      <c r="H39" s="4"/>
      <c r="I39" s="4"/>
      <c r="J39" s="4"/>
      <c r="K39" s="78"/>
      <c r="L39" s="4"/>
      <c r="M39" s="4"/>
      <c r="N39" s="4"/>
      <c r="O39" s="4"/>
      <c r="P39" s="4"/>
      <c r="Q39" s="4"/>
      <c r="R39" s="111"/>
      <c r="S39" s="111"/>
      <c r="T39" s="111"/>
      <c r="U39" s="111"/>
      <c r="V39" s="111"/>
      <c r="W39" s="111"/>
    </row>
    <row r="40" spans="4:23" ht="15" customHeight="1">
      <c r="D40" s="88"/>
      <c r="E40" s="4"/>
      <c r="F40" s="4"/>
      <c r="G40" s="4"/>
      <c r="H40" s="4"/>
      <c r="I40" s="4"/>
      <c r="J40" s="4"/>
      <c r="K40" s="78"/>
      <c r="L40" s="4"/>
      <c r="M40" s="4"/>
      <c r="N40" s="4"/>
      <c r="O40" s="4"/>
      <c r="P40" s="4"/>
      <c r="Q40" s="4"/>
      <c r="R40" s="111"/>
      <c r="S40" s="111"/>
      <c r="T40" s="111"/>
      <c r="U40" s="111"/>
      <c r="V40" s="111"/>
      <c r="W40" s="111"/>
    </row>
    <row r="41" spans="4:23" ht="15" customHeight="1">
      <c r="D41" s="88"/>
      <c r="E41" s="4"/>
      <c r="F41" s="4"/>
      <c r="G41" s="4"/>
      <c r="H41" s="4"/>
      <c r="I41" s="4"/>
      <c r="J41" s="4"/>
      <c r="K41" s="78"/>
      <c r="L41" s="4"/>
      <c r="M41" s="4"/>
      <c r="N41" s="4"/>
      <c r="O41" s="4"/>
      <c r="P41" s="4"/>
      <c r="Q41" s="4"/>
      <c r="R41" s="111"/>
      <c r="S41" s="111"/>
      <c r="T41" s="111"/>
      <c r="U41" s="111"/>
      <c r="V41" s="111"/>
      <c r="W41" s="111"/>
    </row>
    <row r="42" spans="4:23" ht="15" customHeight="1">
      <c r="D42" s="88"/>
      <c r="E42" s="4"/>
      <c r="F42" s="4"/>
      <c r="G42" s="4"/>
      <c r="H42" s="4"/>
      <c r="I42" s="4"/>
      <c r="J42" s="4"/>
      <c r="K42" s="78"/>
      <c r="L42" s="4"/>
      <c r="M42" s="4"/>
      <c r="N42" s="4"/>
      <c r="O42" s="4"/>
      <c r="P42" s="4"/>
      <c r="Q42" s="4"/>
      <c r="R42" s="111"/>
      <c r="S42" s="111"/>
      <c r="T42" s="111"/>
      <c r="U42" s="111"/>
      <c r="V42" s="111"/>
      <c r="W42" s="111"/>
    </row>
    <row r="43" spans="4:23" ht="15" customHeight="1">
      <c r="D43" s="88"/>
      <c r="E43" s="4"/>
      <c r="F43" s="4"/>
      <c r="G43" s="4"/>
      <c r="H43" s="4"/>
      <c r="I43" s="4"/>
      <c r="J43" s="4"/>
      <c r="K43" s="78"/>
      <c r="L43" s="4"/>
      <c r="M43" s="4"/>
      <c r="N43" s="4"/>
      <c r="O43" s="4"/>
      <c r="P43" s="4"/>
      <c r="Q43" s="4"/>
      <c r="R43" s="111"/>
      <c r="S43" s="111"/>
      <c r="T43" s="111"/>
      <c r="U43" s="111"/>
      <c r="V43" s="111"/>
      <c r="W43" s="111"/>
    </row>
    <row r="44" spans="4:23" ht="15" customHeight="1">
      <c r="D44" s="88"/>
      <c r="E44" s="4"/>
      <c r="F44" s="4"/>
      <c r="G44" s="4"/>
      <c r="H44" s="4"/>
      <c r="I44" s="4"/>
      <c r="J44" s="4"/>
      <c r="K44" s="78"/>
      <c r="L44" s="4"/>
      <c r="M44" s="4"/>
      <c r="N44" s="4"/>
      <c r="O44" s="4"/>
      <c r="P44" s="4"/>
      <c r="Q44" s="4"/>
      <c r="R44" s="111"/>
      <c r="S44" s="111"/>
      <c r="T44" s="111"/>
      <c r="U44" s="111"/>
      <c r="V44" s="111"/>
      <c r="W44" s="111"/>
    </row>
    <row r="45" spans="4:23" ht="15" customHeight="1">
      <c r="D45" s="88"/>
      <c r="E45" s="4"/>
      <c r="F45" s="4"/>
      <c r="G45" s="4"/>
      <c r="H45" s="4"/>
      <c r="I45" s="4"/>
      <c r="J45" s="4"/>
      <c r="K45" s="78"/>
      <c r="L45" s="4"/>
      <c r="M45" s="4"/>
      <c r="N45" s="4"/>
      <c r="O45" s="4"/>
      <c r="P45" s="4"/>
      <c r="Q45" s="4"/>
      <c r="R45" s="111"/>
      <c r="S45" s="111"/>
      <c r="T45" s="111"/>
      <c r="U45" s="111"/>
      <c r="V45" s="111"/>
      <c r="W45" s="111"/>
    </row>
    <row r="46" spans="4:23" ht="15" customHeight="1">
      <c r="D46" s="88"/>
      <c r="E46" s="4"/>
      <c r="F46" s="4"/>
      <c r="G46" s="4"/>
      <c r="H46" s="4"/>
      <c r="I46" s="4"/>
      <c r="J46" s="4"/>
      <c r="K46" s="78"/>
      <c r="L46" s="4"/>
      <c r="M46" s="4"/>
      <c r="N46" s="4"/>
      <c r="O46" s="4"/>
      <c r="P46" s="4"/>
      <c r="Q46" s="4"/>
      <c r="R46" s="111"/>
      <c r="S46" s="111"/>
      <c r="T46" s="111"/>
      <c r="U46" s="111"/>
      <c r="V46" s="111"/>
      <c r="W46" s="111"/>
    </row>
    <row r="47" spans="4:23" ht="15" customHeight="1">
      <c r="D47" s="88"/>
      <c r="E47" s="4"/>
      <c r="F47" s="4"/>
      <c r="G47" s="4"/>
      <c r="H47" s="4"/>
      <c r="I47" s="4"/>
      <c r="J47" s="4"/>
      <c r="K47" s="78"/>
      <c r="L47" s="4"/>
      <c r="M47" s="4"/>
      <c r="N47" s="4"/>
      <c r="O47" s="4"/>
      <c r="P47" s="4"/>
      <c r="Q47" s="4"/>
      <c r="R47" s="111"/>
      <c r="S47" s="111"/>
      <c r="T47" s="111"/>
      <c r="U47" s="111"/>
      <c r="V47" s="111"/>
      <c r="W47" s="111"/>
    </row>
    <row r="48" spans="4:23" ht="15" customHeight="1">
      <c r="D48" s="88"/>
      <c r="E48" s="4"/>
      <c r="F48" s="4"/>
      <c r="G48" s="4"/>
      <c r="H48" s="4"/>
      <c r="I48" s="4"/>
      <c r="J48" s="4"/>
      <c r="K48" s="78"/>
      <c r="L48" s="4"/>
      <c r="M48" s="4"/>
      <c r="N48" s="4"/>
      <c r="O48" s="4"/>
      <c r="P48" s="4"/>
      <c r="Q48" s="4"/>
      <c r="R48" s="111"/>
      <c r="S48" s="111"/>
      <c r="T48" s="111"/>
      <c r="U48" s="111"/>
      <c r="V48" s="111"/>
      <c r="W48" s="111"/>
    </row>
    <row r="49" spans="2:23" ht="15" customHeight="1">
      <c r="D49" s="88"/>
      <c r="E49" s="4"/>
      <c r="F49" s="4"/>
      <c r="G49" s="4"/>
      <c r="H49" s="4"/>
      <c r="I49" s="4"/>
      <c r="J49" s="4"/>
      <c r="K49" s="78"/>
      <c r="L49" s="4"/>
      <c r="M49" s="4"/>
      <c r="N49" s="4"/>
      <c r="O49" s="4"/>
      <c r="P49" s="4"/>
      <c r="Q49" s="4"/>
      <c r="R49" s="111"/>
      <c r="S49" s="111"/>
      <c r="T49" s="111"/>
      <c r="U49" s="111"/>
      <c r="V49" s="111"/>
      <c r="W49" s="111"/>
    </row>
    <row r="50" spans="2:23" ht="15" customHeight="1">
      <c r="D50" s="88"/>
      <c r="E50" s="4"/>
      <c r="F50" s="4"/>
      <c r="G50" s="4"/>
      <c r="H50" s="4"/>
      <c r="I50" s="4"/>
      <c r="J50" s="4"/>
      <c r="K50" s="78"/>
      <c r="L50" s="4"/>
      <c r="M50" s="4"/>
      <c r="N50" s="4"/>
      <c r="O50" s="4"/>
      <c r="P50" s="4"/>
      <c r="Q50" s="4"/>
      <c r="R50" s="111"/>
      <c r="S50" s="111"/>
      <c r="T50" s="111"/>
      <c r="U50" s="111"/>
      <c r="V50" s="111"/>
      <c r="W50" s="111"/>
    </row>
    <row r="51" spans="2:23" ht="15" customHeight="1">
      <c r="D51" s="88"/>
      <c r="E51" s="4"/>
      <c r="F51" s="4"/>
      <c r="G51" s="4"/>
      <c r="H51" s="4"/>
      <c r="I51" s="4"/>
      <c r="J51" s="4"/>
      <c r="K51" s="78"/>
      <c r="L51" s="4"/>
      <c r="M51" s="4"/>
      <c r="N51" s="4"/>
      <c r="O51" s="4"/>
      <c r="P51" s="4"/>
      <c r="Q51" s="4"/>
      <c r="R51" s="111"/>
      <c r="S51" s="111"/>
      <c r="T51" s="111"/>
      <c r="U51" s="111"/>
      <c r="V51" s="111"/>
      <c r="W51" s="111"/>
    </row>
    <row r="52" spans="2:23" ht="15" customHeight="1">
      <c r="D52" s="88"/>
      <c r="E52" s="4"/>
      <c r="F52" s="4"/>
      <c r="G52" s="4"/>
      <c r="H52" s="4"/>
      <c r="I52" s="4"/>
      <c r="J52" s="4"/>
      <c r="K52" s="78"/>
      <c r="L52" s="4"/>
      <c r="M52" s="4"/>
      <c r="N52" s="4"/>
      <c r="O52" s="4"/>
      <c r="P52" s="4"/>
      <c r="Q52" s="4"/>
      <c r="R52" s="111"/>
      <c r="S52" s="111"/>
      <c r="T52" s="111"/>
      <c r="U52" s="111"/>
      <c r="V52" s="111"/>
      <c r="W52" s="111"/>
    </row>
    <row r="53" spans="2:23" ht="15" customHeight="1">
      <c r="D53" s="88"/>
      <c r="E53" s="4"/>
      <c r="F53" s="4"/>
      <c r="G53" s="4"/>
      <c r="H53" s="4"/>
      <c r="I53" s="4"/>
      <c r="J53" s="4"/>
      <c r="K53" s="78"/>
      <c r="L53" s="4"/>
      <c r="M53" s="4"/>
      <c r="N53" s="4"/>
      <c r="O53" s="4"/>
      <c r="P53" s="4"/>
      <c r="Q53" s="4"/>
      <c r="R53" s="111"/>
      <c r="S53" s="111"/>
      <c r="T53" s="111"/>
      <c r="U53" s="111"/>
      <c r="V53" s="111"/>
      <c r="W53" s="111"/>
    </row>
    <row r="54" spans="2:23" ht="15" customHeight="1">
      <c r="D54" s="88"/>
      <c r="E54" s="4"/>
      <c r="F54" s="4"/>
      <c r="G54" s="4"/>
      <c r="H54" s="4"/>
      <c r="I54" s="4"/>
      <c r="J54" s="4"/>
      <c r="K54" s="78"/>
      <c r="L54" s="4"/>
      <c r="M54" s="4"/>
      <c r="N54" s="4"/>
      <c r="O54" s="4"/>
      <c r="P54" s="4"/>
      <c r="Q54" s="4"/>
      <c r="R54" s="111"/>
      <c r="S54" s="111"/>
      <c r="T54" s="111"/>
      <c r="U54" s="111"/>
      <c r="V54" s="111"/>
      <c r="W54" s="111"/>
    </row>
    <row r="55" spans="2:23" ht="15" customHeight="1">
      <c r="D55" s="88"/>
      <c r="E55" s="4"/>
      <c r="F55" s="4"/>
      <c r="G55" s="4"/>
      <c r="H55" s="4"/>
      <c r="I55" s="4"/>
      <c r="J55" s="4"/>
      <c r="K55" s="78"/>
      <c r="L55" s="4"/>
      <c r="M55" s="4"/>
      <c r="N55" s="4"/>
      <c r="O55" s="4"/>
      <c r="P55" s="4"/>
      <c r="Q55" s="4"/>
      <c r="R55" s="111"/>
      <c r="S55" s="111"/>
      <c r="T55" s="111"/>
      <c r="U55" s="111"/>
      <c r="V55" s="111"/>
      <c r="W55" s="111"/>
    </row>
    <row r="56" spans="2:23" ht="15" customHeight="1">
      <c r="D56" s="88"/>
      <c r="E56" s="4"/>
      <c r="F56" s="4"/>
      <c r="G56" s="4"/>
      <c r="H56" s="4"/>
      <c r="I56" s="4"/>
      <c r="J56" s="4"/>
      <c r="K56" s="78"/>
      <c r="L56" s="4"/>
      <c r="M56" s="4"/>
      <c r="N56" s="4"/>
      <c r="O56" s="4"/>
      <c r="P56" s="4"/>
      <c r="Q56" s="4"/>
      <c r="R56" s="111"/>
      <c r="S56" s="111"/>
      <c r="T56" s="111"/>
      <c r="U56" s="111"/>
      <c r="V56" s="111"/>
      <c r="W56" s="111"/>
    </row>
    <row r="57" spans="2:23" ht="15" customHeight="1">
      <c r="D57" s="88"/>
      <c r="E57" s="4"/>
      <c r="F57" s="4"/>
      <c r="G57" s="4"/>
      <c r="H57" s="4"/>
      <c r="I57" s="4"/>
      <c r="J57" s="4"/>
      <c r="K57" s="78"/>
      <c r="L57" s="4"/>
      <c r="M57" s="4"/>
      <c r="N57" s="4"/>
      <c r="O57" s="4"/>
      <c r="P57" s="4"/>
      <c r="Q57" s="4"/>
      <c r="R57" s="111"/>
      <c r="S57" s="111"/>
      <c r="T57" s="111"/>
      <c r="U57" s="111"/>
      <c r="V57" s="111"/>
      <c r="W57" s="111"/>
    </row>
    <row r="58" spans="2:23" ht="15" customHeight="1">
      <c r="D58" s="88"/>
      <c r="E58" s="4"/>
      <c r="F58" s="4"/>
      <c r="G58" s="4"/>
      <c r="H58" s="4"/>
      <c r="I58" s="4"/>
      <c r="J58" s="4"/>
      <c r="K58" s="78"/>
      <c r="L58" s="4"/>
      <c r="M58" s="4"/>
      <c r="N58" s="4"/>
      <c r="O58" s="4"/>
      <c r="P58" s="4"/>
      <c r="Q58" s="4"/>
      <c r="R58" s="111"/>
      <c r="S58" s="111"/>
      <c r="T58" s="111"/>
      <c r="U58" s="111"/>
      <c r="V58" s="111"/>
      <c r="W58" s="111"/>
    </row>
    <row r="59" spans="2:23" ht="15" customHeight="1">
      <c r="D59" s="88"/>
      <c r="E59" s="4"/>
      <c r="F59" s="4"/>
      <c r="G59" s="4"/>
      <c r="H59" s="4"/>
      <c r="I59" s="4"/>
      <c r="J59" s="4"/>
      <c r="K59" s="78"/>
      <c r="L59" s="4"/>
      <c r="M59" s="4"/>
      <c r="N59" s="4"/>
      <c r="O59" s="4"/>
      <c r="P59" s="4"/>
      <c r="Q59" s="4"/>
      <c r="R59" s="111"/>
      <c r="S59" s="111"/>
      <c r="T59" s="111"/>
      <c r="U59" s="111"/>
      <c r="V59" s="111"/>
      <c r="W59" s="111"/>
    </row>
    <row r="60" spans="2:23" ht="15" customHeight="1">
      <c r="D60" s="88"/>
      <c r="E60" s="4"/>
      <c r="F60" s="4"/>
      <c r="G60" s="4"/>
      <c r="H60" s="4"/>
      <c r="I60" s="4"/>
      <c r="J60" s="4"/>
      <c r="K60" s="78"/>
      <c r="L60" s="4"/>
      <c r="M60" s="4"/>
      <c r="N60" s="4"/>
      <c r="O60" s="4"/>
      <c r="P60" s="4"/>
      <c r="Q60" s="4"/>
      <c r="R60" s="111"/>
      <c r="S60" s="111"/>
      <c r="T60" s="111"/>
      <c r="U60" s="111"/>
      <c r="V60" s="111"/>
      <c r="W60" s="111"/>
    </row>
    <row r="61" spans="2:23" ht="15" customHeight="1">
      <c r="D61" s="88"/>
      <c r="E61" s="4"/>
      <c r="F61" s="4"/>
      <c r="G61" s="4"/>
      <c r="H61" s="4"/>
      <c r="I61" s="4"/>
      <c r="J61" s="4"/>
      <c r="K61" s="78"/>
      <c r="L61" s="4"/>
      <c r="M61" s="4"/>
      <c r="N61" s="4"/>
      <c r="O61" s="4"/>
      <c r="P61" s="4"/>
      <c r="Q61" s="4"/>
      <c r="R61" s="111"/>
      <c r="S61" s="111"/>
      <c r="T61" s="111"/>
      <c r="U61" s="111"/>
      <c r="V61" s="111"/>
      <c r="W61" s="111"/>
    </row>
    <row r="62" spans="2:23" ht="15" customHeight="1">
      <c r="D62" s="88"/>
      <c r="E62" s="4"/>
      <c r="F62" s="4"/>
      <c r="G62" s="4"/>
      <c r="H62" s="4"/>
      <c r="I62" s="4"/>
      <c r="J62" s="4"/>
      <c r="K62" s="78"/>
      <c r="L62" s="4"/>
      <c r="M62" s="4"/>
      <c r="N62" s="4"/>
      <c r="O62" s="4"/>
      <c r="P62" s="4"/>
      <c r="Q62" s="4"/>
      <c r="R62" s="111"/>
      <c r="S62" s="111"/>
      <c r="T62" s="111"/>
      <c r="U62" s="111"/>
      <c r="V62" s="111"/>
      <c r="W62" s="111"/>
    </row>
    <row r="63" spans="2:23" ht="15" customHeight="1">
      <c r="D63" s="88"/>
      <c r="E63" s="4"/>
      <c r="F63" s="4"/>
      <c r="G63" s="4"/>
      <c r="H63" s="4"/>
      <c r="I63" s="4"/>
      <c r="J63" s="4"/>
      <c r="K63" s="78"/>
      <c r="L63" s="4"/>
      <c r="M63" s="4"/>
      <c r="N63" s="4"/>
      <c r="O63" s="4"/>
      <c r="P63" s="4"/>
      <c r="Q63" s="4"/>
      <c r="R63" s="111"/>
      <c r="S63" s="111"/>
      <c r="T63" s="111"/>
      <c r="U63" s="111"/>
      <c r="V63" s="111"/>
      <c r="W63" s="111"/>
    </row>
    <row r="64" spans="2:23" s="475" customFormat="1" ht="15" customHeight="1">
      <c r="B64" s="479" t="str">
        <f xml:space="preserve"> COUNTA(B$10:B13) &amp; ") Nedbrydning af provenu på omkostnings- og forrentningsposter, i alt"</f>
        <v>2) Nedbrydning af provenu på omkostnings- og forrentningsposter, i alt</v>
      </c>
      <c r="C64" s="477"/>
      <c r="D64" s="478"/>
      <c r="K64" s="472"/>
    </row>
    <row r="66" spans="4:23" ht="15" customHeight="1">
      <c r="D66" s="35" t="s">
        <v>196</v>
      </c>
      <c r="E66" s="27"/>
      <c r="F66" s="27"/>
      <c r="G66" s="27"/>
      <c r="H66" s="27"/>
      <c r="I66" s="27"/>
      <c r="J66" s="27"/>
      <c r="K66" s="32"/>
      <c r="L66" s="27"/>
      <c r="M66" s="27"/>
      <c r="N66" s="27"/>
      <c r="O66" s="27"/>
      <c r="P66" s="27"/>
      <c r="Q66" s="27"/>
      <c r="R66" s="27"/>
      <c r="S66" s="27"/>
      <c r="T66" s="27"/>
      <c r="U66" s="27"/>
      <c r="V66" s="27"/>
      <c r="W66" s="185" t="s">
        <v>16</v>
      </c>
    </row>
    <row r="67" spans="4:23" ht="15" customHeight="1">
      <c r="D67" s="85" t="str">
        <f xml:space="preserve"> '2.1 Model setup'!K70</f>
        <v>1.1 Drift og vedligeholdelse af transformerstationer</v>
      </c>
      <c r="K67" s="5" t="str">
        <f t="shared" ref="K67:K87" si="7" xml:space="preserve"> Model.Units</f>
        <v>DKKt</v>
      </c>
      <c r="O67" s="1">
        <f xml:space="preserve"> O119 + O165 + O140 + O186 + O94 + O211 + O232</f>
        <v>0</v>
      </c>
      <c r="P67" s="1">
        <f t="shared" ref="P67:V67" si="8" xml:space="preserve"> P119 + P165 + P140 + P186 + P94 + P211 + P232</f>
        <v>0</v>
      </c>
      <c r="Q67" s="202"/>
      <c r="R67" s="1">
        <f t="shared" si="8"/>
        <v>0</v>
      </c>
      <c r="S67" s="1">
        <f t="shared" si="8"/>
        <v>0</v>
      </c>
      <c r="T67" s="1">
        <f t="shared" si="8"/>
        <v>0</v>
      </c>
      <c r="U67" s="1">
        <f t="shared" si="8"/>
        <v>0</v>
      </c>
      <c r="V67" s="1">
        <f t="shared" si="8"/>
        <v>0</v>
      </c>
      <c r="W67" s="4">
        <f xml:space="preserve"> SUM( O67:V67 )</f>
        <v>0</v>
      </c>
    </row>
    <row r="68" spans="4:23" ht="15" customHeight="1">
      <c r="D68" s="85" t="str">
        <f xml:space="preserve"> '2.1 Model setup'!K71</f>
        <v>1.2 Drift og vedligeholdelse af ledningsnet</v>
      </c>
      <c r="K68" s="5" t="str">
        <f t="shared" si="7"/>
        <v>DKKt</v>
      </c>
      <c r="O68" s="1">
        <f t="shared" ref="O68:V84" si="9" xml:space="preserve"> O120 + O166 + O141 + O187 + O95 + O212 + O233</f>
        <v>0</v>
      </c>
      <c r="P68" s="1">
        <f t="shared" si="9"/>
        <v>0</v>
      </c>
      <c r="Q68" s="202"/>
      <c r="R68" s="1">
        <f t="shared" si="9"/>
        <v>0</v>
      </c>
      <c r="S68" s="1">
        <f t="shared" si="9"/>
        <v>0</v>
      </c>
      <c r="T68" s="1">
        <f t="shared" si="9"/>
        <v>0</v>
      </c>
      <c r="U68" s="1">
        <f t="shared" si="9"/>
        <v>0</v>
      </c>
      <c r="V68" s="1">
        <f t="shared" si="9"/>
        <v>0</v>
      </c>
      <c r="W68" s="4">
        <f xml:space="preserve"> SUM( O68:V68 )</f>
        <v>0</v>
      </c>
    </row>
    <row r="69" spans="4:23" ht="15" customHeight="1">
      <c r="D69" s="85" t="str">
        <f xml:space="preserve"> '2.1 Model setup'!K72</f>
        <v>1.3 Øvrige omkostninger til drift, styring og kontrol af elnettet</v>
      </c>
      <c r="K69" s="5" t="str">
        <f t="shared" si="7"/>
        <v>DKKt</v>
      </c>
      <c r="O69" s="1">
        <f t="shared" si="9"/>
        <v>0</v>
      </c>
      <c r="P69" s="1">
        <f t="shared" si="9"/>
        <v>0</v>
      </c>
      <c r="Q69" s="202"/>
      <c r="R69" s="1">
        <f t="shared" si="9"/>
        <v>0</v>
      </c>
      <c r="S69" s="1">
        <f t="shared" si="9"/>
        <v>0</v>
      </c>
      <c r="T69" s="1">
        <f t="shared" si="9"/>
        <v>0</v>
      </c>
      <c r="U69" s="1">
        <f t="shared" si="9"/>
        <v>0</v>
      </c>
      <c r="V69" s="1">
        <f t="shared" si="9"/>
        <v>0</v>
      </c>
      <c r="W69" s="4">
        <f t="shared" ref="W69:W84" si="10" xml:space="preserve"> SUM( O69:V69 )</f>
        <v>0</v>
      </c>
    </row>
    <row r="70" spans="4:23" ht="15" customHeight="1">
      <c r="D70" s="85" t="str">
        <f xml:space="preserve"> '2.1 Model setup'!K73</f>
        <v>1.4 Omkostninger vedrørende 132-150/30-60 kV-stationer</v>
      </c>
      <c r="K70" s="5" t="str">
        <f t="shared" si="7"/>
        <v>DKKt</v>
      </c>
      <c r="O70" s="1">
        <f t="shared" si="9"/>
        <v>0</v>
      </c>
      <c r="P70" s="1">
        <f t="shared" si="9"/>
        <v>0</v>
      </c>
      <c r="Q70" s="202"/>
      <c r="R70" s="1">
        <f t="shared" si="9"/>
        <v>0</v>
      </c>
      <c r="S70" s="1">
        <f t="shared" si="9"/>
        <v>0</v>
      </c>
      <c r="T70" s="1">
        <f t="shared" si="9"/>
        <v>0</v>
      </c>
      <c r="U70" s="1">
        <f t="shared" si="9"/>
        <v>0</v>
      </c>
      <c r="V70" s="1">
        <f t="shared" si="9"/>
        <v>0</v>
      </c>
      <c r="W70" s="4">
        <f t="shared" ref="W70" si="11" xml:space="preserve"> SUM( O70:V70 )</f>
        <v>0</v>
      </c>
    </row>
    <row r="71" spans="4:23" ht="15" customHeight="1">
      <c r="D71" s="85" t="str">
        <f xml:space="preserve"> '2.1 Model setup'!K74</f>
        <v>2.1 Drift og vedligeholdelse af målere</v>
      </c>
      <c r="K71" s="5" t="str">
        <f t="shared" si="7"/>
        <v>DKKt</v>
      </c>
      <c r="O71" s="1">
        <f t="shared" si="9"/>
        <v>0</v>
      </c>
      <c r="P71" s="1">
        <f t="shared" si="9"/>
        <v>0</v>
      </c>
      <c r="Q71" s="202"/>
      <c r="R71" s="1">
        <f t="shared" si="9"/>
        <v>0</v>
      </c>
      <c r="S71" s="1">
        <f t="shared" si="9"/>
        <v>0</v>
      </c>
      <c r="T71" s="1">
        <f t="shared" si="9"/>
        <v>0</v>
      </c>
      <c r="U71" s="1">
        <f t="shared" si="9"/>
        <v>0</v>
      </c>
      <c r="V71" s="1">
        <f t="shared" si="9"/>
        <v>0</v>
      </c>
      <c r="W71" s="4">
        <f t="shared" si="10"/>
        <v>0</v>
      </c>
    </row>
    <row r="72" spans="4:23" ht="15" customHeight="1">
      <c r="D72" s="85" t="str">
        <f xml:space="preserve"> '2.1 Model setup'!K75</f>
        <v>2.2 Indhentning og validering af målerdata</v>
      </c>
      <c r="K72" s="5" t="str">
        <f t="shared" si="7"/>
        <v>DKKt</v>
      </c>
      <c r="O72" s="1">
        <f t="shared" si="9"/>
        <v>0</v>
      </c>
      <c r="P72" s="1">
        <f t="shared" si="9"/>
        <v>0</v>
      </c>
      <c r="Q72" s="202"/>
      <c r="R72" s="1">
        <f t="shared" si="9"/>
        <v>0</v>
      </c>
      <c r="S72" s="1">
        <f t="shared" si="9"/>
        <v>0</v>
      </c>
      <c r="T72" s="1">
        <f t="shared" si="9"/>
        <v>0</v>
      </c>
      <c r="U72" s="1">
        <f t="shared" si="9"/>
        <v>0</v>
      </c>
      <c r="V72" s="1">
        <f t="shared" si="9"/>
        <v>0</v>
      </c>
      <c r="W72" s="4">
        <f t="shared" si="10"/>
        <v>0</v>
      </c>
    </row>
    <row r="73" spans="4:23" ht="15" customHeight="1">
      <c r="D73" s="85" t="str">
        <f xml:space="preserve"> '2.1 Model setup'!K76</f>
        <v>2.3 Måleradministration og kundehåndtering</v>
      </c>
      <c r="K73" s="5" t="str">
        <f t="shared" si="7"/>
        <v>DKKt</v>
      </c>
      <c r="O73" s="1">
        <f t="shared" si="9"/>
        <v>0</v>
      </c>
      <c r="P73" s="1">
        <f t="shared" si="9"/>
        <v>0</v>
      </c>
      <c r="Q73" s="202"/>
      <c r="R73" s="1">
        <f t="shared" si="9"/>
        <v>0</v>
      </c>
      <c r="S73" s="1">
        <f t="shared" si="9"/>
        <v>0</v>
      </c>
      <c r="T73" s="1">
        <f t="shared" si="9"/>
        <v>0</v>
      </c>
      <c r="U73" s="1">
        <f t="shared" si="9"/>
        <v>0</v>
      </c>
      <c r="V73" s="1">
        <f t="shared" si="9"/>
        <v>0</v>
      </c>
      <c r="W73" s="4">
        <f t="shared" si="10"/>
        <v>0</v>
      </c>
    </row>
    <row r="74" spans="4:23" ht="15" customHeight="1">
      <c r="D74" s="85" t="str">
        <f xml:space="preserve"> '2.1 Model setup'!K77</f>
        <v>3.1 Generel administration</v>
      </c>
      <c r="K74" s="5" t="str">
        <f t="shared" si="7"/>
        <v>DKKt</v>
      </c>
      <c r="O74" s="1">
        <f t="shared" si="9"/>
        <v>0</v>
      </c>
      <c r="P74" s="1">
        <f t="shared" si="9"/>
        <v>0</v>
      </c>
      <c r="Q74" s="202"/>
      <c r="R74" s="1">
        <f t="shared" si="9"/>
        <v>0</v>
      </c>
      <c r="S74" s="1">
        <f t="shared" si="9"/>
        <v>0</v>
      </c>
      <c r="T74" s="1">
        <f t="shared" si="9"/>
        <v>0</v>
      </c>
      <c r="U74" s="1">
        <f t="shared" si="9"/>
        <v>0</v>
      </c>
      <c r="V74" s="1">
        <f t="shared" si="9"/>
        <v>0</v>
      </c>
      <c r="W74" s="4">
        <f t="shared" si="10"/>
        <v>0</v>
      </c>
    </row>
    <row r="75" spans="4:23" ht="15" customHeight="1">
      <c r="D75" s="85" t="str">
        <f xml:space="preserve"> '2.1 Model setup'!K78</f>
        <v>4.1 Omkostninger vedrørende nettab i transformerstationer</v>
      </c>
      <c r="K75" s="5" t="str">
        <f t="shared" si="7"/>
        <v>DKKt</v>
      </c>
      <c r="O75" s="1">
        <f t="shared" si="9"/>
        <v>0</v>
      </c>
      <c r="P75" s="1">
        <f t="shared" si="9"/>
        <v>0</v>
      </c>
      <c r="Q75" s="202"/>
      <c r="R75" s="1">
        <f t="shared" si="9"/>
        <v>0</v>
      </c>
      <c r="S75" s="1">
        <f t="shared" si="9"/>
        <v>0</v>
      </c>
      <c r="T75" s="1">
        <f t="shared" si="9"/>
        <v>0</v>
      </c>
      <c r="U75" s="1">
        <f t="shared" si="9"/>
        <v>0</v>
      </c>
      <c r="V75" s="1">
        <f t="shared" si="9"/>
        <v>0</v>
      </c>
      <c r="W75" s="4">
        <f t="shared" si="10"/>
        <v>0</v>
      </c>
    </row>
    <row r="76" spans="4:23" ht="15" customHeight="1">
      <c r="D76" s="85" t="str">
        <f xml:space="preserve"> '2.1 Model setup'!K79</f>
        <v>4.2 Omkostninger vedrørende nettab i ledningsnettet</v>
      </c>
      <c r="K76" s="5" t="str">
        <f t="shared" si="7"/>
        <v>DKKt</v>
      </c>
      <c r="O76" s="1">
        <f t="shared" si="9"/>
        <v>0</v>
      </c>
      <c r="P76" s="1">
        <f t="shared" si="9"/>
        <v>0</v>
      </c>
      <c r="Q76" s="202"/>
      <c r="R76" s="1">
        <f t="shared" si="9"/>
        <v>0</v>
      </c>
      <c r="S76" s="1">
        <f t="shared" si="9"/>
        <v>0</v>
      </c>
      <c r="T76" s="1">
        <f t="shared" si="9"/>
        <v>0</v>
      </c>
      <c r="U76" s="1">
        <f t="shared" si="9"/>
        <v>0</v>
      </c>
      <c r="V76" s="1">
        <f t="shared" si="9"/>
        <v>0</v>
      </c>
      <c r="W76" s="4">
        <f t="shared" si="10"/>
        <v>0</v>
      </c>
    </row>
    <row r="77" spans="4:23" ht="15" customHeight="1">
      <c r="D77" s="85" t="str">
        <f xml:space="preserve"> '2.1 Model setup'!K80</f>
        <v>5.1 Omkostninger til overliggende net ifm. forbrug</v>
      </c>
      <c r="K77" s="5" t="str">
        <f t="shared" si="7"/>
        <v>DKKt</v>
      </c>
      <c r="O77" s="1">
        <f t="shared" si="9"/>
        <v>0</v>
      </c>
      <c r="P77" s="1">
        <f t="shared" si="9"/>
        <v>0</v>
      </c>
      <c r="Q77" s="202"/>
      <c r="R77" s="1">
        <f t="shared" si="9"/>
        <v>0</v>
      </c>
      <c r="S77" s="1">
        <f t="shared" si="9"/>
        <v>0</v>
      </c>
      <c r="T77" s="1">
        <f t="shared" si="9"/>
        <v>0</v>
      </c>
      <c r="U77" s="1">
        <f t="shared" si="9"/>
        <v>0</v>
      </c>
      <c r="V77" s="1">
        <f t="shared" si="9"/>
        <v>0</v>
      </c>
      <c r="W77" s="4">
        <f t="shared" si="10"/>
        <v>0</v>
      </c>
    </row>
    <row r="78" spans="4:23" ht="15" customHeight="1">
      <c r="D78" s="85" t="str">
        <f xml:space="preserve"> '2.1 Model setup'!K81</f>
        <v>5.2 Øvrige omkostninger</v>
      </c>
      <c r="K78" s="5" t="str">
        <f t="shared" si="7"/>
        <v>DKKt</v>
      </c>
      <c r="O78" s="1">
        <f t="shared" si="9"/>
        <v>0</v>
      </c>
      <c r="P78" s="1">
        <f t="shared" si="9"/>
        <v>0</v>
      </c>
      <c r="Q78" s="202"/>
      <c r="R78" s="1">
        <f t="shared" si="9"/>
        <v>0</v>
      </c>
      <c r="S78" s="1">
        <f t="shared" si="9"/>
        <v>0</v>
      </c>
      <c r="T78" s="1">
        <f t="shared" si="9"/>
        <v>0</v>
      </c>
      <c r="U78" s="1">
        <f t="shared" si="9"/>
        <v>0</v>
      </c>
      <c r="V78" s="1">
        <f t="shared" si="9"/>
        <v>0</v>
      </c>
      <c r="W78" s="4">
        <f t="shared" si="10"/>
        <v>0</v>
      </c>
    </row>
    <row r="79" spans="4:23" ht="15" customHeight="1">
      <c r="D79" s="85" t="str">
        <f xml:space="preserve"> '2.1 Model setup'!K82</f>
        <v>6.1 Afskrivninger på transformerstationer</v>
      </c>
      <c r="K79" s="5" t="str">
        <f t="shared" si="7"/>
        <v>DKKt</v>
      </c>
      <c r="O79" s="1">
        <f t="shared" si="9"/>
        <v>0</v>
      </c>
      <c r="P79" s="1">
        <f t="shared" si="9"/>
        <v>0</v>
      </c>
      <c r="Q79" s="202"/>
      <c r="R79" s="1">
        <f t="shared" si="9"/>
        <v>0</v>
      </c>
      <c r="S79" s="1">
        <f t="shared" si="9"/>
        <v>0</v>
      </c>
      <c r="T79" s="1">
        <f t="shared" si="9"/>
        <v>0</v>
      </c>
      <c r="U79" s="1">
        <f t="shared" si="9"/>
        <v>0</v>
      </c>
      <c r="V79" s="1">
        <f t="shared" si="9"/>
        <v>0</v>
      </c>
      <c r="W79" s="4">
        <f t="shared" si="10"/>
        <v>0</v>
      </c>
    </row>
    <row r="80" spans="4:23" ht="15" customHeight="1">
      <c r="D80" s="85" t="str">
        <f xml:space="preserve"> '2.1 Model setup'!K83</f>
        <v>6.2 Afskrivninger på netaktiver ekskl. målere og transformerstationer</v>
      </c>
      <c r="K80" s="5" t="str">
        <f t="shared" si="7"/>
        <v>DKKt</v>
      </c>
      <c r="O80" s="1">
        <f t="shared" si="9"/>
        <v>0</v>
      </c>
      <c r="P80" s="1">
        <f t="shared" si="9"/>
        <v>0</v>
      </c>
      <c r="Q80" s="202"/>
      <c r="R80" s="1">
        <f t="shared" si="9"/>
        <v>0</v>
      </c>
      <c r="S80" s="1">
        <f t="shared" si="9"/>
        <v>0</v>
      </c>
      <c r="T80" s="1">
        <f t="shared" si="9"/>
        <v>0</v>
      </c>
      <c r="U80" s="1">
        <f t="shared" si="9"/>
        <v>0</v>
      </c>
      <c r="V80" s="1">
        <f t="shared" si="9"/>
        <v>0</v>
      </c>
      <c r="W80" s="4">
        <f t="shared" si="10"/>
        <v>0</v>
      </c>
    </row>
    <row r="81" spans="2:23" ht="15" customHeight="1">
      <c r="D81" s="85" t="str">
        <f xml:space="preserve"> '2.1 Model setup'!K84</f>
        <v>6.3 Afskrivninger på målere</v>
      </c>
      <c r="K81" s="5" t="str">
        <f t="shared" si="7"/>
        <v>DKKt</v>
      </c>
      <c r="O81" s="1">
        <f t="shared" si="9"/>
        <v>0</v>
      </c>
      <c r="P81" s="1">
        <f t="shared" si="9"/>
        <v>0</v>
      </c>
      <c r="Q81" s="202"/>
      <c r="R81" s="1">
        <f t="shared" si="9"/>
        <v>0</v>
      </c>
      <c r="S81" s="1">
        <f t="shared" si="9"/>
        <v>0</v>
      </c>
      <c r="T81" s="1">
        <f t="shared" si="9"/>
        <v>0</v>
      </c>
      <c r="U81" s="1">
        <f t="shared" si="9"/>
        <v>0</v>
      </c>
      <c r="V81" s="1">
        <f t="shared" si="9"/>
        <v>0</v>
      </c>
      <c r="W81" s="4">
        <f t="shared" si="10"/>
        <v>0</v>
      </c>
    </row>
    <row r="82" spans="2:23" ht="15" customHeight="1">
      <c r="D82" s="85" t="str">
        <f xml:space="preserve"> '2.1 Model setup'!K85</f>
        <v>7.1 Transformerstationer (forrentning)</v>
      </c>
      <c r="K82" s="5" t="str">
        <f t="shared" si="7"/>
        <v>DKKt</v>
      </c>
      <c r="O82" s="1">
        <f t="shared" si="9"/>
        <v>0</v>
      </c>
      <c r="P82" s="1">
        <f t="shared" si="9"/>
        <v>0</v>
      </c>
      <c r="Q82" s="202"/>
      <c r="R82" s="1">
        <f t="shared" si="9"/>
        <v>0</v>
      </c>
      <c r="S82" s="1">
        <f t="shared" si="9"/>
        <v>0</v>
      </c>
      <c r="T82" s="1">
        <f t="shared" si="9"/>
        <v>0</v>
      </c>
      <c r="U82" s="1">
        <f t="shared" si="9"/>
        <v>0</v>
      </c>
      <c r="V82" s="1">
        <f t="shared" si="9"/>
        <v>0</v>
      </c>
      <c r="W82" s="4">
        <f t="shared" si="10"/>
        <v>0</v>
      </c>
    </row>
    <row r="83" spans="2:23" ht="15" customHeight="1">
      <c r="D83" s="85" t="str">
        <f xml:space="preserve"> '2.1 Model setup'!K86</f>
        <v>7.2 Netaktiver ekskl. målere og transformerstationer (forrentning)</v>
      </c>
      <c r="K83" s="5" t="str">
        <f t="shared" si="7"/>
        <v>DKKt</v>
      </c>
      <c r="O83" s="1">
        <f t="shared" si="9"/>
        <v>0</v>
      </c>
      <c r="P83" s="1">
        <f t="shared" si="9"/>
        <v>0</v>
      </c>
      <c r="Q83" s="202"/>
      <c r="R83" s="1">
        <f t="shared" si="9"/>
        <v>0</v>
      </c>
      <c r="S83" s="1">
        <f t="shared" si="9"/>
        <v>0</v>
      </c>
      <c r="T83" s="1">
        <f t="shared" si="9"/>
        <v>0</v>
      </c>
      <c r="U83" s="1">
        <f t="shared" si="9"/>
        <v>0</v>
      </c>
      <c r="V83" s="1">
        <f t="shared" si="9"/>
        <v>0</v>
      </c>
      <c r="W83" s="4">
        <f t="shared" si="10"/>
        <v>0</v>
      </c>
    </row>
    <row r="84" spans="2:23" ht="15" customHeight="1">
      <c r="D84" s="99" t="str">
        <f xml:space="preserve"> '2.1 Model setup'!K87</f>
        <v>7.3 Målere (forrentning)</v>
      </c>
      <c r="K84" s="5" t="str">
        <f t="shared" si="7"/>
        <v>DKKt</v>
      </c>
      <c r="O84" s="1">
        <f t="shared" si="9"/>
        <v>0</v>
      </c>
      <c r="P84" s="1">
        <f t="shared" si="9"/>
        <v>0</v>
      </c>
      <c r="Q84" s="202"/>
      <c r="R84" s="1">
        <f t="shared" si="9"/>
        <v>0</v>
      </c>
      <c r="S84" s="1">
        <f t="shared" si="9"/>
        <v>0</v>
      </c>
      <c r="T84" s="1">
        <f t="shared" si="9"/>
        <v>0</v>
      </c>
      <c r="U84" s="1">
        <f t="shared" si="9"/>
        <v>0</v>
      </c>
      <c r="V84" s="1">
        <f t="shared" si="9"/>
        <v>0</v>
      </c>
      <c r="W84" s="4">
        <f t="shared" si="10"/>
        <v>0</v>
      </c>
    </row>
    <row r="85" spans="2:23" ht="15" customHeight="1">
      <c r="D85" s="186" t="s">
        <v>311</v>
      </c>
      <c r="E85" s="33"/>
      <c r="F85" s="33"/>
      <c r="G85" s="33"/>
      <c r="H85" s="33"/>
      <c r="I85" s="33"/>
      <c r="J85" s="33"/>
      <c r="K85" s="187" t="str">
        <f t="shared" si="7"/>
        <v>DKKt</v>
      </c>
      <c r="L85" s="90">
        <f xml:space="preserve"> -- ( IF( '2.3 Selskabsspecifikke input'!N51 = 0, 0, ROUND( SUM( O85:P85,R85:V85), 5 ) - ROUND( SUM( O18:P18, R18:V18 ) - SUM( O25:P25,R25:V25 ), 5 ) &lt;&gt; 0 ) )</f>
        <v>0</v>
      </c>
      <c r="M85" s="186"/>
      <c r="N85" s="186"/>
      <c r="O85" s="570">
        <f t="shared" ref="O85:P85" si="12" xml:space="preserve"> SUM( O67:O84 )</f>
        <v>0</v>
      </c>
      <c r="P85" s="570">
        <f t="shared" si="12"/>
        <v>0</v>
      </c>
      <c r="Q85" s="388"/>
      <c r="R85" s="570">
        <f t="shared" ref="R85:W85" si="13" xml:space="preserve"> SUM( R67:R84 )</f>
        <v>0</v>
      </c>
      <c r="S85" s="570">
        <f t="shared" si="13"/>
        <v>0</v>
      </c>
      <c r="T85" s="570">
        <f t="shared" si="13"/>
        <v>0</v>
      </c>
      <c r="U85" s="570">
        <f t="shared" si="13"/>
        <v>0</v>
      </c>
      <c r="V85" s="570">
        <f t="shared" si="13"/>
        <v>0</v>
      </c>
      <c r="W85" s="570">
        <f t="shared" si="13"/>
        <v>0</v>
      </c>
    </row>
    <row r="86" spans="2:23" ht="15" customHeight="1">
      <c r="D86" s="27" t="s">
        <v>191</v>
      </c>
      <c r="K86" s="5" t="str">
        <f t="shared" si="7"/>
        <v>DKKt</v>
      </c>
      <c r="O86" s="231">
        <f xml:space="preserve"> O25</f>
        <v>0</v>
      </c>
      <c r="P86" s="231">
        <f xml:space="preserve"> P25</f>
        <v>0</v>
      </c>
      <c r="Q86" s="388"/>
      <c r="R86" s="231">
        <f t="shared" ref="R86:W86" si="14" xml:space="preserve"> R25</f>
        <v>0</v>
      </c>
      <c r="S86" s="231">
        <f t="shared" si="14"/>
        <v>0</v>
      </c>
      <c r="T86" s="231">
        <f t="shared" si="14"/>
        <v>0</v>
      </c>
      <c r="U86" s="231">
        <f t="shared" si="14"/>
        <v>0</v>
      </c>
      <c r="V86" s="231">
        <f t="shared" si="14"/>
        <v>0</v>
      </c>
      <c r="W86" s="231">
        <f t="shared" si="14"/>
        <v>0</v>
      </c>
    </row>
    <row r="87" spans="2:23" ht="15" customHeight="1">
      <c r="D87" s="186" t="s">
        <v>16</v>
      </c>
      <c r="E87" s="33"/>
      <c r="F87" s="33"/>
      <c r="G87" s="33"/>
      <c r="H87" s="33"/>
      <c r="I87" s="33"/>
      <c r="J87" s="33"/>
      <c r="K87" s="187" t="str">
        <f t="shared" si="7"/>
        <v>DKKt</v>
      </c>
      <c r="L87" s="90">
        <f xml:space="preserve"> -- ( IF( '2.3 Selskabsspecifikke input'!N51 = 0, 0, ROUND( SUM( O87:P87, R87:V87 ), 5 ) - ROUND( SUM( O18:P18, R18:V18), 5 ) &lt;&gt; 0 ) )</f>
        <v>0</v>
      </c>
      <c r="M87" s="33"/>
      <c r="N87" s="33"/>
      <c r="O87" s="570">
        <f t="shared" ref="O87:P87" si="15" xml:space="preserve"> O85 + O86</f>
        <v>0</v>
      </c>
      <c r="P87" s="570">
        <f t="shared" si="15"/>
        <v>0</v>
      </c>
      <c r="Q87" s="388"/>
      <c r="R87" s="570">
        <f t="shared" ref="R87:W87" si="16" xml:space="preserve"> R85 + R86</f>
        <v>0</v>
      </c>
      <c r="S87" s="570">
        <f t="shared" si="16"/>
        <v>0</v>
      </c>
      <c r="T87" s="570">
        <f t="shared" si="16"/>
        <v>0</v>
      </c>
      <c r="U87" s="570">
        <f xml:space="preserve"> U85 + U86</f>
        <v>0</v>
      </c>
      <c r="V87" s="570">
        <f t="shared" si="16"/>
        <v>0</v>
      </c>
      <c r="W87" s="570">
        <f t="shared" si="16"/>
        <v>0</v>
      </c>
    </row>
    <row r="91" spans="2:23" s="475" customFormat="1" ht="15" customHeight="1">
      <c r="B91" s="479" t="str">
        <f xml:space="preserve"> COUNTA(B$10:B84) &amp; ") Nedbrydning af provenu på omkostnings- og forrentningsposter, abonnement"</f>
        <v>3) Nedbrydning af provenu på omkostnings- og forrentningsposter, abonnement</v>
      </c>
      <c r="C91" s="477"/>
      <c r="D91" s="478"/>
      <c r="K91" s="472"/>
    </row>
    <row r="93" spans="2:23" ht="15" customHeight="1">
      <c r="D93" s="35" t="s">
        <v>680</v>
      </c>
      <c r="E93" s="27"/>
      <c r="F93" s="27"/>
      <c r="G93" s="27"/>
      <c r="H93" s="27"/>
      <c r="I93" s="27"/>
      <c r="J93" s="27"/>
      <c r="K93" s="32"/>
      <c r="L93" s="27"/>
      <c r="M93" s="27"/>
      <c r="N93" s="27"/>
      <c r="O93" s="27"/>
      <c r="P93" s="27"/>
      <c r="Q93" s="27"/>
      <c r="R93" s="27"/>
      <c r="S93" s="27"/>
      <c r="T93" s="27"/>
      <c r="U93" s="27"/>
      <c r="V93" s="27"/>
      <c r="W93" s="185" t="s">
        <v>16</v>
      </c>
    </row>
    <row r="94" spans="2:23" ht="15" customHeight="1">
      <c r="D94" s="85" t="str">
        <f xml:space="preserve"> '2.1 Model setup'!K70</f>
        <v>1.1 Drift og vedligeholdelse af transformerstationer</v>
      </c>
      <c r="K94" s="5" t="str">
        <f t="shared" ref="K94:K112" si="17" xml:space="preserve"> Model.Units</f>
        <v>DKKt</v>
      </c>
      <c r="O94" s="202"/>
      <c r="P94" s="202"/>
      <c r="Q94" s="202"/>
      <c r="R94" s="1">
        <f xml:space="preserve"> IF( '3.1 Opsplitning af forbrug'!$R91 = 0, 0, '3.2 Abonnement'!R107 * ( '2.2 Generelle input'!$N99 * '2.3 Selskabsspecifikke input'!R$322 +  '2.2 Generelle input'!$N119 * '2.3 Selskabsspecifikke input'!R$323  + '2.2 Generelle input'!$N139 * '2.3 Selskabsspecifikke input'!R$324 + '2.2 Generelle input'!$N159 * '2.3 Selskabsspecifikke input'!R$326 ) / '3.1 Opsplitning af forbrug'!$R91 * ( '3.1 Opsplitning af forbrug'!$N528 = '2.1 Model setup'!$K$46 ) )</f>
        <v>0</v>
      </c>
      <c r="S94" s="1">
        <f xml:space="preserve"> '3.2 Abonnement'!S107</f>
        <v>0</v>
      </c>
      <c r="T94" s="1">
        <f xml:space="preserve"> '3.2 Abonnement'!T107</f>
        <v>0</v>
      </c>
      <c r="U94" s="1">
        <f xml:space="preserve"> '3.2 Abonnement'!U107</f>
        <v>0</v>
      </c>
      <c r="V94" s="1">
        <f xml:space="preserve"> '3.2 Abonnement'!V107</f>
        <v>0</v>
      </c>
      <c r="W94" s="4">
        <f t="shared" ref="W94:W111" si="18" xml:space="preserve"> SUM( Q94:V94 )</f>
        <v>0</v>
      </c>
    </row>
    <row r="95" spans="2:23" ht="15" customHeight="1">
      <c r="D95" s="85" t="str">
        <f xml:space="preserve"> '2.1 Model setup'!K71</f>
        <v>1.2 Drift og vedligeholdelse af ledningsnet</v>
      </c>
      <c r="K95" s="5" t="str">
        <f t="shared" si="17"/>
        <v>DKKt</v>
      </c>
      <c r="O95" s="202"/>
      <c r="P95" s="202"/>
      <c r="Q95" s="202"/>
      <c r="R95" s="1">
        <f xml:space="preserve"> IF( '3.1 Opsplitning af forbrug'!$R92 = 0, 0, '3.2 Abonnement'!R108 * ( '2.2 Generelle input'!$N100 * '2.3 Selskabsspecifikke input'!R$322 +  '2.2 Generelle input'!$N120 * '2.3 Selskabsspecifikke input'!R$323  + '2.2 Generelle input'!$N140 * '2.3 Selskabsspecifikke input'!R$324 + '2.2 Generelle input'!$N160 * '2.3 Selskabsspecifikke input'!R$326 ) / '3.1 Opsplitning af forbrug'!$R92 * ( '3.1 Opsplitning af forbrug'!$N529 = '2.1 Model setup'!$K$46 ) )</f>
        <v>0</v>
      </c>
      <c r="S95" s="1">
        <f xml:space="preserve"> '3.2 Abonnement'!S108</f>
        <v>0</v>
      </c>
      <c r="T95" s="1">
        <f xml:space="preserve"> '3.2 Abonnement'!T108</f>
        <v>0</v>
      </c>
      <c r="U95" s="1">
        <f xml:space="preserve"> '3.2 Abonnement'!U108</f>
        <v>0</v>
      </c>
      <c r="V95" s="1">
        <f xml:space="preserve"> '3.2 Abonnement'!V108</f>
        <v>0</v>
      </c>
      <c r="W95" s="4">
        <f t="shared" si="18"/>
        <v>0</v>
      </c>
    </row>
    <row r="96" spans="2:23" ht="15" customHeight="1">
      <c r="D96" s="85" t="str">
        <f xml:space="preserve"> '2.1 Model setup'!K72</f>
        <v>1.3 Øvrige omkostninger til drift, styring og kontrol af elnettet</v>
      </c>
      <c r="K96" s="5" t="str">
        <f t="shared" si="17"/>
        <v>DKKt</v>
      </c>
      <c r="O96" s="202"/>
      <c r="P96" s="202"/>
      <c r="Q96" s="202"/>
      <c r="R96" s="1">
        <f xml:space="preserve"> IF( '3.1 Opsplitning af forbrug'!$R93 = 0, 0, '3.2 Abonnement'!R109 * ( '2.2 Generelle input'!$N101 * '2.3 Selskabsspecifikke input'!R$322 +  '2.2 Generelle input'!$N121 * '2.3 Selskabsspecifikke input'!R$323  + '2.2 Generelle input'!$N141 * '2.3 Selskabsspecifikke input'!R$324 + '2.2 Generelle input'!$N161 * '2.3 Selskabsspecifikke input'!R$326 ) / '3.1 Opsplitning af forbrug'!$R93 * ( '3.1 Opsplitning af forbrug'!$N530 = '2.1 Model setup'!$K$46 ) )</f>
        <v>0</v>
      </c>
      <c r="S96" s="1">
        <f xml:space="preserve"> '3.2 Abonnement'!S109</f>
        <v>0</v>
      </c>
      <c r="T96" s="1">
        <f xml:space="preserve"> '3.2 Abonnement'!T109</f>
        <v>0</v>
      </c>
      <c r="U96" s="1">
        <f xml:space="preserve"> '3.2 Abonnement'!U109</f>
        <v>0</v>
      </c>
      <c r="V96" s="1">
        <f xml:space="preserve"> '3.2 Abonnement'!V109</f>
        <v>0</v>
      </c>
      <c r="W96" s="4">
        <f t="shared" si="18"/>
        <v>0</v>
      </c>
    </row>
    <row r="97" spans="4:25" ht="15" customHeight="1">
      <c r="D97" s="85" t="str">
        <f xml:space="preserve"> '2.1 Model setup'!K73</f>
        <v>1.4 Omkostninger vedrørende 132-150/30-60 kV-stationer</v>
      </c>
      <c r="K97" s="5" t="str">
        <f t="shared" si="17"/>
        <v>DKKt</v>
      </c>
      <c r="O97" s="202"/>
      <c r="P97" s="202"/>
      <c r="Q97" s="202"/>
      <c r="R97" s="1">
        <f xml:space="preserve"> IF( '3.1 Opsplitning af forbrug'!$R94 = 0, 0, '3.2 Abonnement'!R110 * ( '2.2 Generelle input'!$N102 * '2.3 Selskabsspecifikke input'!R$322 +  '2.2 Generelle input'!$N122 * '2.3 Selskabsspecifikke input'!R$323  + '2.2 Generelle input'!$N142 * '2.3 Selskabsspecifikke input'!R$324 + '2.2 Generelle input'!$N162 * '2.3 Selskabsspecifikke input'!R$326 ) / '3.1 Opsplitning af forbrug'!$R94 * ( '3.1 Opsplitning af forbrug'!$N531 = '2.1 Model setup'!$K$46 ) )</f>
        <v>0</v>
      </c>
      <c r="S97" s="1">
        <f xml:space="preserve"> '3.2 Abonnement'!S110</f>
        <v>0</v>
      </c>
      <c r="T97" s="1">
        <f xml:space="preserve"> '3.2 Abonnement'!T110</f>
        <v>0</v>
      </c>
      <c r="U97" s="1">
        <f xml:space="preserve"> '3.2 Abonnement'!U110</f>
        <v>0</v>
      </c>
      <c r="V97" s="1">
        <f xml:space="preserve"> '3.2 Abonnement'!V110</f>
        <v>0</v>
      </c>
      <c r="W97" s="4">
        <f xml:space="preserve"> SUM( Q97:V97 )</f>
        <v>0</v>
      </c>
    </row>
    <row r="98" spans="4:25" ht="15" customHeight="1">
      <c r="D98" s="85" t="str">
        <f xml:space="preserve"> '2.1 Model setup'!K74</f>
        <v>2.1 Drift og vedligeholdelse af målere</v>
      </c>
      <c r="K98" s="5" t="str">
        <f t="shared" si="17"/>
        <v>DKKt</v>
      </c>
      <c r="O98" s="202"/>
      <c r="P98" s="202"/>
      <c r="Q98" s="202"/>
      <c r="R98" s="1">
        <f xml:space="preserve"> IF( '3.1 Opsplitning af forbrug'!$R95 = 0, 0, '3.2 Abonnement'!R111 * ( '2.2 Generelle input'!$N103 * '2.3 Selskabsspecifikke input'!R$322 +  '2.2 Generelle input'!$N123 * '2.3 Selskabsspecifikke input'!R$323  + '2.2 Generelle input'!$N143 * '2.3 Selskabsspecifikke input'!R$324 + '2.2 Generelle input'!$N163 * '2.3 Selskabsspecifikke input'!R$326 ) / '3.1 Opsplitning af forbrug'!$R95 * ( '3.1 Opsplitning af forbrug'!$N532 = '2.1 Model setup'!$K$46 ) )</f>
        <v>0</v>
      </c>
      <c r="S98" s="1">
        <f xml:space="preserve"> '3.2 Abonnement'!S111</f>
        <v>0</v>
      </c>
      <c r="T98" s="1">
        <f xml:space="preserve"> '3.2 Abonnement'!T111</f>
        <v>0</v>
      </c>
      <c r="U98" s="1">
        <f xml:space="preserve"> '3.2 Abonnement'!U111</f>
        <v>0</v>
      </c>
      <c r="V98" s="1">
        <f xml:space="preserve"> '3.2 Abonnement'!V111</f>
        <v>0</v>
      </c>
      <c r="W98" s="4">
        <f t="shared" si="18"/>
        <v>0</v>
      </c>
      <c r="X98" s="181"/>
      <c r="Y98" s="181"/>
    </row>
    <row r="99" spans="4:25" ht="15" customHeight="1">
      <c r="D99" s="85" t="str">
        <f xml:space="preserve"> '2.1 Model setup'!K75</f>
        <v>2.2 Indhentning og validering af målerdata</v>
      </c>
      <c r="K99" s="5" t="str">
        <f t="shared" si="17"/>
        <v>DKKt</v>
      </c>
      <c r="O99" s="202"/>
      <c r="P99" s="202"/>
      <c r="Q99" s="202"/>
      <c r="R99" s="1">
        <f xml:space="preserve"> IF( '3.1 Opsplitning af forbrug'!$R96 = 0, 0, '3.2 Abonnement'!R112 * ( '2.2 Generelle input'!$N104 * '2.3 Selskabsspecifikke input'!R$322 +  '2.2 Generelle input'!$N124 * '2.3 Selskabsspecifikke input'!R$323  + '2.2 Generelle input'!$N144 * '2.3 Selskabsspecifikke input'!R$324 + '2.2 Generelle input'!$N164 * '2.3 Selskabsspecifikke input'!R$326 ) / '3.1 Opsplitning af forbrug'!$R96 * ( '3.1 Opsplitning af forbrug'!$N533 = '2.1 Model setup'!$K$46 ) )</f>
        <v>0</v>
      </c>
      <c r="S99" s="1">
        <f xml:space="preserve"> '3.2 Abonnement'!S112</f>
        <v>0</v>
      </c>
      <c r="T99" s="1">
        <f xml:space="preserve"> '3.2 Abonnement'!T112</f>
        <v>0</v>
      </c>
      <c r="U99" s="1">
        <f xml:space="preserve"> '3.2 Abonnement'!U112</f>
        <v>0</v>
      </c>
      <c r="V99" s="1">
        <f xml:space="preserve"> '3.2 Abonnement'!V112</f>
        <v>0</v>
      </c>
      <c r="W99" s="4">
        <f t="shared" si="18"/>
        <v>0</v>
      </c>
    </row>
    <row r="100" spans="4:25" ht="15" customHeight="1">
      <c r="D100" s="85" t="str">
        <f xml:space="preserve"> '2.1 Model setup'!K76</f>
        <v>2.3 Måleradministration og kundehåndtering</v>
      </c>
      <c r="K100" s="5" t="str">
        <f t="shared" si="17"/>
        <v>DKKt</v>
      </c>
      <c r="O100" s="202"/>
      <c r="P100" s="202"/>
      <c r="Q100" s="202"/>
      <c r="R100" s="1">
        <f xml:space="preserve"> IF( '3.1 Opsplitning af forbrug'!$R97 = 0, 0, '3.2 Abonnement'!R113 * ( '2.2 Generelle input'!$N105 * '2.3 Selskabsspecifikke input'!R$322 +  '2.2 Generelle input'!$N125 * '2.3 Selskabsspecifikke input'!R$323  + '2.2 Generelle input'!$N145 * '2.3 Selskabsspecifikke input'!R$324 + '2.2 Generelle input'!$N165 * '2.3 Selskabsspecifikke input'!R$326 ) / '3.1 Opsplitning af forbrug'!$R97 * ( '3.1 Opsplitning af forbrug'!$N534 = '2.1 Model setup'!$K$46 ) )</f>
        <v>0</v>
      </c>
      <c r="S100" s="1">
        <f xml:space="preserve"> '3.2 Abonnement'!S113</f>
        <v>0</v>
      </c>
      <c r="T100" s="1">
        <f xml:space="preserve"> '3.2 Abonnement'!T113</f>
        <v>0</v>
      </c>
      <c r="U100" s="1">
        <f xml:space="preserve"> '3.2 Abonnement'!U113</f>
        <v>0</v>
      </c>
      <c r="V100" s="1">
        <f xml:space="preserve"> '3.2 Abonnement'!V113</f>
        <v>0</v>
      </c>
      <c r="W100" s="4">
        <f t="shared" si="18"/>
        <v>0</v>
      </c>
    </row>
    <row r="101" spans="4:25" ht="15" customHeight="1">
      <c r="D101" s="85" t="str">
        <f xml:space="preserve"> '2.1 Model setup'!K77</f>
        <v>3.1 Generel administration</v>
      </c>
      <c r="K101" s="5" t="str">
        <f t="shared" si="17"/>
        <v>DKKt</v>
      </c>
      <c r="O101" s="202"/>
      <c r="P101" s="202"/>
      <c r="Q101" s="202"/>
      <c r="R101" s="1">
        <f xml:space="preserve"> IF( '3.1 Opsplitning af forbrug'!$R98 = 0, 0, '3.2 Abonnement'!R114 * ( '2.2 Generelle input'!$N106 * '2.3 Selskabsspecifikke input'!R$322 +  '2.2 Generelle input'!$N126 * '2.3 Selskabsspecifikke input'!R$323  + '2.2 Generelle input'!$N146 * '2.3 Selskabsspecifikke input'!R$324 + '2.2 Generelle input'!$N166 * '2.3 Selskabsspecifikke input'!R$326 ) / '3.1 Opsplitning af forbrug'!$R98 * ( '3.1 Opsplitning af forbrug'!$N535 = '2.1 Model setup'!$K$46 ) )</f>
        <v>0</v>
      </c>
      <c r="S101" s="1">
        <f xml:space="preserve"> '3.2 Abonnement'!S114</f>
        <v>0</v>
      </c>
      <c r="T101" s="1">
        <f xml:space="preserve"> '3.2 Abonnement'!T114</f>
        <v>0</v>
      </c>
      <c r="U101" s="1">
        <f xml:space="preserve"> '3.2 Abonnement'!U114</f>
        <v>0</v>
      </c>
      <c r="V101" s="1">
        <f xml:space="preserve"> '3.2 Abonnement'!V114</f>
        <v>0</v>
      </c>
      <c r="W101" s="4">
        <f t="shared" si="18"/>
        <v>0</v>
      </c>
    </row>
    <row r="102" spans="4:25" ht="15" customHeight="1">
      <c r="D102" s="85" t="str">
        <f xml:space="preserve"> '2.1 Model setup'!K78</f>
        <v>4.1 Omkostninger vedrørende nettab i transformerstationer</v>
      </c>
      <c r="K102" s="5" t="str">
        <f t="shared" si="17"/>
        <v>DKKt</v>
      </c>
      <c r="O102" s="202"/>
      <c r="P102" s="202"/>
      <c r="Q102" s="202"/>
      <c r="R102" s="1">
        <f xml:space="preserve"> IF( '3.1 Opsplitning af forbrug'!$R99 = 0, 0, '3.2 Abonnement'!R115 * ( '2.2 Generelle input'!$N107 * '2.3 Selskabsspecifikke input'!R$322 +  '2.2 Generelle input'!$N127 * '2.3 Selskabsspecifikke input'!R$323  + '2.2 Generelle input'!$N147 * '2.3 Selskabsspecifikke input'!R$324 + '2.2 Generelle input'!$N167 * '2.3 Selskabsspecifikke input'!R$326 ) / '3.1 Opsplitning af forbrug'!$R99 * ( '3.1 Opsplitning af forbrug'!$N536 = '2.1 Model setup'!$K$46 ) )</f>
        <v>0</v>
      </c>
      <c r="S102" s="1">
        <f xml:space="preserve"> '3.2 Abonnement'!S115</f>
        <v>0</v>
      </c>
      <c r="T102" s="1">
        <f xml:space="preserve"> '3.2 Abonnement'!T115</f>
        <v>0</v>
      </c>
      <c r="U102" s="1">
        <f xml:space="preserve"> '3.2 Abonnement'!U115</f>
        <v>0</v>
      </c>
      <c r="V102" s="1">
        <f xml:space="preserve"> '3.2 Abonnement'!V115</f>
        <v>0</v>
      </c>
      <c r="W102" s="4">
        <f t="shared" si="18"/>
        <v>0</v>
      </c>
    </row>
    <row r="103" spans="4:25" ht="15" customHeight="1">
      <c r="D103" s="85" t="str">
        <f xml:space="preserve"> '2.1 Model setup'!K79</f>
        <v>4.2 Omkostninger vedrørende nettab i ledningsnettet</v>
      </c>
      <c r="K103" s="5" t="str">
        <f t="shared" si="17"/>
        <v>DKKt</v>
      </c>
      <c r="O103" s="202"/>
      <c r="P103" s="202"/>
      <c r="Q103" s="202"/>
      <c r="R103" s="1">
        <f xml:space="preserve"> IF( '3.1 Opsplitning af forbrug'!$R100 = 0, 0, '3.2 Abonnement'!R116 * ( '2.2 Generelle input'!$N108 * '2.3 Selskabsspecifikke input'!R$322 +  '2.2 Generelle input'!$N128 * '2.3 Selskabsspecifikke input'!R$323  + '2.2 Generelle input'!$N148 * '2.3 Selskabsspecifikke input'!R$324 + '2.2 Generelle input'!$N168 * '2.3 Selskabsspecifikke input'!R$326 ) / '3.1 Opsplitning af forbrug'!$R100 * ( '3.1 Opsplitning af forbrug'!$N537 = '2.1 Model setup'!$K$46 ) )</f>
        <v>0</v>
      </c>
      <c r="S103" s="1">
        <f xml:space="preserve"> '3.2 Abonnement'!S116</f>
        <v>0</v>
      </c>
      <c r="T103" s="1">
        <f xml:space="preserve"> '3.2 Abonnement'!T116</f>
        <v>0</v>
      </c>
      <c r="U103" s="1">
        <f xml:space="preserve"> '3.2 Abonnement'!U116</f>
        <v>0</v>
      </c>
      <c r="V103" s="1">
        <f xml:space="preserve"> '3.2 Abonnement'!V116</f>
        <v>0</v>
      </c>
      <c r="W103" s="4">
        <f t="shared" si="18"/>
        <v>0</v>
      </c>
    </row>
    <row r="104" spans="4:25" ht="15" customHeight="1">
      <c r="D104" s="85" t="str">
        <f xml:space="preserve"> '2.1 Model setup'!K80</f>
        <v>5.1 Omkostninger til overliggende net ifm. forbrug</v>
      </c>
      <c r="K104" s="5" t="str">
        <f t="shared" si="17"/>
        <v>DKKt</v>
      </c>
      <c r="O104" s="202"/>
      <c r="P104" s="202"/>
      <c r="Q104" s="202"/>
      <c r="R104" s="1">
        <f xml:space="preserve"> IF( '3.1 Opsplitning af forbrug'!$R101 = 0, 0, '3.2 Abonnement'!R117 * ( '2.2 Generelle input'!$N109 * '2.3 Selskabsspecifikke input'!R$322 +  '2.2 Generelle input'!$N129 * '2.3 Selskabsspecifikke input'!R$323  + '2.2 Generelle input'!$N149 * '2.3 Selskabsspecifikke input'!R$324 + '2.2 Generelle input'!$N169 * '2.3 Selskabsspecifikke input'!R$326 ) / '3.1 Opsplitning af forbrug'!$R101 * ( '3.1 Opsplitning af forbrug'!$N538 = '2.1 Model setup'!$K$46 ) )</f>
        <v>0</v>
      </c>
      <c r="S104" s="1">
        <f xml:space="preserve"> '3.2 Abonnement'!S117</f>
        <v>0</v>
      </c>
      <c r="T104" s="1">
        <f xml:space="preserve"> '3.2 Abonnement'!T117</f>
        <v>0</v>
      </c>
      <c r="U104" s="1">
        <f xml:space="preserve"> '3.2 Abonnement'!U117</f>
        <v>0</v>
      </c>
      <c r="V104" s="1">
        <f xml:space="preserve"> '3.2 Abonnement'!V117</f>
        <v>0</v>
      </c>
      <c r="W104" s="4">
        <f t="shared" si="18"/>
        <v>0</v>
      </c>
    </row>
    <row r="105" spans="4:25" ht="15" customHeight="1">
      <c r="D105" s="85" t="str">
        <f xml:space="preserve"> '2.1 Model setup'!K81</f>
        <v>5.2 Øvrige omkostninger</v>
      </c>
      <c r="K105" s="5" t="str">
        <f t="shared" si="17"/>
        <v>DKKt</v>
      </c>
      <c r="O105" s="202"/>
      <c r="P105" s="202"/>
      <c r="Q105" s="202"/>
      <c r="R105" s="1">
        <f xml:space="preserve"> IF( '3.1 Opsplitning af forbrug'!$R102 = 0, 0, '3.2 Abonnement'!R118 * ( '2.2 Generelle input'!$N110 * '2.3 Selskabsspecifikke input'!R$322 +  '2.2 Generelle input'!$N130 * '2.3 Selskabsspecifikke input'!R$323  + '2.2 Generelle input'!$N150 * '2.3 Selskabsspecifikke input'!R$324 + '2.2 Generelle input'!$N170 * '2.3 Selskabsspecifikke input'!R$326 ) / '3.1 Opsplitning af forbrug'!$R102 * ( '3.1 Opsplitning af forbrug'!$N539 = '2.1 Model setup'!$K$46 ) )</f>
        <v>0</v>
      </c>
      <c r="S105" s="1">
        <f xml:space="preserve"> '3.2 Abonnement'!S118</f>
        <v>0</v>
      </c>
      <c r="T105" s="1">
        <f xml:space="preserve"> '3.2 Abonnement'!T118</f>
        <v>0</v>
      </c>
      <c r="U105" s="1">
        <f xml:space="preserve"> '3.2 Abonnement'!U118</f>
        <v>0</v>
      </c>
      <c r="V105" s="1">
        <f xml:space="preserve"> '3.2 Abonnement'!V118</f>
        <v>0</v>
      </c>
      <c r="W105" s="4">
        <f t="shared" si="18"/>
        <v>0</v>
      </c>
    </row>
    <row r="106" spans="4:25" ht="15" customHeight="1">
      <c r="D106" s="85" t="str">
        <f xml:space="preserve"> '2.1 Model setup'!K82</f>
        <v>6.1 Afskrivninger på transformerstationer</v>
      </c>
      <c r="K106" s="5" t="str">
        <f t="shared" si="17"/>
        <v>DKKt</v>
      </c>
      <c r="O106" s="202"/>
      <c r="P106" s="202"/>
      <c r="Q106" s="202"/>
      <c r="R106" s="1">
        <f xml:space="preserve"> IF( '3.1 Opsplitning af forbrug'!$R103 = 0, 0, '3.2 Abonnement'!R119 * ( '2.2 Generelle input'!$N111 * '2.3 Selskabsspecifikke input'!R$322 +  '2.2 Generelle input'!$N131 * '2.3 Selskabsspecifikke input'!R$323  + '2.2 Generelle input'!$N151 * '2.3 Selskabsspecifikke input'!R$324 + '2.2 Generelle input'!$N171 * '2.3 Selskabsspecifikke input'!R$326 ) / '3.1 Opsplitning af forbrug'!$R103 * ( '3.1 Opsplitning af forbrug'!$N540 = '2.1 Model setup'!$K$46 ) )</f>
        <v>0</v>
      </c>
      <c r="S106" s="1">
        <f xml:space="preserve"> '3.2 Abonnement'!S119</f>
        <v>0</v>
      </c>
      <c r="T106" s="1">
        <f xml:space="preserve"> '3.2 Abonnement'!T119</f>
        <v>0</v>
      </c>
      <c r="U106" s="1">
        <f xml:space="preserve"> '3.2 Abonnement'!U119</f>
        <v>0</v>
      </c>
      <c r="V106" s="1">
        <f xml:space="preserve"> '3.2 Abonnement'!V119</f>
        <v>0</v>
      </c>
      <c r="W106" s="4">
        <f t="shared" si="18"/>
        <v>0</v>
      </c>
    </row>
    <row r="107" spans="4:25" ht="15" customHeight="1">
      <c r="D107" s="85" t="str">
        <f xml:space="preserve"> '2.1 Model setup'!K83</f>
        <v>6.2 Afskrivninger på netaktiver ekskl. målere og transformerstationer</v>
      </c>
      <c r="K107" s="5" t="str">
        <f t="shared" si="17"/>
        <v>DKKt</v>
      </c>
      <c r="O107" s="202"/>
      <c r="P107" s="202"/>
      <c r="Q107" s="202"/>
      <c r="R107" s="1">
        <f xml:space="preserve"> IF( '3.1 Opsplitning af forbrug'!$R104 = 0, 0, '3.2 Abonnement'!R120 * ( '2.2 Generelle input'!$N112 * '2.3 Selskabsspecifikke input'!R$322 +  '2.2 Generelle input'!$N132 * '2.3 Selskabsspecifikke input'!R$323  + '2.2 Generelle input'!$N152 * '2.3 Selskabsspecifikke input'!R$324 + '2.2 Generelle input'!$N172 * '2.3 Selskabsspecifikke input'!R$326 ) / '3.1 Opsplitning af forbrug'!$R104 * ( '3.1 Opsplitning af forbrug'!$N541 = '2.1 Model setup'!$K$46 ) )</f>
        <v>0</v>
      </c>
      <c r="S107" s="1">
        <f xml:space="preserve"> '3.2 Abonnement'!S120</f>
        <v>0</v>
      </c>
      <c r="T107" s="1">
        <f xml:space="preserve"> '3.2 Abonnement'!T120</f>
        <v>0</v>
      </c>
      <c r="U107" s="1">
        <f xml:space="preserve"> '3.2 Abonnement'!U120</f>
        <v>0</v>
      </c>
      <c r="V107" s="1">
        <f xml:space="preserve"> '3.2 Abonnement'!V120</f>
        <v>0</v>
      </c>
      <c r="W107" s="4">
        <f t="shared" si="18"/>
        <v>0</v>
      </c>
    </row>
    <row r="108" spans="4:25" ht="15" customHeight="1">
      <c r="D108" s="85" t="str">
        <f xml:space="preserve"> '2.1 Model setup'!K84</f>
        <v>6.3 Afskrivninger på målere</v>
      </c>
      <c r="K108" s="5" t="str">
        <f t="shared" si="17"/>
        <v>DKKt</v>
      </c>
      <c r="O108" s="202"/>
      <c r="P108" s="202"/>
      <c r="Q108" s="202"/>
      <c r="R108" s="1">
        <f xml:space="preserve"> IF( '3.1 Opsplitning af forbrug'!$R105 = 0, 0, '3.2 Abonnement'!R121 * ( '2.2 Generelle input'!$N113 * '2.3 Selskabsspecifikke input'!R$322 +  '2.2 Generelle input'!$N133 * '2.3 Selskabsspecifikke input'!R$323  + '2.2 Generelle input'!$N153 * '2.3 Selskabsspecifikke input'!R$324 + '2.2 Generelle input'!$N173 * '2.3 Selskabsspecifikke input'!R$326 ) / '3.1 Opsplitning af forbrug'!$R105 * ( '3.1 Opsplitning af forbrug'!$N542 = '2.1 Model setup'!$K$46 ) )</f>
        <v>0</v>
      </c>
      <c r="S108" s="1">
        <f xml:space="preserve"> '3.2 Abonnement'!S121</f>
        <v>0</v>
      </c>
      <c r="T108" s="1">
        <f xml:space="preserve"> '3.2 Abonnement'!T121</f>
        <v>0</v>
      </c>
      <c r="U108" s="1">
        <f xml:space="preserve"> '3.2 Abonnement'!U121</f>
        <v>0</v>
      </c>
      <c r="V108" s="1">
        <f xml:space="preserve"> '3.2 Abonnement'!V121</f>
        <v>0</v>
      </c>
      <c r="W108" s="4">
        <f t="shared" si="18"/>
        <v>0</v>
      </c>
    </row>
    <row r="109" spans="4:25" ht="15" customHeight="1">
      <c r="D109" s="85" t="str">
        <f xml:space="preserve"> '2.1 Model setup'!K85</f>
        <v>7.1 Transformerstationer (forrentning)</v>
      </c>
      <c r="K109" s="5" t="str">
        <f t="shared" si="17"/>
        <v>DKKt</v>
      </c>
      <c r="O109" s="202"/>
      <c r="P109" s="202"/>
      <c r="Q109" s="202"/>
      <c r="R109" s="1">
        <f xml:space="preserve"> IF( '3.1 Opsplitning af forbrug'!$R106 = 0, 0, '3.2 Abonnement'!R122 * ( '2.2 Generelle input'!$N114 * '2.3 Selskabsspecifikke input'!R$322 +  '2.2 Generelle input'!$N134 * '2.3 Selskabsspecifikke input'!R$323  + '2.2 Generelle input'!$N154 * '2.3 Selskabsspecifikke input'!R$324 + '2.2 Generelle input'!$N174 * '2.3 Selskabsspecifikke input'!R$326 ) / '3.1 Opsplitning af forbrug'!$R106 * ( '3.1 Opsplitning af forbrug'!$N545 = '2.1 Model setup'!$K$46 ) )</f>
        <v>0</v>
      </c>
      <c r="S109" s="1">
        <f xml:space="preserve"> '3.2 Abonnement'!S122</f>
        <v>0</v>
      </c>
      <c r="T109" s="1">
        <f xml:space="preserve"> '3.2 Abonnement'!T122</f>
        <v>0</v>
      </c>
      <c r="U109" s="1">
        <f xml:space="preserve"> '3.2 Abonnement'!U122</f>
        <v>0</v>
      </c>
      <c r="V109" s="1">
        <f xml:space="preserve"> '3.2 Abonnement'!V122</f>
        <v>0</v>
      </c>
      <c r="W109" s="4">
        <f t="shared" si="18"/>
        <v>0</v>
      </c>
    </row>
    <row r="110" spans="4:25" ht="15" customHeight="1">
      <c r="D110" s="85" t="str">
        <f xml:space="preserve"> '2.1 Model setup'!K86</f>
        <v>7.2 Netaktiver ekskl. målere og transformerstationer (forrentning)</v>
      </c>
      <c r="K110" s="5" t="str">
        <f t="shared" si="17"/>
        <v>DKKt</v>
      </c>
      <c r="O110" s="202"/>
      <c r="P110" s="202"/>
      <c r="Q110" s="202"/>
      <c r="R110" s="1">
        <f xml:space="preserve"> IF( '3.1 Opsplitning af forbrug'!$R107 = 0, 0, '3.2 Abonnement'!R123 * ( '2.2 Generelle input'!$N115 * '2.3 Selskabsspecifikke input'!R$322 +  '2.2 Generelle input'!$N135 * '2.3 Selskabsspecifikke input'!R$323  + '2.2 Generelle input'!$N155 * '2.3 Selskabsspecifikke input'!R$324 + '2.2 Generelle input'!$N175 * '2.3 Selskabsspecifikke input'!R$326 ) / '3.1 Opsplitning af forbrug'!$R107 * ( '3.1 Opsplitning af forbrug'!$N546 = '2.1 Model setup'!$K$46 ) )</f>
        <v>0</v>
      </c>
      <c r="S110" s="1">
        <f xml:space="preserve"> '3.2 Abonnement'!S123</f>
        <v>0</v>
      </c>
      <c r="T110" s="1">
        <f xml:space="preserve"> '3.2 Abonnement'!T123</f>
        <v>0</v>
      </c>
      <c r="U110" s="1">
        <f xml:space="preserve"> '3.2 Abonnement'!U123</f>
        <v>0</v>
      </c>
      <c r="V110" s="1">
        <f xml:space="preserve"> '3.2 Abonnement'!V123</f>
        <v>0</v>
      </c>
      <c r="W110" s="4">
        <f t="shared" si="18"/>
        <v>0</v>
      </c>
    </row>
    <row r="111" spans="4:25" ht="15" customHeight="1">
      <c r="D111" s="99" t="str">
        <f xml:space="preserve"> '2.1 Model setup'!K87</f>
        <v>7.3 Målere (forrentning)</v>
      </c>
      <c r="K111" s="5" t="str">
        <f t="shared" si="17"/>
        <v>DKKt</v>
      </c>
      <c r="O111" s="202"/>
      <c r="P111" s="202"/>
      <c r="Q111" s="202"/>
      <c r="R111" s="1">
        <f xml:space="preserve"> IF( '3.1 Opsplitning af forbrug'!$R108 = 0, 0, '3.2 Abonnement'!R124 * ( '2.2 Generelle input'!$N116 * '2.3 Selskabsspecifikke input'!R$322 +  '2.2 Generelle input'!$N136 * '2.3 Selskabsspecifikke input'!R$323  + '2.2 Generelle input'!$N156 * '2.3 Selskabsspecifikke input'!R$324 + '2.2 Generelle input'!$N176 * '2.3 Selskabsspecifikke input'!R$326 ) / '3.1 Opsplitning af forbrug'!$R108 * ( '3.1 Opsplitning af forbrug'!$N547 = '2.1 Model setup'!$K$46 ) )</f>
        <v>0</v>
      </c>
      <c r="S111" s="1">
        <f xml:space="preserve"> '3.2 Abonnement'!S124</f>
        <v>0</v>
      </c>
      <c r="T111" s="1">
        <f xml:space="preserve"> '3.2 Abonnement'!T124</f>
        <v>0</v>
      </c>
      <c r="U111" s="1">
        <f xml:space="preserve"> '3.2 Abonnement'!U124</f>
        <v>0</v>
      </c>
      <c r="V111" s="1">
        <f xml:space="preserve"> '3.2 Abonnement'!V124</f>
        <v>0</v>
      </c>
      <c r="W111" s="4">
        <f t="shared" si="18"/>
        <v>0</v>
      </c>
    </row>
    <row r="112" spans="4:25" ht="15" customHeight="1">
      <c r="D112" s="186" t="s">
        <v>16</v>
      </c>
      <c r="E112" s="33"/>
      <c r="F112" s="33"/>
      <c r="G112" s="33"/>
      <c r="H112" s="33"/>
      <c r="I112" s="33"/>
      <c r="J112" s="33"/>
      <c r="K112" s="187" t="str">
        <f t="shared" si="17"/>
        <v>DKKt</v>
      </c>
      <c r="L112" s="186"/>
      <c r="M112" s="186"/>
      <c r="N112" s="186"/>
      <c r="O112" s="388"/>
      <c r="P112" s="388"/>
      <c r="Q112" s="388"/>
      <c r="R112" s="186">
        <f t="shared" ref="R112:V112" si="19" xml:space="preserve"> SUM( R94:R111 )</f>
        <v>0</v>
      </c>
      <c r="S112" s="186">
        <f t="shared" si="19"/>
        <v>0</v>
      </c>
      <c r="T112" s="186">
        <f t="shared" si="19"/>
        <v>0</v>
      </c>
      <c r="U112" s="186">
        <f t="shared" si="19"/>
        <v>0</v>
      </c>
      <c r="V112" s="186">
        <f t="shared" si="19"/>
        <v>0</v>
      </c>
      <c r="W112" s="186">
        <f xml:space="preserve"> SUM( W94:W111 )</f>
        <v>0</v>
      </c>
    </row>
    <row r="113" spans="2:23" ht="15" customHeight="1">
      <c r="D113" s="653" t="s">
        <v>684</v>
      </c>
    </row>
    <row r="116" spans="2:23" s="475" customFormat="1" ht="15" customHeight="1">
      <c r="B116" s="479" t="str">
        <f xml:space="preserve"> COUNTA(B$10:B92) &amp; ") Nedbrydning af provenu på omkostnings- og forrentningsposter, forbrug- og rådighedstarif (eksklusiv rådighedsbetaling)"</f>
        <v>4) Nedbrydning af provenu på omkostnings- og forrentningsposter, forbrug- og rådighedstarif (eksklusiv rådighedsbetaling)</v>
      </c>
      <c r="C116" s="477"/>
      <c r="D116" s="478"/>
      <c r="K116" s="472"/>
    </row>
    <row r="118" spans="2:23" ht="15" customHeight="1">
      <c r="D118" s="35" t="s">
        <v>646</v>
      </c>
      <c r="E118" s="27"/>
      <c r="F118" s="27"/>
      <c r="G118" s="27"/>
      <c r="H118" s="27"/>
      <c r="I118" s="27"/>
      <c r="J118" s="27"/>
      <c r="K118" s="32"/>
      <c r="L118" s="27"/>
      <c r="M118" s="27"/>
      <c r="N118" s="27"/>
      <c r="O118" s="27"/>
      <c r="P118" s="27"/>
      <c r="Q118" s="27"/>
      <c r="R118" s="27"/>
      <c r="S118" s="27"/>
      <c r="T118" s="27"/>
      <c r="U118" s="27"/>
      <c r="V118" s="27"/>
      <c r="W118" s="185" t="s">
        <v>16</v>
      </c>
    </row>
    <row r="119" spans="2:23" ht="15" customHeight="1">
      <c r="D119" s="85" t="str">
        <f xml:space="preserve"> '2.1 Model setup'!K70</f>
        <v>1.1 Drift og vedligeholdelse af transformerstationer</v>
      </c>
      <c r="K119" s="5" t="str">
        <f t="shared" ref="K119:K137" si="20" xml:space="preserve"> Model.Units</f>
        <v>DKKt</v>
      </c>
      <c r="O119" s="202"/>
      <c r="P119" s="202"/>
      <c r="Q119" s="202"/>
      <c r="R119" s="1">
        <f xml:space="preserve"> '3.3 Forbrugstariffer og effekt'!R660</f>
        <v>0</v>
      </c>
      <c r="S119" s="1">
        <f xml:space="preserve"> '3.3 Forbrugstariffer og effekt'!S660</f>
        <v>0</v>
      </c>
      <c r="T119" s="1">
        <f xml:space="preserve"> '3.3 Forbrugstariffer og effekt'!T660</f>
        <v>0</v>
      </c>
      <c r="U119" s="1">
        <f xml:space="preserve"> '3.3 Forbrugstariffer og effekt'!U660</f>
        <v>0</v>
      </c>
      <c r="V119" s="1">
        <f xml:space="preserve"> '3.3 Forbrugstariffer og effekt'!V660</f>
        <v>0</v>
      </c>
      <c r="W119" s="4">
        <f t="shared" ref="W119:W136" si="21" xml:space="preserve"> SUM( R119:V119 )</f>
        <v>0</v>
      </c>
    </row>
    <row r="120" spans="2:23" ht="15" customHeight="1">
      <c r="D120" s="85" t="str">
        <f xml:space="preserve"> '2.1 Model setup'!K71</f>
        <v>1.2 Drift og vedligeholdelse af ledningsnet</v>
      </c>
      <c r="K120" s="5" t="str">
        <f t="shared" si="20"/>
        <v>DKKt</v>
      </c>
      <c r="O120" s="202"/>
      <c r="P120" s="202"/>
      <c r="Q120" s="202"/>
      <c r="R120" s="1">
        <f xml:space="preserve"> '3.3 Forbrugstariffer og effekt'!R661</f>
        <v>0</v>
      </c>
      <c r="S120" s="1">
        <f xml:space="preserve"> '3.3 Forbrugstariffer og effekt'!S661</f>
        <v>0</v>
      </c>
      <c r="T120" s="1">
        <f xml:space="preserve"> '3.3 Forbrugstariffer og effekt'!T661</f>
        <v>0</v>
      </c>
      <c r="U120" s="1">
        <f xml:space="preserve"> '3.3 Forbrugstariffer og effekt'!U661</f>
        <v>0</v>
      </c>
      <c r="V120" s="1">
        <f xml:space="preserve"> '3.3 Forbrugstariffer og effekt'!V661</f>
        <v>0</v>
      </c>
      <c r="W120" s="4">
        <f t="shared" si="21"/>
        <v>0</v>
      </c>
    </row>
    <row r="121" spans="2:23" ht="15" customHeight="1">
      <c r="D121" s="85" t="str">
        <f xml:space="preserve"> '2.1 Model setup'!K72</f>
        <v>1.3 Øvrige omkostninger til drift, styring og kontrol af elnettet</v>
      </c>
      <c r="K121" s="5" t="str">
        <f t="shared" si="20"/>
        <v>DKKt</v>
      </c>
      <c r="O121" s="202"/>
      <c r="P121" s="202"/>
      <c r="Q121" s="202"/>
      <c r="R121" s="1">
        <f xml:space="preserve"> '3.3 Forbrugstariffer og effekt'!R662</f>
        <v>0</v>
      </c>
      <c r="S121" s="1">
        <f xml:space="preserve"> '3.3 Forbrugstariffer og effekt'!S662</f>
        <v>0</v>
      </c>
      <c r="T121" s="1">
        <f xml:space="preserve"> '3.3 Forbrugstariffer og effekt'!T662</f>
        <v>0</v>
      </c>
      <c r="U121" s="1">
        <f xml:space="preserve"> '3.3 Forbrugstariffer og effekt'!U662</f>
        <v>0</v>
      </c>
      <c r="V121" s="1">
        <f xml:space="preserve"> '3.3 Forbrugstariffer og effekt'!V662</f>
        <v>0</v>
      </c>
      <c r="W121" s="4">
        <f t="shared" si="21"/>
        <v>0</v>
      </c>
    </row>
    <row r="122" spans="2:23" ht="15" customHeight="1">
      <c r="D122" s="85" t="str">
        <f xml:space="preserve"> '2.1 Model setup'!K73</f>
        <v>1.4 Omkostninger vedrørende 132-150/30-60 kV-stationer</v>
      </c>
      <c r="K122" s="5" t="str">
        <f t="shared" si="20"/>
        <v>DKKt</v>
      </c>
      <c r="O122" s="202"/>
      <c r="P122" s="202"/>
      <c r="Q122" s="202"/>
      <c r="R122" s="1">
        <f xml:space="preserve"> '3.3 Forbrugstariffer og effekt'!R663</f>
        <v>0</v>
      </c>
      <c r="S122" s="1">
        <f xml:space="preserve"> '3.3 Forbrugstariffer og effekt'!S663</f>
        <v>0</v>
      </c>
      <c r="T122" s="1">
        <f xml:space="preserve"> '3.3 Forbrugstariffer og effekt'!T663</f>
        <v>0</v>
      </c>
      <c r="U122" s="1">
        <f xml:space="preserve"> '3.3 Forbrugstariffer og effekt'!U663</f>
        <v>0</v>
      </c>
      <c r="V122" s="1">
        <f xml:space="preserve"> '3.3 Forbrugstariffer og effekt'!V663</f>
        <v>0</v>
      </c>
      <c r="W122" s="4">
        <f xml:space="preserve"> SUM( R122:V122 )</f>
        <v>0</v>
      </c>
    </row>
    <row r="123" spans="2:23" ht="15" customHeight="1">
      <c r="D123" s="85" t="str">
        <f xml:space="preserve"> '2.1 Model setup'!K74</f>
        <v>2.1 Drift og vedligeholdelse af målere</v>
      </c>
      <c r="K123" s="5" t="str">
        <f t="shared" si="20"/>
        <v>DKKt</v>
      </c>
      <c r="O123" s="202"/>
      <c r="P123" s="202"/>
      <c r="Q123" s="202"/>
      <c r="R123" s="1">
        <f xml:space="preserve"> '3.3 Forbrugstariffer og effekt'!R664</f>
        <v>0</v>
      </c>
      <c r="S123" s="1">
        <f xml:space="preserve"> '3.3 Forbrugstariffer og effekt'!S664</f>
        <v>0</v>
      </c>
      <c r="T123" s="1">
        <f xml:space="preserve"> '3.3 Forbrugstariffer og effekt'!T664</f>
        <v>0</v>
      </c>
      <c r="U123" s="1">
        <f xml:space="preserve"> '3.3 Forbrugstariffer og effekt'!U664</f>
        <v>0</v>
      </c>
      <c r="V123" s="1">
        <f xml:space="preserve"> '3.3 Forbrugstariffer og effekt'!V664</f>
        <v>0</v>
      </c>
      <c r="W123" s="4">
        <f t="shared" si="21"/>
        <v>0</v>
      </c>
    </row>
    <row r="124" spans="2:23" ht="15" customHeight="1">
      <c r="D124" s="85" t="str">
        <f xml:space="preserve"> '2.1 Model setup'!K75</f>
        <v>2.2 Indhentning og validering af målerdata</v>
      </c>
      <c r="K124" s="5" t="str">
        <f t="shared" si="20"/>
        <v>DKKt</v>
      </c>
      <c r="O124" s="202"/>
      <c r="P124" s="202"/>
      <c r="Q124" s="202"/>
      <c r="R124" s="1">
        <f xml:space="preserve"> '3.3 Forbrugstariffer og effekt'!R665</f>
        <v>0</v>
      </c>
      <c r="S124" s="1">
        <f xml:space="preserve"> '3.3 Forbrugstariffer og effekt'!S665</f>
        <v>0</v>
      </c>
      <c r="T124" s="1">
        <f xml:space="preserve"> '3.3 Forbrugstariffer og effekt'!T665</f>
        <v>0</v>
      </c>
      <c r="U124" s="1">
        <f xml:space="preserve"> '3.3 Forbrugstariffer og effekt'!U665</f>
        <v>0</v>
      </c>
      <c r="V124" s="1">
        <f xml:space="preserve"> '3.3 Forbrugstariffer og effekt'!V665</f>
        <v>0</v>
      </c>
      <c r="W124" s="4">
        <f t="shared" si="21"/>
        <v>0</v>
      </c>
    </row>
    <row r="125" spans="2:23" ht="15" customHeight="1">
      <c r="D125" s="85" t="str">
        <f xml:space="preserve"> '2.1 Model setup'!K76</f>
        <v>2.3 Måleradministration og kundehåndtering</v>
      </c>
      <c r="K125" s="5" t="str">
        <f t="shared" si="20"/>
        <v>DKKt</v>
      </c>
      <c r="O125" s="202"/>
      <c r="P125" s="202"/>
      <c r="Q125" s="202"/>
      <c r="R125" s="1">
        <f xml:space="preserve"> '3.3 Forbrugstariffer og effekt'!R666</f>
        <v>0</v>
      </c>
      <c r="S125" s="1">
        <f xml:space="preserve"> '3.3 Forbrugstariffer og effekt'!S666</f>
        <v>0</v>
      </c>
      <c r="T125" s="1">
        <f xml:space="preserve"> '3.3 Forbrugstariffer og effekt'!T666</f>
        <v>0</v>
      </c>
      <c r="U125" s="1">
        <f xml:space="preserve"> '3.3 Forbrugstariffer og effekt'!U666</f>
        <v>0</v>
      </c>
      <c r="V125" s="1">
        <f xml:space="preserve"> '3.3 Forbrugstariffer og effekt'!V666</f>
        <v>0</v>
      </c>
      <c r="W125" s="4">
        <f t="shared" si="21"/>
        <v>0</v>
      </c>
    </row>
    <row r="126" spans="2:23" ht="15" customHeight="1">
      <c r="D126" s="85" t="str">
        <f xml:space="preserve"> '2.1 Model setup'!K77</f>
        <v>3.1 Generel administration</v>
      </c>
      <c r="K126" s="5" t="str">
        <f t="shared" si="20"/>
        <v>DKKt</v>
      </c>
      <c r="O126" s="202"/>
      <c r="P126" s="202"/>
      <c r="Q126" s="202"/>
      <c r="R126" s="1">
        <f xml:space="preserve"> '3.3 Forbrugstariffer og effekt'!R667</f>
        <v>0</v>
      </c>
      <c r="S126" s="1">
        <f xml:space="preserve"> '3.3 Forbrugstariffer og effekt'!S667</f>
        <v>0</v>
      </c>
      <c r="T126" s="1">
        <f xml:space="preserve"> '3.3 Forbrugstariffer og effekt'!T667</f>
        <v>0</v>
      </c>
      <c r="U126" s="1">
        <f xml:space="preserve"> '3.3 Forbrugstariffer og effekt'!U667</f>
        <v>0</v>
      </c>
      <c r="V126" s="1">
        <f xml:space="preserve"> '3.3 Forbrugstariffer og effekt'!V667</f>
        <v>0</v>
      </c>
      <c r="W126" s="4">
        <f t="shared" si="21"/>
        <v>0</v>
      </c>
    </row>
    <row r="127" spans="2:23" ht="15" customHeight="1">
      <c r="D127" s="85" t="str">
        <f xml:space="preserve"> '2.1 Model setup'!K78</f>
        <v>4.1 Omkostninger vedrørende nettab i transformerstationer</v>
      </c>
      <c r="K127" s="5" t="str">
        <f t="shared" si="20"/>
        <v>DKKt</v>
      </c>
      <c r="O127" s="202"/>
      <c r="P127" s="202"/>
      <c r="Q127" s="202"/>
      <c r="R127" s="1">
        <f xml:space="preserve"> '3.3 Forbrugstariffer og effekt'!R668</f>
        <v>0</v>
      </c>
      <c r="S127" s="1">
        <f xml:space="preserve"> '3.3 Forbrugstariffer og effekt'!S668</f>
        <v>0</v>
      </c>
      <c r="T127" s="1">
        <f xml:space="preserve"> '3.3 Forbrugstariffer og effekt'!T668</f>
        <v>0</v>
      </c>
      <c r="U127" s="1">
        <f xml:space="preserve"> '3.3 Forbrugstariffer og effekt'!U668</f>
        <v>0</v>
      </c>
      <c r="V127" s="1">
        <f xml:space="preserve"> '3.3 Forbrugstariffer og effekt'!V668</f>
        <v>0</v>
      </c>
      <c r="W127" s="4">
        <f t="shared" si="21"/>
        <v>0</v>
      </c>
    </row>
    <row r="128" spans="2:23" ht="15" customHeight="1">
      <c r="D128" s="85" t="str">
        <f xml:space="preserve"> '2.1 Model setup'!K79</f>
        <v>4.2 Omkostninger vedrørende nettab i ledningsnettet</v>
      </c>
      <c r="K128" s="5" t="str">
        <f t="shared" si="20"/>
        <v>DKKt</v>
      </c>
      <c r="O128" s="202"/>
      <c r="P128" s="202"/>
      <c r="Q128" s="202"/>
      <c r="R128" s="1">
        <f xml:space="preserve"> '3.3 Forbrugstariffer og effekt'!R669</f>
        <v>0</v>
      </c>
      <c r="S128" s="1">
        <f xml:space="preserve"> '3.3 Forbrugstariffer og effekt'!S669</f>
        <v>0</v>
      </c>
      <c r="T128" s="1">
        <f xml:space="preserve"> '3.3 Forbrugstariffer og effekt'!T669</f>
        <v>0</v>
      </c>
      <c r="U128" s="1">
        <f xml:space="preserve"> '3.3 Forbrugstariffer og effekt'!U669</f>
        <v>0</v>
      </c>
      <c r="V128" s="1">
        <f xml:space="preserve"> '3.3 Forbrugstariffer og effekt'!V669</f>
        <v>0</v>
      </c>
      <c r="W128" s="4">
        <f t="shared" si="21"/>
        <v>0</v>
      </c>
    </row>
    <row r="129" spans="4:23" ht="15" customHeight="1">
      <c r="D129" s="85" t="str">
        <f xml:space="preserve"> '2.1 Model setup'!K80</f>
        <v>5.1 Omkostninger til overliggende net ifm. forbrug</v>
      </c>
      <c r="K129" s="5" t="str">
        <f t="shared" si="20"/>
        <v>DKKt</v>
      </c>
      <c r="O129" s="202"/>
      <c r="P129" s="202"/>
      <c r="Q129" s="202"/>
      <c r="R129" s="1">
        <f xml:space="preserve"> '3.3 Forbrugstariffer og effekt'!R670</f>
        <v>0</v>
      </c>
      <c r="S129" s="1">
        <f xml:space="preserve"> '3.3 Forbrugstariffer og effekt'!S670</f>
        <v>0</v>
      </c>
      <c r="T129" s="1">
        <f xml:space="preserve"> '3.3 Forbrugstariffer og effekt'!T670</f>
        <v>0</v>
      </c>
      <c r="U129" s="1">
        <f xml:space="preserve"> '3.3 Forbrugstariffer og effekt'!U670</f>
        <v>0</v>
      </c>
      <c r="V129" s="1">
        <f xml:space="preserve"> '3.3 Forbrugstariffer og effekt'!V670</f>
        <v>0</v>
      </c>
      <c r="W129" s="4">
        <f xml:space="preserve"> SUM( R129:V129 )</f>
        <v>0</v>
      </c>
    </row>
    <row r="130" spans="4:23" ht="15" customHeight="1">
      <c r="D130" s="85" t="str">
        <f xml:space="preserve"> '2.1 Model setup'!K81</f>
        <v>5.2 Øvrige omkostninger</v>
      </c>
      <c r="K130" s="5" t="str">
        <f t="shared" si="20"/>
        <v>DKKt</v>
      </c>
      <c r="O130" s="202"/>
      <c r="P130" s="202"/>
      <c r="Q130" s="202"/>
      <c r="R130" s="1">
        <f xml:space="preserve"> '3.3 Forbrugstariffer og effekt'!R671</f>
        <v>0</v>
      </c>
      <c r="S130" s="1">
        <f xml:space="preserve"> '3.3 Forbrugstariffer og effekt'!S671</f>
        <v>0</v>
      </c>
      <c r="T130" s="1">
        <f xml:space="preserve"> '3.3 Forbrugstariffer og effekt'!T671</f>
        <v>0</v>
      </c>
      <c r="U130" s="1">
        <f xml:space="preserve"> '3.3 Forbrugstariffer og effekt'!U671</f>
        <v>0</v>
      </c>
      <c r="V130" s="1">
        <f xml:space="preserve"> '3.3 Forbrugstariffer og effekt'!V671</f>
        <v>0</v>
      </c>
      <c r="W130" s="4">
        <f t="shared" si="21"/>
        <v>0</v>
      </c>
    </row>
    <row r="131" spans="4:23" ht="15" customHeight="1">
      <c r="D131" s="85" t="str">
        <f xml:space="preserve"> '2.1 Model setup'!K82</f>
        <v>6.1 Afskrivninger på transformerstationer</v>
      </c>
      <c r="K131" s="5" t="str">
        <f t="shared" si="20"/>
        <v>DKKt</v>
      </c>
      <c r="O131" s="202"/>
      <c r="P131" s="202"/>
      <c r="Q131" s="202"/>
      <c r="R131" s="1">
        <f xml:space="preserve"> '3.3 Forbrugstariffer og effekt'!R672</f>
        <v>0</v>
      </c>
      <c r="S131" s="1">
        <f xml:space="preserve"> '3.3 Forbrugstariffer og effekt'!S672</f>
        <v>0</v>
      </c>
      <c r="T131" s="1">
        <f xml:space="preserve"> '3.3 Forbrugstariffer og effekt'!T672</f>
        <v>0</v>
      </c>
      <c r="U131" s="1">
        <f xml:space="preserve"> '3.3 Forbrugstariffer og effekt'!U672</f>
        <v>0</v>
      </c>
      <c r="V131" s="1">
        <f xml:space="preserve"> '3.3 Forbrugstariffer og effekt'!V672</f>
        <v>0</v>
      </c>
      <c r="W131" s="4">
        <f t="shared" si="21"/>
        <v>0</v>
      </c>
    </row>
    <row r="132" spans="4:23" ht="15" customHeight="1">
      <c r="D132" s="85" t="str">
        <f xml:space="preserve"> '2.1 Model setup'!K83</f>
        <v>6.2 Afskrivninger på netaktiver ekskl. målere og transformerstationer</v>
      </c>
      <c r="K132" s="5" t="str">
        <f t="shared" si="20"/>
        <v>DKKt</v>
      </c>
      <c r="O132" s="202"/>
      <c r="P132" s="202"/>
      <c r="Q132" s="202"/>
      <c r="R132" s="1">
        <f xml:space="preserve"> '3.3 Forbrugstariffer og effekt'!R673</f>
        <v>0</v>
      </c>
      <c r="S132" s="1">
        <f xml:space="preserve"> '3.3 Forbrugstariffer og effekt'!S673</f>
        <v>0</v>
      </c>
      <c r="T132" s="1">
        <f xml:space="preserve"> '3.3 Forbrugstariffer og effekt'!T673</f>
        <v>0</v>
      </c>
      <c r="U132" s="1">
        <f xml:space="preserve"> '3.3 Forbrugstariffer og effekt'!U673</f>
        <v>0</v>
      </c>
      <c r="V132" s="1">
        <f xml:space="preserve"> '3.3 Forbrugstariffer og effekt'!V673</f>
        <v>0</v>
      </c>
      <c r="W132" s="4">
        <f t="shared" si="21"/>
        <v>0</v>
      </c>
    </row>
    <row r="133" spans="4:23" ht="15" customHeight="1">
      <c r="D133" s="85" t="str">
        <f xml:space="preserve"> '2.1 Model setup'!K84</f>
        <v>6.3 Afskrivninger på målere</v>
      </c>
      <c r="K133" s="5" t="str">
        <f t="shared" si="20"/>
        <v>DKKt</v>
      </c>
      <c r="O133" s="202"/>
      <c r="P133" s="202"/>
      <c r="Q133" s="202"/>
      <c r="R133" s="1">
        <f xml:space="preserve"> '3.3 Forbrugstariffer og effekt'!R674</f>
        <v>0</v>
      </c>
      <c r="S133" s="1">
        <f xml:space="preserve"> '3.3 Forbrugstariffer og effekt'!S674</f>
        <v>0</v>
      </c>
      <c r="T133" s="1">
        <f xml:space="preserve"> '3.3 Forbrugstariffer og effekt'!T674</f>
        <v>0</v>
      </c>
      <c r="U133" s="1">
        <f xml:space="preserve"> '3.3 Forbrugstariffer og effekt'!U674</f>
        <v>0</v>
      </c>
      <c r="V133" s="1">
        <f xml:space="preserve"> '3.3 Forbrugstariffer og effekt'!V674</f>
        <v>0</v>
      </c>
      <c r="W133" s="4">
        <f t="shared" si="21"/>
        <v>0</v>
      </c>
    </row>
    <row r="134" spans="4:23" ht="15" customHeight="1">
      <c r="D134" s="85" t="str">
        <f xml:space="preserve"> '2.1 Model setup'!K85</f>
        <v>7.1 Transformerstationer (forrentning)</v>
      </c>
      <c r="K134" s="5" t="str">
        <f t="shared" si="20"/>
        <v>DKKt</v>
      </c>
      <c r="O134" s="202"/>
      <c r="P134" s="202"/>
      <c r="Q134" s="202"/>
      <c r="R134" s="1">
        <f xml:space="preserve"> '3.3 Forbrugstariffer og effekt'!R675</f>
        <v>0</v>
      </c>
      <c r="S134" s="1">
        <f xml:space="preserve"> '3.3 Forbrugstariffer og effekt'!S675</f>
        <v>0</v>
      </c>
      <c r="T134" s="1">
        <f xml:space="preserve"> '3.3 Forbrugstariffer og effekt'!T675</f>
        <v>0</v>
      </c>
      <c r="U134" s="1">
        <f xml:space="preserve"> '3.3 Forbrugstariffer og effekt'!U675</f>
        <v>0</v>
      </c>
      <c r="V134" s="1">
        <f xml:space="preserve"> '3.3 Forbrugstariffer og effekt'!V675</f>
        <v>0</v>
      </c>
      <c r="W134" s="4">
        <f t="shared" si="21"/>
        <v>0</v>
      </c>
    </row>
    <row r="135" spans="4:23" ht="15" customHeight="1">
      <c r="D135" s="85" t="str">
        <f xml:space="preserve"> '2.1 Model setup'!K86</f>
        <v>7.2 Netaktiver ekskl. målere og transformerstationer (forrentning)</v>
      </c>
      <c r="K135" s="5" t="str">
        <f t="shared" si="20"/>
        <v>DKKt</v>
      </c>
      <c r="O135" s="202"/>
      <c r="P135" s="202"/>
      <c r="Q135" s="202"/>
      <c r="R135" s="1">
        <f xml:space="preserve"> '3.3 Forbrugstariffer og effekt'!R676</f>
        <v>0</v>
      </c>
      <c r="S135" s="1">
        <f xml:space="preserve"> '3.3 Forbrugstariffer og effekt'!S676</f>
        <v>0</v>
      </c>
      <c r="T135" s="1">
        <f xml:space="preserve"> '3.3 Forbrugstariffer og effekt'!T676</f>
        <v>0</v>
      </c>
      <c r="U135" s="1">
        <f xml:space="preserve"> '3.3 Forbrugstariffer og effekt'!U676</f>
        <v>0</v>
      </c>
      <c r="V135" s="1">
        <f xml:space="preserve"> '3.3 Forbrugstariffer og effekt'!V676</f>
        <v>0</v>
      </c>
      <c r="W135" s="4">
        <f t="shared" si="21"/>
        <v>0</v>
      </c>
    </row>
    <row r="136" spans="4:23" ht="15" customHeight="1">
      <c r="D136" s="99" t="str">
        <f xml:space="preserve"> '2.1 Model setup'!K87</f>
        <v>7.3 Målere (forrentning)</v>
      </c>
      <c r="K136" s="5" t="str">
        <f t="shared" si="20"/>
        <v>DKKt</v>
      </c>
      <c r="O136" s="202"/>
      <c r="P136" s="202"/>
      <c r="Q136" s="202"/>
      <c r="R136" s="1">
        <f xml:space="preserve"> '3.3 Forbrugstariffer og effekt'!R677</f>
        <v>0</v>
      </c>
      <c r="S136" s="1">
        <f xml:space="preserve"> '3.3 Forbrugstariffer og effekt'!S677</f>
        <v>0</v>
      </c>
      <c r="T136" s="1">
        <f xml:space="preserve"> '3.3 Forbrugstariffer og effekt'!T677</f>
        <v>0</v>
      </c>
      <c r="U136" s="1">
        <f xml:space="preserve"> '3.3 Forbrugstariffer og effekt'!U677</f>
        <v>0</v>
      </c>
      <c r="V136" s="1">
        <f xml:space="preserve"> '3.3 Forbrugstariffer og effekt'!V677</f>
        <v>0</v>
      </c>
      <c r="W136" s="4">
        <f t="shared" si="21"/>
        <v>0</v>
      </c>
    </row>
    <row r="137" spans="4:23" ht="15" customHeight="1">
      <c r="D137" s="186" t="s">
        <v>16</v>
      </c>
      <c r="E137" s="33"/>
      <c r="F137" s="33"/>
      <c r="G137" s="33"/>
      <c r="H137" s="33"/>
      <c r="I137" s="33"/>
      <c r="J137" s="33"/>
      <c r="K137" s="187" t="str">
        <f t="shared" si="20"/>
        <v>DKKt</v>
      </c>
      <c r="L137" s="186"/>
      <c r="M137" s="186"/>
      <c r="N137" s="186"/>
      <c r="O137" s="388"/>
      <c r="P137" s="388"/>
      <c r="Q137" s="388"/>
      <c r="R137" s="186">
        <f t="shared" ref="R137:W137" si="22" xml:space="preserve"> SUM( R119:R136 )</f>
        <v>0</v>
      </c>
      <c r="S137" s="186">
        <f t="shared" si="22"/>
        <v>0</v>
      </c>
      <c r="T137" s="186">
        <f t="shared" si="22"/>
        <v>0</v>
      </c>
      <c r="U137" s="186">
        <f t="shared" si="22"/>
        <v>0</v>
      </c>
      <c r="V137" s="186">
        <f t="shared" si="22"/>
        <v>0</v>
      </c>
      <c r="W137" s="186">
        <f t="shared" si="22"/>
        <v>0</v>
      </c>
    </row>
    <row r="139" spans="4:23" ht="15" customHeight="1">
      <c r="D139" s="35" t="s">
        <v>647</v>
      </c>
      <c r="E139" s="27"/>
      <c r="F139" s="27"/>
      <c r="G139" s="27"/>
      <c r="H139" s="27"/>
      <c r="I139" s="27"/>
      <c r="J139" s="27"/>
      <c r="K139" s="32"/>
      <c r="L139" s="27"/>
      <c r="M139" s="27"/>
      <c r="N139" s="27"/>
      <c r="O139" s="27"/>
      <c r="P139" s="27"/>
      <c r="Q139" s="27"/>
      <c r="R139" s="27"/>
      <c r="S139" s="27"/>
      <c r="T139" s="27"/>
      <c r="U139" s="27"/>
      <c r="V139" s="27"/>
      <c r="W139" s="185" t="s">
        <v>16</v>
      </c>
    </row>
    <row r="140" spans="4:23" ht="15" customHeight="1">
      <c r="D140" s="85" t="str">
        <f xml:space="preserve"> '2.1 Model setup'!K70</f>
        <v>1.1 Drift og vedligeholdelse af transformerstationer</v>
      </c>
      <c r="K140" s="5" t="str">
        <f t="shared" ref="K140:K158" si="23" xml:space="preserve"> Model.Units</f>
        <v>DKKt</v>
      </c>
      <c r="O140" s="202"/>
      <c r="P140" s="202"/>
      <c r="Q140" s="202"/>
      <c r="R140" s="1">
        <f xml:space="preserve"> '3.3 Forbrugstariffer og effekt'!R639</f>
        <v>0</v>
      </c>
      <c r="S140" s="1">
        <f xml:space="preserve"> '3.3 Forbrugstariffer og effekt'!S639</f>
        <v>0</v>
      </c>
      <c r="T140" s="1">
        <f xml:space="preserve"> '3.3 Forbrugstariffer og effekt'!T639</f>
        <v>0</v>
      </c>
      <c r="U140" s="1">
        <f xml:space="preserve"> '3.3 Forbrugstariffer og effekt'!U639</f>
        <v>0</v>
      </c>
      <c r="V140" s="1">
        <f xml:space="preserve"> '3.3 Forbrugstariffer og effekt'!V639</f>
        <v>0</v>
      </c>
      <c r="W140" s="4">
        <f t="shared" ref="W140:W157" si="24" xml:space="preserve"> SUM( R140:V140 )</f>
        <v>0</v>
      </c>
    </row>
    <row r="141" spans="4:23" ht="15" customHeight="1">
      <c r="D141" s="85" t="str">
        <f xml:space="preserve"> '2.1 Model setup'!K71</f>
        <v>1.2 Drift og vedligeholdelse af ledningsnet</v>
      </c>
      <c r="K141" s="5" t="str">
        <f t="shared" si="23"/>
        <v>DKKt</v>
      </c>
      <c r="O141" s="202"/>
      <c r="P141" s="202"/>
      <c r="Q141" s="202"/>
      <c r="R141" s="1">
        <f xml:space="preserve"> '3.3 Forbrugstariffer og effekt'!R640</f>
        <v>0</v>
      </c>
      <c r="S141" s="1">
        <f xml:space="preserve"> '3.3 Forbrugstariffer og effekt'!S640</f>
        <v>0</v>
      </c>
      <c r="T141" s="1">
        <f xml:space="preserve"> '3.3 Forbrugstariffer og effekt'!T640</f>
        <v>0</v>
      </c>
      <c r="U141" s="1">
        <f xml:space="preserve"> '3.3 Forbrugstariffer og effekt'!U640</f>
        <v>0</v>
      </c>
      <c r="V141" s="1">
        <f xml:space="preserve"> '3.3 Forbrugstariffer og effekt'!V640</f>
        <v>0</v>
      </c>
      <c r="W141" s="4">
        <f t="shared" si="24"/>
        <v>0</v>
      </c>
    </row>
    <row r="142" spans="4:23" ht="15" customHeight="1">
      <c r="D142" s="85" t="str">
        <f xml:space="preserve"> '2.1 Model setup'!K72</f>
        <v>1.3 Øvrige omkostninger til drift, styring og kontrol af elnettet</v>
      </c>
      <c r="K142" s="5" t="str">
        <f t="shared" si="23"/>
        <v>DKKt</v>
      </c>
      <c r="O142" s="202"/>
      <c r="P142" s="202"/>
      <c r="Q142" s="202"/>
      <c r="R142" s="1">
        <f xml:space="preserve"> '3.3 Forbrugstariffer og effekt'!R641</f>
        <v>0</v>
      </c>
      <c r="S142" s="1">
        <f xml:space="preserve"> '3.3 Forbrugstariffer og effekt'!S641</f>
        <v>0</v>
      </c>
      <c r="T142" s="1">
        <f xml:space="preserve"> '3.3 Forbrugstariffer og effekt'!T641</f>
        <v>0</v>
      </c>
      <c r="U142" s="1">
        <f xml:space="preserve"> '3.3 Forbrugstariffer og effekt'!U641</f>
        <v>0</v>
      </c>
      <c r="V142" s="1">
        <f xml:space="preserve"> '3.3 Forbrugstariffer og effekt'!V641</f>
        <v>0</v>
      </c>
      <c r="W142" s="4">
        <f t="shared" si="24"/>
        <v>0</v>
      </c>
    </row>
    <row r="143" spans="4:23" ht="15" customHeight="1">
      <c r="D143" s="85" t="str">
        <f xml:space="preserve"> '2.1 Model setup'!K73</f>
        <v>1.4 Omkostninger vedrørende 132-150/30-60 kV-stationer</v>
      </c>
      <c r="K143" s="5" t="str">
        <f t="shared" si="23"/>
        <v>DKKt</v>
      </c>
      <c r="O143" s="202"/>
      <c r="P143" s="202"/>
      <c r="Q143" s="202"/>
      <c r="R143" s="1">
        <f xml:space="preserve"> '3.3 Forbrugstariffer og effekt'!R642</f>
        <v>0</v>
      </c>
      <c r="S143" s="1">
        <f xml:space="preserve"> '3.3 Forbrugstariffer og effekt'!S642</f>
        <v>0</v>
      </c>
      <c r="T143" s="1">
        <f xml:space="preserve"> '3.3 Forbrugstariffer og effekt'!T642</f>
        <v>0</v>
      </c>
      <c r="U143" s="1">
        <f xml:space="preserve"> '3.3 Forbrugstariffer og effekt'!U642</f>
        <v>0</v>
      </c>
      <c r="V143" s="1">
        <f xml:space="preserve"> '3.3 Forbrugstariffer og effekt'!V642</f>
        <v>0</v>
      </c>
      <c r="W143" s="4">
        <f xml:space="preserve"> SUM( R143:V143 )</f>
        <v>0</v>
      </c>
    </row>
    <row r="144" spans="4:23" ht="15" customHeight="1">
      <c r="D144" s="85" t="str">
        <f xml:space="preserve"> '2.1 Model setup'!K74</f>
        <v>2.1 Drift og vedligeholdelse af målere</v>
      </c>
      <c r="K144" s="5" t="str">
        <f t="shared" si="23"/>
        <v>DKKt</v>
      </c>
      <c r="O144" s="202"/>
      <c r="P144" s="202"/>
      <c r="Q144" s="202"/>
      <c r="R144" s="1">
        <f xml:space="preserve"> '3.3 Forbrugstariffer og effekt'!R643</f>
        <v>0</v>
      </c>
      <c r="S144" s="1">
        <f xml:space="preserve"> '3.3 Forbrugstariffer og effekt'!S643</f>
        <v>0</v>
      </c>
      <c r="T144" s="1">
        <f xml:space="preserve"> '3.3 Forbrugstariffer og effekt'!T643</f>
        <v>0</v>
      </c>
      <c r="U144" s="1">
        <f xml:space="preserve"> '3.3 Forbrugstariffer og effekt'!U643</f>
        <v>0</v>
      </c>
      <c r="V144" s="1">
        <f xml:space="preserve"> '3.3 Forbrugstariffer og effekt'!V643</f>
        <v>0</v>
      </c>
      <c r="W144" s="4">
        <f t="shared" si="24"/>
        <v>0</v>
      </c>
    </row>
    <row r="145" spans="4:23" ht="15" customHeight="1">
      <c r="D145" s="85" t="str">
        <f xml:space="preserve"> '2.1 Model setup'!K75</f>
        <v>2.2 Indhentning og validering af målerdata</v>
      </c>
      <c r="K145" s="5" t="str">
        <f t="shared" si="23"/>
        <v>DKKt</v>
      </c>
      <c r="O145" s="202"/>
      <c r="P145" s="202"/>
      <c r="Q145" s="202"/>
      <c r="R145" s="1">
        <f xml:space="preserve"> '3.3 Forbrugstariffer og effekt'!R644</f>
        <v>0</v>
      </c>
      <c r="S145" s="1">
        <f xml:space="preserve"> '3.3 Forbrugstariffer og effekt'!S644</f>
        <v>0</v>
      </c>
      <c r="T145" s="1">
        <f xml:space="preserve"> '3.3 Forbrugstariffer og effekt'!T644</f>
        <v>0</v>
      </c>
      <c r="U145" s="1">
        <f xml:space="preserve"> '3.3 Forbrugstariffer og effekt'!U644</f>
        <v>0</v>
      </c>
      <c r="V145" s="1">
        <f xml:space="preserve"> '3.3 Forbrugstariffer og effekt'!V644</f>
        <v>0</v>
      </c>
      <c r="W145" s="4">
        <f t="shared" si="24"/>
        <v>0</v>
      </c>
    </row>
    <row r="146" spans="4:23" ht="15" customHeight="1">
      <c r="D146" s="85" t="str">
        <f xml:space="preserve"> '2.1 Model setup'!K76</f>
        <v>2.3 Måleradministration og kundehåndtering</v>
      </c>
      <c r="K146" s="5" t="str">
        <f t="shared" si="23"/>
        <v>DKKt</v>
      </c>
      <c r="O146" s="202"/>
      <c r="P146" s="202"/>
      <c r="Q146" s="202"/>
      <c r="R146" s="1">
        <f xml:space="preserve"> '3.3 Forbrugstariffer og effekt'!R645</f>
        <v>0</v>
      </c>
      <c r="S146" s="1">
        <f xml:space="preserve"> '3.3 Forbrugstariffer og effekt'!S645</f>
        <v>0</v>
      </c>
      <c r="T146" s="1">
        <f xml:space="preserve"> '3.3 Forbrugstariffer og effekt'!T645</f>
        <v>0</v>
      </c>
      <c r="U146" s="1">
        <f xml:space="preserve"> '3.3 Forbrugstariffer og effekt'!U645</f>
        <v>0</v>
      </c>
      <c r="V146" s="1">
        <f xml:space="preserve"> '3.3 Forbrugstariffer og effekt'!V645</f>
        <v>0</v>
      </c>
      <c r="W146" s="4">
        <f t="shared" si="24"/>
        <v>0</v>
      </c>
    </row>
    <row r="147" spans="4:23" ht="15" customHeight="1">
      <c r="D147" s="85" t="str">
        <f xml:space="preserve"> '2.1 Model setup'!K77</f>
        <v>3.1 Generel administration</v>
      </c>
      <c r="K147" s="5" t="str">
        <f t="shared" si="23"/>
        <v>DKKt</v>
      </c>
      <c r="O147" s="202"/>
      <c r="P147" s="202"/>
      <c r="Q147" s="202"/>
      <c r="R147" s="1">
        <f xml:space="preserve"> '3.3 Forbrugstariffer og effekt'!R646</f>
        <v>0</v>
      </c>
      <c r="S147" s="1">
        <f xml:space="preserve"> '3.3 Forbrugstariffer og effekt'!S646</f>
        <v>0</v>
      </c>
      <c r="T147" s="1">
        <f xml:space="preserve"> '3.3 Forbrugstariffer og effekt'!T646</f>
        <v>0</v>
      </c>
      <c r="U147" s="1">
        <f xml:space="preserve"> '3.3 Forbrugstariffer og effekt'!U646</f>
        <v>0</v>
      </c>
      <c r="V147" s="1">
        <f xml:space="preserve"> '3.3 Forbrugstariffer og effekt'!V646</f>
        <v>0</v>
      </c>
      <c r="W147" s="4">
        <f t="shared" si="24"/>
        <v>0</v>
      </c>
    </row>
    <row r="148" spans="4:23" ht="15" customHeight="1">
      <c r="D148" s="85" t="str">
        <f xml:space="preserve"> '2.1 Model setup'!K78</f>
        <v>4.1 Omkostninger vedrørende nettab i transformerstationer</v>
      </c>
      <c r="K148" s="5" t="str">
        <f t="shared" si="23"/>
        <v>DKKt</v>
      </c>
      <c r="O148" s="202"/>
      <c r="P148" s="202"/>
      <c r="Q148" s="202"/>
      <c r="R148" s="1">
        <f xml:space="preserve"> '3.3 Forbrugstariffer og effekt'!R647</f>
        <v>0</v>
      </c>
      <c r="S148" s="1">
        <f xml:space="preserve"> '3.3 Forbrugstariffer og effekt'!S647</f>
        <v>0</v>
      </c>
      <c r="T148" s="1">
        <f xml:space="preserve"> '3.3 Forbrugstariffer og effekt'!T647</f>
        <v>0</v>
      </c>
      <c r="U148" s="1">
        <f xml:space="preserve"> '3.3 Forbrugstariffer og effekt'!U647</f>
        <v>0</v>
      </c>
      <c r="V148" s="1">
        <f xml:space="preserve"> '3.3 Forbrugstariffer og effekt'!V647</f>
        <v>0</v>
      </c>
      <c r="W148" s="4">
        <f t="shared" si="24"/>
        <v>0</v>
      </c>
    </row>
    <row r="149" spans="4:23" ht="15" customHeight="1">
      <c r="D149" s="85" t="str">
        <f xml:space="preserve"> '2.1 Model setup'!K79</f>
        <v>4.2 Omkostninger vedrørende nettab i ledningsnettet</v>
      </c>
      <c r="K149" s="5" t="str">
        <f t="shared" si="23"/>
        <v>DKKt</v>
      </c>
      <c r="O149" s="202"/>
      <c r="P149" s="202"/>
      <c r="Q149" s="202"/>
      <c r="R149" s="1">
        <f xml:space="preserve"> '3.3 Forbrugstariffer og effekt'!R648</f>
        <v>0</v>
      </c>
      <c r="S149" s="1">
        <f xml:space="preserve"> '3.3 Forbrugstariffer og effekt'!S648</f>
        <v>0</v>
      </c>
      <c r="T149" s="1">
        <f xml:space="preserve"> '3.3 Forbrugstariffer og effekt'!T648</f>
        <v>0</v>
      </c>
      <c r="U149" s="1">
        <f xml:space="preserve"> '3.3 Forbrugstariffer og effekt'!U648</f>
        <v>0</v>
      </c>
      <c r="V149" s="1">
        <f xml:space="preserve"> '3.3 Forbrugstariffer og effekt'!V648</f>
        <v>0</v>
      </c>
      <c r="W149" s="4">
        <f t="shared" si="24"/>
        <v>0</v>
      </c>
    </row>
    <row r="150" spans="4:23" ht="15" customHeight="1">
      <c r="D150" s="85" t="str">
        <f xml:space="preserve"> '2.1 Model setup'!K80</f>
        <v>5.1 Omkostninger til overliggende net ifm. forbrug</v>
      </c>
      <c r="K150" s="5" t="str">
        <f t="shared" si="23"/>
        <v>DKKt</v>
      </c>
      <c r="O150" s="202"/>
      <c r="P150" s="202"/>
      <c r="Q150" s="202"/>
      <c r="R150" s="1">
        <f xml:space="preserve"> '3.3 Forbrugstariffer og effekt'!R649</f>
        <v>0</v>
      </c>
      <c r="S150" s="1">
        <f xml:space="preserve"> '3.3 Forbrugstariffer og effekt'!S649</f>
        <v>0</v>
      </c>
      <c r="T150" s="1">
        <f xml:space="preserve"> '3.3 Forbrugstariffer og effekt'!T649</f>
        <v>0</v>
      </c>
      <c r="U150" s="1">
        <f xml:space="preserve"> '3.3 Forbrugstariffer og effekt'!U649</f>
        <v>0</v>
      </c>
      <c r="V150" s="1">
        <f xml:space="preserve"> '3.3 Forbrugstariffer og effekt'!V649</f>
        <v>0</v>
      </c>
      <c r="W150" s="4">
        <f xml:space="preserve"> SUM( R150:V150 )</f>
        <v>0</v>
      </c>
    </row>
    <row r="151" spans="4:23" ht="15" customHeight="1">
      <c r="D151" s="85" t="str">
        <f xml:space="preserve"> '2.1 Model setup'!K81</f>
        <v>5.2 Øvrige omkostninger</v>
      </c>
      <c r="K151" s="5" t="str">
        <f t="shared" si="23"/>
        <v>DKKt</v>
      </c>
      <c r="O151" s="202"/>
      <c r="P151" s="202"/>
      <c r="Q151" s="202"/>
      <c r="R151" s="1">
        <f xml:space="preserve"> '3.3 Forbrugstariffer og effekt'!R650</f>
        <v>0</v>
      </c>
      <c r="S151" s="1">
        <f xml:space="preserve"> '3.3 Forbrugstariffer og effekt'!S650</f>
        <v>0</v>
      </c>
      <c r="T151" s="1">
        <f xml:space="preserve"> '3.3 Forbrugstariffer og effekt'!T650</f>
        <v>0</v>
      </c>
      <c r="U151" s="1">
        <f xml:space="preserve"> '3.3 Forbrugstariffer og effekt'!U650</f>
        <v>0</v>
      </c>
      <c r="V151" s="1">
        <f xml:space="preserve"> '3.3 Forbrugstariffer og effekt'!V650</f>
        <v>0</v>
      </c>
      <c r="W151" s="4">
        <f t="shared" si="24"/>
        <v>0</v>
      </c>
    </row>
    <row r="152" spans="4:23" ht="15" customHeight="1">
      <c r="D152" s="85" t="str">
        <f xml:space="preserve"> '2.1 Model setup'!K82</f>
        <v>6.1 Afskrivninger på transformerstationer</v>
      </c>
      <c r="K152" s="5" t="str">
        <f t="shared" si="23"/>
        <v>DKKt</v>
      </c>
      <c r="O152" s="202"/>
      <c r="P152" s="202"/>
      <c r="Q152" s="202"/>
      <c r="R152" s="1">
        <f xml:space="preserve"> '3.3 Forbrugstariffer og effekt'!R651</f>
        <v>0</v>
      </c>
      <c r="S152" s="1">
        <f xml:space="preserve"> '3.3 Forbrugstariffer og effekt'!S651</f>
        <v>0</v>
      </c>
      <c r="T152" s="1">
        <f xml:space="preserve"> '3.3 Forbrugstariffer og effekt'!T651</f>
        <v>0</v>
      </c>
      <c r="U152" s="1">
        <f xml:space="preserve"> '3.3 Forbrugstariffer og effekt'!U651</f>
        <v>0</v>
      </c>
      <c r="V152" s="1">
        <f xml:space="preserve"> '3.3 Forbrugstariffer og effekt'!V651</f>
        <v>0</v>
      </c>
      <c r="W152" s="4">
        <f t="shared" si="24"/>
        <v>0</v>
      </c>
    </row>
    <row r="153" spans="4:23" ht="15" customHeight="1">
      <c r="D153" s="85" t="str">
        <f xml:space="preserve"> '2.1 Model setup'!K83</f>
        <v>6.2 Afskrivninger på netaktiver ekskl. målere og transformerstationer</v>
      </c>
      <c r="K153" s="5" t="str">
        <f t="shared" si="23"/>
        <v>DKKt</v>
      </c>
      <c r="O153" s="202"/>
      <c r="P153" s="202"/>
      <c r="Q153" s="202"/>
      <c r="R153" s="1">
        <f xml:space="preserve"> '3.3 Forbrugstariffer og effekt'!R652</f>
        <v>0</v>
      </c>
      <c r="S153" s="1">
        <f xml:space="preserve"> '3.3 Forbrugstariffer og effekt'!S652</f>
        <v>0</v>
      </c>
      <c r="T153" s="1">
        <f xml:space="preserve"> '3.3 Forbrugstariffer og effekt'!T652</f>
        <v>0</v>
      </c>
      <c r="U153" s="1">
        <f xml:space="preserve"> '3.3 Forbrugstariffer og effekt'!U652</f>
        <v>0</v>
      </c>
      <c r="V153" s="1">
        <f xml:space="preserve"> '3.3 Forbrugstariffer og effekt'!V652</f>
        <v>0</v>
      </c>
      <c r="W153" s="4">
        <f t="shared" si="24"/>
        <v>0</v>
      </c>
    </row>
    <row r="154" spans="4:23" ht="15" customHeight="1">
      <c r="D154" s="85" t="str">
        <f xml:space="preserve"> '2.1 Model setup'!K84</f>
        <v>6.3 Afskrivninger på målere</v>
      </c>
      <c r="K154" s="5" t="str">
        <f t="shared" si="23"/>
        <v>DKKt</v>
      </c>
      <c r="O154" s="202"/>
      <c r="P154" s="202"/>
      <c r="Q154" s="202"/>
      <c r="R154" s="1">
        <f xml:space="preserve"> '3.3 Forbrugstariffer og effekt'!R653</f>
        <v>0</v>
      </c>
      <c r="S154" s="1">
        <f xml:space="preserve"> '3.3 Forbrugstariffer og effekt'!S653</f>
        <v>0</v>
      </c>
      <c r="T154" s="1">
        <f xml:space="preserve"> '3.3 Forbrugstariffer og effekt'!T653</f>
        <v>0</v>
      </c>
      <c r="U154" s="1">
        <f xml:space="preserve"> '3.3 Forbrugstariffer og effekt'!U653</f>
        <v>0</v>
      </c>
      <c r="V154" s="1">
        <f xml:space="preserve"> '3.3 Forbrugstariffer og effekt'!V653</f>
        <v>0</v>
      </c>
      <c r="W154" s="4">
        <f t="shared" si="24"/>
        <v>0</v>
      </c>
    </row>
    <row r="155" spans="4:23" ht="15" customHeight="1">
      <c r="D155" s="85" t="str">
        <f xml:space="preserve"> '2.1 Model setup'!K85</f>
        <v>7.1 Transformerstationer (forrentning)</v>
      </c>
      <c r="K155" s="5" t="str">
        <f t="shared" si="23"/>
        <v>DKKt</v>
      </c>
      <c r="O155" s="202"/>
      <c r="P155" s="202"/>
      <c r="Q155" s="202"/>
      <c r="R155" s="1">
        <f xml:space="preserve"> '3.3 Forbrugstariffer og effekt'!R654</f>
        <v>0</v>
      </c>
      <c r="S155" s="1">
        <f xml:space="preserve"> '3.3 Forbrugstariffer og effekt'!S654</f>
        <v>0</v>
      </c>
      <c r="T155" s="1">
        <f xml:space="preserve"> '3.3 Forbrugstariffer og effekt'!T654</f>
        <v>0</v>
      </c>
      <c r="U155" s="1">
        <f xml:space="preserve"> '3.3 Forbrugstariffer og effekt'!U654</f>
        <v>0</v>
      </c>
      <c r="V155" s="1">
        <f xml:space="preserve"> '3.3 Forbrugstariffer og effekt'!V654</f>
        <v>0</v>
      </c>
      <c r="W155" s="4">
        <f t="shared" si="24"/>
        <v>0</v>
      </c>
    </row>
    <row r="156" spans="4:23" ht="15" customHeight="1">
      <c r="D156" s="85" t="str">
        <f xml:space="preserve"> '2.1 Model setup'!K86</f>
        <v>7.2 Netaktiver ekskl. målere og transformerstationer (forrentning)</v>
      </c>
      <c r="K156" s="5" t="str">
        <f t="shared" si="23"/>
        <v>DKKt</v>
      </c>
      <c r="O156" s="202"/>
      <c r="P156" s="202"/>
      <c r="Q156" s="202"/>
      <c r="R156" s="1">
        <f xml:space="preserve"> '3.3 Forbrugstariffer og effekt'!R655</f>
        <v>0</v>
      </c>
      <c r="S156" s="1">
        <f xml:space="preserve"> '3.3 Forbrugstariffer og effekt'!S655</f>
        <v>0</v>
      </c>
      <c r="T156" s="1">
        <f xml:space="preserve"> '3.3 Forbrugstariffer og effekt'!T655</f>
        <v>0</v>
      </c>
      <c r="U156" s="1">
        <f xml:space="preserve"> '3.3 Forbrugstariffer og effekt'!U655</f>
        <v>0</v>
      </c>
      <c r="V156" s="1">
        <f xml:space="preserve"> '3.3 Forbrugstariffer og effekt'!V655</f>
        <v>0</v>
      </c>
      <c r="W156" s="4">
        <f t="shared" si="24"/>
        <v>0</v>
      </c>
    </row>
    <row r="157" spans="4:23" ht="15" customHeight="1">
      <c r="D157" s="99" t="str">
        <f xml:space="preserve"> '2.1 Model setup'!K87</f>
        <v>7.3 Målere (forrentning)</v>
      </c>
      <c r="K157" s="5" t="str">
        <f t="shared" si="23"/>
        <v>DKKt</v>
      </c>
      <c r="O157" s="202"/>
      <c r="P157" s="202"/>
      <c r="Q157" s="202"/>
      <c r="R157" s="1">
        <f xml:space="preserve"> '3.3 Forbrugstariffer og effekt'!R656</f>
        <v>0</v>
      </c>
      <c r="S157" s="1">
        <f xml:space="preserve"> '3.3 Forbrugstariffer og effekt'!S656</f>
        <v>0</v>
      </c>
      <c r="T157" s="1">
        <f xml:space="preserve"> '3.3 Forbrugstariffer og effekt'!T656</f>
        <v>0</v>
      </c>
      <c r="U157" s="1">
        <f xml:space="preserve"> '3.3 Forbrugstariffer og effekt'!U656</f>
        <v>0</v>
      </c>
      <c r="V157" s="1">
        <f xml:space="preserve"> '3.3 Forbrugstariffer og effekt'!V656</f>
        <v>0</v>
      </c>
      <c r="W157" s="4">
        <f t="shared" si="24"/>
        <v>0</v>
      </c>
    </row>
    <row r="158" spans="4:23" ht="15" customHeight="1">
      <c r="D158" s="186" t="s">
        <v>16</v>
      </c>
      <c r="E158" s="33"/>
      <c r="F158" s="33"/>
      <c r="G158" s="33"/>
      <c r="H158" s="33"/>
      <c r="I158" s="33"/>
      <c r="J158" s="33"/>
      <c r="K158" s="187" t="str">
        <f t="shared" si="23"/>
        <v>DKKt</v>
      </c>
      <c r="L158" s="186"/>
      <c r="M158" s="186"/>
      <c r="N158" s="186"/>
      <c r="O158" s="388"/>
      <c r="P158" s="388"/>
      <c r="Q158" s="388"/>
      <c r="R158" s="186">
        <f t="shared" ref="R158:W158" si="25" xml:space="preserve"> SUM( R140:R157 )</f>
        <v>0</v>
      </c>
      <c r="S158" s="186">
        <f t="shared" si="25"/>
        <v>0</v>
      </c>
      <c r="T158" s="186">
        <f t="shared" si="25"/>
        <v>0</v>
      </c>
      <c r="U158" s="186">
        <f t="shared" si="25"/>
        <v>0</v>
      </c>
      <c r="V158" s="186">
        <f t="shared" si="25"/>
        <v>0</v>
      </c>
      <c r="W158" s="186">
        <f t="shared" si="25"/>
        <v>0</v>
      </c>
    </row>
    <row r="162" spans="2:23" s="475" customFormat="1" ht="15" customHeight="1">
      <c r="B162" s="479" t="str">
        <f xml:space="preserve"> COUNTA(B$10:B159) &amp; ") Nedbrydning af provenu på omkostnings- og forrentningsposter, effekt"</f>
        <v>5) Nedbrydning af provenu på omkostnings- og forrentningsposter, effekt</v>
      </c>
      <c r="C162" s="477"/>
      <c r="D162" s="478"/>
      <c r="K162" s="472"/>
    </row>
    <row r="164" spans="2:23" ht="15" customHeight="1">
      <c r="D164" s="35" t="s">
        <v>224</v>
      </c>
      <c r="E164" s="27"/>
      <c r="F164" s="27"/>
      <c r="G164" s="27"/>
      <c r="H164" s="27"/>
      <c r="I164" s="27"/>
      <c r="J164" s="27"/>
      <c r="K164" s="32"/>
      <c r="L164" s="27"/>
      <c r="M164" s="27"/>
      <c r="N164" s="27"/>
      <c r="O164" s="27"/>
      <c r="P164" s="27"/>
      <c r="Q164" s="27"/>
      <c r="R164" s="27"/>
      <c r="S164" s="27"/>
      <c r="T164" s="27"/>
      <c r="U164" s="27"/>
      <c r="V164" s="27"/>
      <c r="W164" s="185" t="s">
        <v>16</v>
      </c>
    </row>
    <row r="165" spans="2:23" ht="15" customHeight="1">
      <c r="D165" s="85" t="str">
        <f xml:space="preserve"> '2.1 Model setup'!K70</f>
        <v>1.1 Drift og vedligeholdelse af transformerstationer</v>
      </c>
      <c r="K165" s="5" t="str">
        <f t="shared" ref="K165:K183" si="26" xml:space="preserve"> Model.Units</f>
        <v>DKKt</v>
      </c>
      <c r="O165" s="202"/>
      <c r="P165" s="202"/>
      <c r="Q165" s="202"/>
      <c r="R165" s="1">
        <f xml:space="preserve"> '3.3 Forbrugstariffer og effekt'!R702</f>
        <v>0</v>
      </c>
      <c r="S165" s="1">
        <f xml:space="preserve"> '3.3 Forbrugstariffer og effekt'!S702</f>
        <v>0</v>
      </c>
      <c r="T165" s="1">
        <f xml:space="preserve"> '3.3 Forbrugstariffer og effekt'!T702</f>
        <v>0</v>
      </c>
      <c r="U165" s="1">
        <f xml:space="preserve"> '3.3 Forbrugstariffer og effekt'!U702</f>
        <v>0</v>
      </c>
      <c r="V165" s="1">
        <f xml:space="preserve"> '3.3 Forbrugstariffer og effekt'!V702</f>
        <v>0</v>
      </c>
      <c r="W165" s="4">
        <f t="shared" ref="W165:W182" si="27" xml:space="preserve"> SUM( R165:V165 )</f>
        <v>0</v>
      </c>
    </row>
    <row r="166" spans="2:23" ht="15" customHeight="1">
      <c r="D166" s="85" t="str">
        <f xml:space="preserve"> '2.1 Model setup'!K71</f>
        <v>1.2 Drift og vedligeholdelse af ledningsnet</v>
      </c>
      <c r="K166" s="5" t="str">
        <f t="shared" si="26"/>
        <v>DKKt</v>
      </c>
      <c r="O166" s="202"/>
      <c r="P166" s="202"/>
      <c r="Q166" s="202"/>
      <c r="R166" s="1">
        <f xml:space="preserve"> '3.3 Forbrugstariffer og effekt'!R703</f>
        <v>0</v>
      </c>
      <c r="S166" s="1">
        <f xml:space="preserve"> '3.3 Forbrugstariffer og effekt'!S703</f>
        <v>0</v>
      </c>
      <c r="T166" s="1">
        <f xml:space="preserve"> '3.3 Forbrugstariffer og effekt'!T703</f>
        <v>0</v>
      </c>
      <c r="U166" s="1">
        <f xml:space="preserve"> '3.3 Forbrugstariffer og effekt'!U703</f>
        <v>0</v>
      </c>
      <c r="V166" s="1">
        <f xml:space="preserve"> '3.3 Forbrugstariffer og effekt'!V703</f>
        <v>0</v>
      </c>
      <c r="W166" s="4">
        <f t="shared" si="27"/>
        <v>0</v>
      </c>
    </row>
    <row r="167" spans="2:23" ht="15" customHeight="1">
      <c r="D167" s="85" t="str">
        <f xml:space="preserve"> '2.1 Model setup'!K72</f>
        <v>1.3 Øvrige omkostninger til drift, styring og kontrol af elnettet</v>
      </c>
      <c r="K167" s="5" t="str">
        <f t="shared" si="26"/>
        <v>DKKt</v>
      </c>
      <c r="O167" s="202"/>
      <c r="P167" s="202"/>
      <c r="Q167" s="202"/>
      <c r="R167" s="1">
        <f xml:space="preserve"> '3.3 Forbrugstariffer og effekt'!R704</f>
        <v>0</v>
      </c>
      <c r="S167" s="1">
        <f xml:space="preserve"> '3.3 Forbrugstariffer og effekt'!S704</f>
        <v>0</v>
      </c>
      <c r="T167" s="1">
        <f xml:space="preserve"> '3.3 Forbrugstariffer og effekt'!T704</f>
        <v>0</v>
      </c>
      <c r="U167" s="1">
        <f xml:space="preserve"> '3.3 Forbrugstariffer og effekt'!U704</f>
        <v>0</v>
      </c>
      <c r="V167" s="1">
        <f xml:space="preserve"> '3.3 Forbrugstariffer og effekt'!V704</f>
        <v>0</v>
      </c>
      <c r="W167" s="4">
        <f t="shared" si="27"/>
        <v>0</v>
      </c>
    </row>
    <row r="168" spans="2:23" ht="15" customHeight="1">
      <c r="D168" s="85" t="str">
        <f xml:space="preserve"> '2.1 Model setup'!K73</f>
        <v>1.4 Omkostninger vedrørende 132-150/30-60 kV-stationer</v>
      </c>
      <c r="K168" s="5" t="str">
        <f t="shared" si="26"/>
        <v>DKKt</v>
      </c>
      <c r="O168" s="202"/>
      <c r="P168" s="202"/>
      <c r="Q168" s="202"/>
      <c r="R168" s="1">
        <f xml:space="preserve"> '3.3 Forbrugstariffer og effekt'!R705</f>
        <v>0</v>
      </c>
      <c r="S168" s="1">
        <f xml:space="preserve"> '3.3 Forbrugstariffer og effekt'!S705</f>
        <v>0</v>
      </c>
      <c r="T168" s="1">
        <f xml:space="preserve"> '3.3 Forbrugstariffer og effekt'!T705</f>
        <v>0</v>
      </c>
      <c r="U168" s="1">
        <f xml:space="preserve"> '3.3 Forbrugstariffer og effekt'!U705</f>
        <v>0</v>
      </c>
      <c r="V168" s="1">
        <f xml:space="preserve"> '3.3 Forbrugstariffer og effekt'!V705</f>
        <v>0</v>
      </c>
      <c r="W168" s="4">
        <f xml:space="preserve"> SUM( R168:V168 )</f>
        <v>0</v>
      </c>
    </row>
    <row r="169" spans="2:23" ht="15" customHeight="1">
      <c r="D169" s="85" t="str">
        <f xml:space="preserve"> '2.1 Model setup'!K74</f>
        <v>2.1 Drift og vedligeholdelse af målere</v>
      </c>
      <c r="K169" s="5" t="str">
        <f t="shared" si="26"/>
        <v>DKKt</v>
      </c>
      <c r="O169" s="202"/>
      <c r="P169" s="202"/>
      <c r="Q169" s="202"/>
      <c r="R169" s="1">
        <f xml:space="preserve"> '3.3 Forbrugstariffer og effekt'!R706</f>
        <v>0</v>
      </c>
      <c r="S169" s="1">
        <f xml:space="preserve"> '3.3 Forbrugstariffer og effekt'!S706</f>
        <v>0</v>
      </c>
      <c r="T169" s="1">
        <f xml:space="preserve"> '3.3 Forbrugstariffer og effekt'!T706</f>
        <v>0</v>
      </c>
      <c r="U169" s="1">
        <f xml:space="preserve"> '3.3 Forbrugstariffer og effekt'!U706</f>
        <v>0</v>
      </c>
      <c r="V169" s="1">
        <f xml:space="preserve"> '3.3 Forbrugstariffer og effekt'!V706</f>
        <v>0</v>
      </c>
      <c r="W169" s="4">
        <f t="shared" si="27"/>
        <v>0</v>
      </c>
    </row>
    <row r="170" spans="2:23" ht="15" customHeight="1">
      <c r="D170" s="85" t="str">
        <f xml:space="preserve"> '2.1 Model setup'!K75</f>
        <v>2.2 Indhentning og validering af målerdata</v>
      </c>
      <c r="K170" s="5" t="str">
        <f t="shared" si="26"/>
        <v>DKKt</v>
      </c>
      <c r="O170" s="202"/>
      <c r="P170" s="202"/>
      <c r="Q170" s="202"/>
      <c r="R170" s="1">
        <f xml:space="preserve"> '3.3 Forbrugstariffer og effekt'!R707</f>
        <v>0</v>
      </c>
      <c r="S170" s="1">
        <f xml:space="preserve"> '3.3 Forbrugstariffer og effekt'!S707</f>
        <v>0</v>
      </c>
      <c r="T170" s="1">
        <f xml:space="preserve"> '3.3 Forbrugstariffer og effekt'!T707</f>
        <v>0</v>
      </c>
      <c r="U170" s="1">
        <f xml:space="preserve"> '3.3 Forbrugstariffer og effekt'!U707</f>
        <v>0</v>
      </c>
      <c r="V170" s="1">
        <f xml:space="preserve"> '3.3 Forbrugstariffer og effekt'!V707</f>
        <v>0</v>
      </c>
      <c r="W170" s="4">
        <f t="shared" si="27"/>
        <v>0</v>
      </c>
    </row>
    <row r="171" spans="2:23" ht="15" customHeight="1">
      <c r="D171" s="85" t="str">
        <f xml:space="preserve"> '2.1 Model setup'!K76</f>
        <v>2.3 Måleradministration og kundehåndtering</v>
      </c>
      <c r="K171" s="5" t="str">
        <f t="shared" si="26"/>
        <v>DKKt</v>
      </c>
      <c r="O171" s="202"/>
      <c r="P171" s="202"/>
      <c r="Q171" s="202"/>
      <c r="R171" s="1">
        <f xml:space="preserve"> '3.3 Forbrugstariffer og effekt'!R708</f>
        <v>0</v>
      </c>
      <c r="S171" s="1">
        <f xml:space="preserve"> '3.3 Forbrugstariffer og effekt'!S708</f>
        <v>0</v>
      </c>
      <c r="T171" s="1">
        <f xml:space="preserve"> '3.3 Forbrugstariffer og effekt'!T708</f>
        <v>0</v>
      </c>
      <c r="U171" s="1">
        <f xml:space="preserve"> '3.3 Forbrugstariffer og effekt'!U708</f>
        <v>0</v>
      </c>
      <c r="V171" s="1">
        <f xml:space="preserve"> '3.3 Forbrugstariffer og effekt'!V708</f>
        <v>0</v>
      </c>
      <c r="W171" s="4">
        <f t="shared" si="27"/>
        <v>0</v>
      </c>
    </row>
    <row r="172" spans="2:23" ht="15" customHeight="1">
      <c r="D172" s="85" t="str">
        <f xml:space="preserve"> '2.1 Model setup'!K77</f>
        <v>3.1 Generel administration</v>
      </c>
      <c r="K172" s="5" t="str">
        <f t="shared" si="26"/>
        <v>DKKt</v>
      </c>
      <c r="O172" s="202"/>
      <c r="P172" s="202"/>
      <c r="Q172" s="202"/>
      <c r="R172" s="1">
        <f xml:space="preserve"> '3.3 Forbrugstariffer og effekt'!R709</f>
        <v>0</v>
      </c>
      <c r="S172" s="1">
        <f xml:space="preserve"> '3.3 Forbrugstariffer og effekt'!S709</f>
        <v>0</v>
      </c>
      <c r="T172" s="1">
        <f xml:space="preserve"> '3.3 Forbrugstariffer og effekt'!T709</f>
        <v>0</v>
      </c>
      <c r="U172" s="1">
        <f xml:space="preserve"> '3.3 Forbrugstariffer og effekt'!U709</f>
        <v>0</v>
      </c>
      <c r="V172" s="1">
        <f xml:space="preserve"> '3.3 Forbrugstariffer og effekt'!V709</f>
        <v>0</v>
      </c>
      <c r="W172" s="4">
        <f t="shared" si="27"/>
        <v>0</v>
      </c>
    </row>
    <row r="173" spans="2:23" ht="15" customHeight="1">
      <c r="D173" s="85" t="str">
        <f xml:space="preserve"> '2.1 Model setup'!K78</f>
        <v>4.1 Omkostninger vedrørende nettab i transformerstationer</v>
      </c>
      <c r="K173" s="5" t="str">
        <f t="shared" si="26"/>
        <v>DKKt</v>
      </c>
      <c r="O173" s="202"/>
      <c r="P173" s="202"/>
      <c r="Q173" s="202"/>
      <c r="R173" s="1">
        <f xml:space="preserve"> '3.3 Forbrugstariffer og effekt'!R710</f>
        <v>0</v>
      </c>
      <c r="S173" s="1">
        <f xml:space="preserve"> '3.3 Forbrugstariffer og effekt'!S710</f>
        <v>0</v>
      </c>
      <c r="T173" s="1">
        <f xml:space="preserve"> '3.3 Forbrugstariffer og effekt'!T710</f>
        <v>0</v>
      </c>
      <c r="U173" s="1">
        <f xml:space="preserve"> '3.3 Forbrugstariffer og effekt'!U710</f>
        <v>0</v>
      </c>
      <c r="V173" s="1">
        <f xml:space="preserve"> '3.3 Forbrugstariffer og effekt'!V710</f>
        <v>0</v>
      </c>
      <c r="W173" s="4">
        <f t="shared" si="27"/>
        <v>0</v>
      </c>
    </row>
    <row r="174" spans="2:23" ht="15" customHeight="1">
      <c r="D174" s="85" t="str">
        <f xml:space="preserve"> '2.1 Model setup'!K79</f>
        <v>4.2 Omkostninger vedrørende nettab i ledningsnettet</v>
      </c>
      <c r="K174" s="5" t="str">
        <f t="shared" si="26"/>
        <v>DKKt</v>
      </c>
      <c r="O174" s="202"/>
      <c r="P174" s="202"/>
      <c r="Q174" s="202"/>
      <c r="R174" s="1">
        <f xml:space="preserve"> '3.3 Forbrugstariffer og effekt'!R711</f>
        <v>0</v>
      </c>
      <c r="S174" s="1">
        <f xml:space="preserve"> '3.3 Forbrugstariffer og effekt'!S711</f>
        <v>0</v>
      </c>
      <c r="T174" s="1">
        <f xml:space="preserve"> '3.3 Forbrugstariffer og effekt'!T711</f>
        <v>0</v>
      </c>
      <c r="U174" s="1">
        <f xml:space="preserve"> '3.3 Forbrugstariffer og effekt'!U711</f>
        <v>0</v>
      </c>
      <c r="V174" s="1">
        <f xml:space="preserve"> '3.3 Forbrugstariffer og effekt'!V711</f>
        <v>0</v>
      </c>
      <c r="W174" s="4">
        <f t="shared" si="27"/>
        <v>0</v>
      </c>
    </row>
    <row r="175" spans="2:23" ht="15" customHeight="1">
      <c r="D175" s="85" t="str">
        <f xml:space="preserve"> '2.1 Model setup'!K80</f>
        <v>5.1 Omkostninger til overliggende net ifm. forbrug</v>
      </c>
      <c r="K175" s="5" t="str">
        <f t="shared" si="26"/>
        <v>DKKt</v>
      </c>
      <c r="O175" s="202"/>
      <c r="P175" s="202"/>
      <c r="Q175" s="202"/>
      <c r="R175" s="1">
        <f xml:space="preserve"> '3.3 Forbrugstariffer og effekt'!R712</f>
        <v>0</v>
      </c>
      <c r="S175" s="1">
        <f xml:space="preserve"> '3.3 Forbrugstariffer og effekt'!S712</f>
        <v>0</v>
      </c>
      <c r="T175" s="1">
        <f xml:space="preserve"> '3.3 Forbrugstariffer og effekt'!T712</f>
        <v>0</v>
      </c>
      <c r="U175" s="1">
        <f xml:space="preserve"> '3.3 Forbrugstariffer og effekt'!U712</f>
        <v>0</v>
      </c>
      <c r="V175" s="1">
        <f xml:space="preserve"> '3.3 Forbrugstariffer og effekt'!V712</f>
        <v>0</v>
      </c>
      <c r="W175" s="4">
        <f xml:space="preserve"> SUM( R175:V175 )</f>
        <v>0</v>
      </c>
    </row>
    <row r="176" spans="2:23" ht="15" customHeight="1">
      <c r="D176" s="85" t="str">
        <f xml:space="preserve"> '2.1 Model setup'!K81</f>
        <v>5.2 Øvrige omkostninger</v>
      </c>
      <c r="K176" s="5" t="str">
        <f t="shared" si="26"/>
        <v>DKKt</v>
      </c>
      <c r="O176" s="202"/>
      <c r="P176" s="202"/>
      <c r="Q176" s="202"/>
      <c r="R176" s="1">
        <f xml:space="preserve"> '3.3 Forbrugstariffer og effekt'!R713</f>
        <v>0</v>
      </c>
      <c r="S176" s="1">
        <f xml:space="preserve"> '3.3 Forbrugstariffer og effekt'!S713</f>
        <v>0</v>
      </c>
      <c r="T176" s="1">
        <f xml:space="preserve"> '3.3 Forbrugstariffer og effekt'!T713</f>
        <v>0</v>
      </c>
      <c r="U176" s="1">
        <f xml:space="preserve"> '3.3 Forbrugstariffer og effekt'!U713</f>
        <v>0</v>
      </c>
      <c r="V176" s="1">
        <f xml:space="preserve"> '3.3 Forbrugstariffer og effekt'!V713</f>
        <v>0</v>
      </c>
      <c r="W176" s="4">
        <f t="shared" si="27"/>
        <v>0</v>
      </c>
    </row>
    <row r="177" spans="4:23" ht="15" customHeight="1">
      <c r="D177" s="85" t="str">
        <f xml:space="preserve"> '2.1 Model setup'!K82</f>
        <v>6.1 Afskrivninger på transformerstationer</v>
      </c>
      <c r="K177" s="5" t="str">
        <f t="shared" si="26"/>
        <v>DKKt</v>
      </c>
      <c r="O177" s="202"/>
      <c r="P177" s="202"/>
      <c r="Q177" s="202"/>
      <c r="R177" s="1">
        <f xml:space="preserve"> '3.3 Forbrugstariffer og effekt'!R714</f>
        <v>0</v>
      </c>
      <c r="S177" s="1">
        <f xml:space="preserve"> '3.3 Forbrugstariffer og effekt'!S714</f>
        <v>0</v>
      </c>
      <c r="T177" s="1">
        <f xml:space="preserve"> '3.3 Forbrugstariffer og effekt'!T714</f>
        <v>0</v>
      </c>
      <c r="U177" s="1">
        <f xml:space="preserve"> '3.3 Forbrugstariffer og effekt'!U714</f>
        <v>0</v>
      </c>
      <c r="V177" s="1">
        <f xml:space="preserve"> '3.3 Forbrugstariffer og effekt'!V714</f>
        <v>0</v>
      </c>
      <c r="W177" s="4">
        <f t="shared" si="27"/>
        <v>0</v>
      </c>
    </row>
    <row r="178" spans="4:23" ht="15" customHeight="1">
      <c r="D178" s="85" t="str">
        <f xml:space="preserve"> '2.1 Model setup'!K83</f>
        <v>6.2 Afskrivninger på netaktiver ekskl. målere og transformerstationer</v>
      </c>
      <c r="K178" s="5" t="str">
        <f t="shared" si="26"/>
        <v>DKKt</v>
      </c>
      <c r="O178" s="202"/>
      <c r="P178" s="202"/>
      <c r="Q178" s="202"/>
      <c r="R178" s="1">
        <f xml:space="preserve"> '3.3 Forbrugstariffer og effekt'!R715</f>
        <v>0</v>
      </c>
      <c r="S178" s="1">
        <f xml:space="preserve"> '3.3 Forbrugstariffer og effekt'!S715</f>
        <v>0</v>
      </c>
      <c r="T178" s="1">
        <f xml:space="preserve"> '3.3 Forbrugstariffer og effekt'!T715</f>
        <v>0</v>
      </c>
      <c r="U178" s="1">
        <f xml:space="preserve"> '3.3 Forbrugstariffer og effekt'!U715</f>
        <v>0</v>
      </c>
      <c r="V178" s="1">
        <f xml:space="preserve"> '3.3 Forbrugstariffer og effekt'!V715</f>
        <v>0</v>
      </c>
      <c r="W178" s="4">
        <f t="shared" si="27"/>
        <v>0</v>
      </c>
    </row>
    <row r="179" spans="4:23" ht="15" customHeight="1">
      <c r="D179" s="85" t="str">
        <f xml:space="preserve"> '2.1 Model setup'!K84</f>
        <v>6.3 Afskrivninger på målere</v>
      </c>
      <c r="K179" s="5" t="str">
        <f t="shared" si="26"/>
        <v>DKKt</v>
      </c>
      <c r="O179" s="202"/>
      <c r="P179" s="202"/>
      <c r="Q179" s="202"/>
      <c r="R179" s="1">
        <f xml:space="preserve"> '3.3 Forbrugstariffer og effekt'!R716</f>
        <v>0</v>
      </c>
      <c r="S179" s="1">
        <f xml:space="preserve"> '3.3 Forbrugstariffer og effekt'!S716</f>
        <v>0</v>
      </c>
      <c r="T179" s="1">
        <f xml:space="preserve"> '3.3 Forbrugstariffer og effekt'!T716</f>
        <v>0</v>
      </c>
      <c r="U179" s="1">
        <f xml:space="preserve"> '3.3 Forbrugstariffer og effekt'!U716</f>
        <v>0</v>
      </c>
      <c r="V179" s="1">
        <f xml:space="preserve"> '3.3 Forbrugstariffer og effekt'!V716</f>
        <v>0</v>
      </c>
      <c r="W179" s="4">
        <f t="shared" si="27"/>
        <v>0</v>
      </c>
    </row>
    <row r="180" spans="4:23" ht="15" customHeight="1">
      <c r="D180" s="85" t="str">
        <f xml:space="preserve"> '2.1 Model setup'!K85</f>
        <v>7.1 Transformerstationer (forrentning)</v>
      </c>
      <c r="K180" s="5" t="str">
        <f t="shared" si="26"/>
        <v>DKKt</v>
      </c>
      <c r="O180" s="202"/>
      <c r="P180" s="202"/>
      <c r="Q180" s="202"/>
      <c r="R180" s="1">
        <f xml:space="preserve"> '3.3 Forbrugstariffer og effekt'!R717</f>
        <v>0</v>
      </c>
      <c r="S180" s="1">
        <f xml:space="preserve"> '3.3 Forbrugstariffer og effekt'!S717</f>
        <v>0</v>
      </c>
      <c r="T180" s="1">
        <f xml:space="preserve"> '3.3 Forbrugstariffer og effekt'!T717</f>
        <v>0</v>
      </c>
      <c r="U180" s="1">
        <f xml:space="preserve"> '3.3 Forbrugstariffer og effekt'!U717</f>
        <v>0</v>
      </c>
      <c r="V180" s="1">
        <f xml:space="preserve"> '3.3 Forbrugstariffer og effekt'!V717</f>
        <v>0</v>
      </c>
      <c r="W180" s="4">
        <f t="shared" si="27"/>
        <v>0</v>
      </c>
    </row>
    <row r="181" spans="4:23" ht="15" customHeight="1">
      <c r="D181" s="85" t="str">
        <f xml:space="preserve"> '2.1 Model setup'!K86</f>
        <v>7.2 Netaktiver ekskl. målere og transformerstationer (forrentning)</v>
      </c>
      <c r="K181" s="5" t="str">
        <f t="shared" si="26"/>
        <v>DKKt</v>
      </c>
      <c r="O181" s="202"/>
      <c r="P181" s="202"/>
      <c r="Q181" s="202"/>
      <c r="R181" s="1">
        <f xml:space="preserve"> '3.3 Forbrugstariffer og effekt'!R718</f>
        <v>0</v>
      </c>
      <c r="S181" s="1">
        <f xml:space="preserve"> '3.3 Forbrugstariffer og effekt'!S718</f>
        <v>0</v>
      </c>
      <c r="T181" s="1">
        <f xml:space="preserve"> '3.3 Forbrugstariffer og effekt'!T718</f>
        <v>0</v>
      </c>
      <c r="U181" s="1">
        <f xml:space="preserve"> '3.3 Forbrugstariffer og effekt'!U718</f>
        <v>0</v>
      </c>
      <c r="V181" s="1">
        <f xml:space="preserve"> '3.3 Forbrugstariffer og effekt'!V718</f>
        <v>0</v>
      </c>
      <c r="W181" s="4">
        <f t="shared" si="27"/>
        <v>0</v>
      </c>
    </row>
    <row r="182" spans="4:23" ht="15" customHeight="1">
      <c r="D182" s="99" t="str">
        <f xml:space="preserve"> '2.1 Model setup'!K87</f>
        <v>7.3 Målere (forrentning)</v>
      </c>
      <c r="K182" s="5" t="str">
        <f t="shared" si="26"/>
        <v>DKKt</v>
      </c>
      <c r="O182" s="202"/>
      <c r="P182" s="202"/>
      <c r="Q182" s="202"/>
      <c r="R182" s="1">
        <f xml:space="preserve"> '3.3 Forbrugstariffer og effekt'!R719</f>
        <v>0</v>
      </c>
      <c r="S182" s="1">
        <f xml:space="preserve"> '3.3 Forbrugstariffer og effekt'!S719</f>
        <v>0</v>
      </c>
      <c r="T182" s="1">
        <f xml:space="preserve"> '3.3 Forbrugstariffer og effekt'!T719</f>
        <v>0</v>
      </c>
      <c r="U182" s="1">
        <f xml:space="preserve"> '3.3 Forbrugstariffer og effekt'!U719</f>
        <v>0</v>
      </c>
      <c r="V182" s="1">
        <f xml:space="preserve"> '3.3 Forbrugstariffer og effekt'!V719</f>
        <v>0</v>
      </c>
      <c r="W182" s="4">
        <f t="shared" si="27"/>
        <v>0</v>
      </c>
    </row>
    <row r="183" spans="4:23" ht="15" customHeight="1">
      <c r="D183" s="186" t="s">
        <v>16</v>
      </c>
      <c r="E183" s="33"/>
      <c r="F183" s="33"/>
      <c r="G183" s="33"/>
      <c r="H183" s="33"/>
      <c r="I183" s="33"/>
      <c r="J183" s="33"/>
      <c r="K183" s="187" t="str">
        <f t="shared" si="26"/>
        <v>DKKt</v>
      </c>
      <c r="L183" s="186"/>
      <c r="M183" s="186"/>
      <c r="N183" s="186"/>
      <c r="O183" s="388"/>
      <c r="P183" s="388"/>
      <c r="Q183" s="388"/>
      <c r="R183" s="186">
        <f t="shared" ref="R183:W183" si="28" xml:space="preserve"> SUM( R165:R182 )</f>
        <v>0</v>
      </c>
      <c r="S183" s="186">
        <f t="shared" si="28"/>
        <v>0</v>
      </c>
      <c r="T183" s="186">
        <f t="shared" si="28"/>
        <v>0</v>
      </c>
      <c r="U183" s="186">
        <f t="shared" si="28"/>
        <v>0</v>
      </c>
      <c r="V183" s="186">
        <f t="shared" si="28"/>
        <v>0</v>
      </c>
      <c r="W183" s="186">
        <f t="shared" si="28"/>
        <v>0</v>
      </c>
    </row>
    <row r="185" spans="4:23" ht="15" customHeight="1">
      <c r="D185" s="35" t="s">
        <v>455</v>
      </c>
      <c r="E185" s="27"/>
      <c r="F185" s="27"/>
      <c r="G185" s="27"/>
      <c r="H185" s="27"/>
      <c r="I185" s="27"/>
      <c r="J185" s="27"/>
      <c r="K185" s="32"/>
      <c r="L185" s="27"/>
      <c r="M185" s="27"/>
      <c r="N185" s="27"/>
      <c r="O185" s="27"/>
      <c r="P185" s="27"/>
      <c r="Q185" s="27"/>
      <c r="R185" s="27"/>
      <c r="S185" s="27"/>
      <c r="T185" s="27"/>
      <c r="U185" s="27"/>
      <c r="V185" s="27"/>
      <c r="W185" s="185" t="s">
        <v>16</v>
      </c>
    </row>
    <row r="186" spans="4:23" ht="15" customHeight="1">
      <c r="D186" s="85" t="str">
        <f xml:space="preserve"> '2.1 Model setup'!K70</f>
        <v>1.1 Drift og vedligeholdelse af transformerstationer</v>
      </c>
      <c r="K186" s="5" t="str">
        <f t="shared" ref="K186:K204" si="29" xml:space="preserve"> Model.Units</f>
        <v>DKKt</v>
      </c>
      <c r="O186" s="202"/>
      <c r="P186" s="202"/>
      <c r="Q186" s="202"/>
      <c r="R186" s="1">
        <f xml:space="preserve"> '3.3 Forbrugstariffer og effekt'!R681</f>
        <v>0</v>
      </c>
      <c r="S186" s="1">
        <f xml:space="preserve"> '3.3 Forbrugstariffer og effekt'!S681</f>
        <v>0</v>
      </c>
      <c r="T186" s="1">
        <f xml:space="preserve"> '3.3 Forbrugstariffer og effekt'!T681</f>
        <v>0</v>
      </c>
      <c r="U186" s="1">
        <f xml:space="preserve"> '3.3 Forbrugstariffer og effekt'!U681</f>
        <v>0</v>
      </c>
      <c r="V186" s="1">
        <f xml:space="preserve"> '3.3 Forbrugstariffer og effekt'!V681</f>
        <v>0</v>
      </c>
      <c r="W186" s="4">
        <f t="shared" ref="W186:W203" si="30" xml:space="preserve"> SUM( R186:V186 )</f>
        <v>0</v>
      </c>
    </row>
    <row r="187" spans="4:23" ht="15" customHeight="1">
      <c r="D187" s="85" t="str">
        <f xml:space="preserve"> '2.1 Model setup'!K71</f>
        <v>1.2 Drift og vedligeholdelse af ledningsnet</v>
      </c>
      <c r="K187" s="5" t="str">
        <f t="shared" si="29"/>
        <v>DKKt</v>
      </c>
      <c r="O187" s="202"/>
      <c r="P187" s="202"/>
      <c r="Q187" s="202"/>
      <c r="R187" s="1">
        <f xml:space="preserve"> '3.3 Forbrugstariffer og effekt'!R682</f>
        <v>0</v>
      </c>
      <c r="S187" s="1">
        <f xml:space="preserve"> '3.3 Forbrugstariffer og effekt'!S682</f>
        <v>0</v>
      </c>
      <c r="T187" s="1">
        <f xml:space="preserve"> '3.3 Forbrugstariffer og effekt'!T682</f>
        <v>0</v>
      </c>
      <c r="U187" s="1">
        <f xml:space="preserve"> '3.3 Forbrugstariffer og effekt'!U682</f>
        <v>0</v>
      </c>
      <c r="V187" s="1">
        <f xml:space="preserve"> '3.3 Forbrugstariffer og effekt'!V682</f>
        <v>0</v>
      </c>
      <c r="W187" s="4">
        <f t="shared" si="30"/>
        <v>0</v>
      </c>
    </row>
    <row r="188" spans="4:23" ht="15" customHeight="1">
      <c r="D188" s="85" t="str">
        <f xml:space="preserve"> '2.1 Model setup'!K72</f>
        <v>1.3 Øvrige omkostninger til drift, styring og kontrol af elnettet</v>
      </c>
      <c r="K188" s="5" t="str">
        <f t="shared" si="29"/>
        <v>DKKt</v>
      </c>
      <c r="O188" s="202"/>
      <c r="P188" s="202"/>
      <c r="Q188" s="202"/>
      <c r="R188" s="1">
        <f xml:space="preserve"> '3.3 Forbrugstariffer og effekt'!R683</f>
        <v>0</v>
      </c>
      <c r="S188" s="1">
        <f xml:space="preserve"> '3.3 Forbrugstariffer og effekt'!S683</f>
        <v>0</v>
      </c>
      <c r="T188" s="1">
        <f xml:space="preserve"> '3.3 Forbrugstariffer og effekt'!T683</f>
        <v>0</v>
      </c>
      <c r="U188" s="1">
        <f xml:space="preserve"> '3.3 Forbrugstariffer og effekt'!U683</f>
        <v>0</v>
      </c>
      <c r="V188" s="1">
        <f xml:space="preserve"> '3.3 Forbrugstariffer og effekt'!V683</f>
        <v>0</v>
      </c>
      <c r="W188" s="4">
        <f t="shared" si="30"/>
        <v>0</v>
      </c>
    </row>
    <row r="189" spans="4:23" ht="15" customHeight="1">
      <c r="D189" s="85" t="str">
        <f xml:space="preserve"> '2.1 Model setup'!K73</f>
        <v>1.4 Omkostninger vedrørende 132-150/30-60 kV-stationer</v>
      </c>
      <c r="K189" s="5" t="str">
        <f t="shared" si="29"/>
        <v>DKKt</v>
      </c>
      <c r="O189" s="202"/>
      <c r="P189" s="202"/>
      <c r="Q189" s="202"/>
      <c r="R189" s="1">
        <f xml:space="preserve"> '3.3 Forbrugstariffer og effekt'!R684</f>
        <v>0</v>
      </c>
      <c r="S189" s="1">
        <f xml:space="preserve"> '3.3 Forbrugstariffer og effekt'!S684</f>
        <v>0</v>
      </c>
      <c r="T189" s="1">
        <f xml:space="preserve"> '3.3 Forbrugstariffer og effekt'!T684</f>
        <v>0</v>
      </c>
      <c r="U189" s="1">
        <f xml:space="preserve"> '3.3 Forbrugstariffer og effekt'!U684</f>
        <v>0</v>
      </c>
      <c r="V189" s="1">
        <f xml:space="preserve"> '3.3 Forbrugstariffer og effekt'!V684</f>
        <v>0</v>
      </c>
      <c r="W189" s="4">
        <f xml:space="preserve"> SUM( R189:V189 )</f>
        <v>0</v>
      </c>
    </row>
    <row r="190" spans="4:23" ht="15" customHeight="1">
      <c r="D190" s="85" t="str">
        <f xml:space="preserve"> '2.1 Model setup'!K74</f>
        <v>2.1 Drift og vedligeholdelse af målere</v>
      </c>
      <c r="K190" s="5" t="str">
        <f t="shared" si="29"/>
        <v>DKKt</v>
      </c>
      <c r="O190" s="202"/>
      <c r="P190" s="202"/>
      <c r="Q190" s="202"/>
      <c r="R190" s="1">
        <f xml:space="preserve"> '3.3 Forbrugstariffer og effekt'!R685</f>
        <v>0</v>
      </c>
      <c r="S190" s="1">
        <f xml:space="preserve"> '3.3 Forbrugstariffer og effekt'!S685</f>
        <v>0</v>
      </c>
      <c r="T190" s="1">
        <f xml:space="preserve"> '3.3 Forbrugstariffer og effekt'!T685</f>
        <v>0</v>
      </c>
      <c r="U190" s="1">
        <f xml:space="preserve"> '3.3 Forbrugstariffer og effekt'!U685</f>
        <v>0</v>
      </c>
      <c r="V190" s="1">
        <f xml:space="preserve"> '3.3 Forbrugstariffer og effekt'!V685</f>
        <v>0</v>
      </c>
      <c r="W190" s="4">
        <f t="shared" si="30"/>
        <v>0</v>
      </c>
    </row>
    <row r="191" spans="4:23" ht="15" customHeight="1">
      <c r="D191" s="85" t="str">
        <f xml:space="preserve"> '2.1 Model setup'!K75</f>
        <v>2.2 Indhentning og validering af målerdata</v>
      </c>
      <c r="K191" s="5" t="str">
        <f t="shared" si="29"/>
        <v>DKKt</v>
      </c>
      <c r="O191" s="202"/>
      <c r="P191" s="202"/>
      <c r="Q191" s="202"/>
      <c r="R191" s="1">
        <f xml:space="preserve"> '3.3 Forbrugstariffer og effekt'!R686</f>
        <v>0</v>
      </c>
      <c r="S191" s="1">
        <f xml:space="preserve"> '3.3 Forbrugstariffer og effekt'!S686</f>
        <v>0</v>
      </c>
      <c r="T191" s="1">
        <f xml:space="preserve"> '3.3 Forbrugstariffer og effekt'!T686</f>
        <v>0</v>
      </c>
      <c r="U191" s="1">
        <f xml:space="preserve"> '3.3 Forbrugstariffer og effekt'!U686</f>
        <v>0</v>
      </c>
      <c r="V191" s="1">
        <f xml:space="preserve"> '3.3 Forbrugstariffer og effekt'!V686</f>
        <v>0</v>
      </c>
      <c r="W191" s="4">
        <f t="shared" si="30"/>
        <v>0</v>
      </c>
    </row>
    <row r="192" spans="4:23" ht="15" customHeight="1">
      <c r="D192" s="85" t="str">
        <f xml:space="preserve"> '2.1 Model setup'!K76</f>
        <v>2.3 Måleradministration og kundehåndtering</v>
      </c>
      <c r="K192" s="5" t="str">
        <f t="shared" si="29"/>
        <v>DKKt</v>
      </c>
      <c r="O192" s="202"/>
      <c r="P192" s="202"/>
      <c r="Q192" s="202"/>
      <c r="R192" s="1">
        <f xml:space="preserve"> '3.3 Forbrugstariffer og effekt'!R687</f>
        <v>0</v>
      </c>
      <c r="S192" s="1">
        <f xml:space="preserve"> '3.3 Forbrugstariffer og effekt'!S687</f>
        <v>0</v>
      </c>
      <c r="T192" s="1">
        <f xml:space="preserve"> '3.3 Forbrugstariffer og effekt'!T687</f>
        <v>0</v>
      </c>
      <c r="U192" s="1">
        <f xml:space="preserve"> '3.3 Forbrugstariffer og effekt'!U687</f>
        <v>0</v>
      </c>
      <c r="V192" s="1">
        <f xml:space="preserve"> '3.3 Forbrugstariffer og effekt'!V687</f>
        <v>0</v>
      </c>
      <c r="W192" s="4">
        <f t="shared" si="30"/>
        <v>0</v>
      </c>
    </row>
    <row r="193" spans="2:23" ht="15" customHeight="1">
      <c r="D193" s="85" t="str">
        <f xml:space="preserve"> '2.1 Model setup'!K77</f>
        <v>3.1 Generel administration</v>
      </c>
      <c r="K193" s="5" t="str">
        <f t="shared" si="29"/>
        <v>DKKt</v>
      </c>
      <c r="O193" s="202"/>
      <c r="P193" s="202"/>
      <c r="Q193" s="202"/>
      <c r="R193" s="1">
        <f xml:space="preserve"> '3.3 Forbrugstariffer og effekt'!R688</f>
        <v>0</v>
      </c>
      <c r="S193" s="1">
        <f xml:space="preserve"> '3.3 Forbrugstariffer og effekt'!S688</f>
        <v>0</v>
      </c>
      <c r="T193" s="1">
        <f xml:space="preserve"> '3.3 Forbrugstariffer og effekt'!T688</f>
        <v>0</v>
      </c>
      <c r="U193" s="1">
        <f xml:space="preserve"> '3.3 Forbrugstariffer og effekt'!U688</f>
        <v>0</v>
      </c>
      <c r="V193" s="1">
        <f xml:space="preserve"> '3.3 Forbrugstariffer og effekt'!V688</f>
        <v>0</v>
      </c>
      <c r="W193" s="4">
        <f t="shared" si="30"/>
        <v>0</v>
      </c>
    </row>
    <row r="194" spans="2:23" ht="15" customHeight="1">
      <c r="D194" s="85" t="str">
        <f xml:space="preserve"> '2.1 Model setup'!K78</f>
        <v>4.1 Omkostninger vedrørende nettab i transformerstationer</v>
      </c>
      <c r="K194" s="5" t="str">
        <f t="shared" si="29"/>
        <v>DKKt</v>
      </c>
      <c r="O194" s="202"/>
      <c r="P194" s="202"/>
      <c r="Q194" s="202"/>
      <c r="R194" s="1">
        <f xml:space="preserve"> '3.3 Forbrugstariffer og effekt'!R689</f>
        <v>0</v>
      </c>
      <c r="S194" s="1">
        <f xml:space="preserve"> '3.3 Forbrugstariffer og effekt'!S689</f>
        <v>0</v>
      </c>
      <c r="T194" s="1">
        <f xml:space="preserve"> '3.3 Forbrugstariffer og effekt'!T689</f>
        <v>0</v>
      </c>
      <c r="U194" s="1">
        <f xml:space="preserve"> '3.3 Forbrugstariffer og effekt'!U689</f>
        <v>0</v>
      </c>
      <c r="V194" s="1">
        <f xml:space="preserve"> '3.3 Forbrugstariffer og effekt'!V689</f>
        <v>0</v>
      </c>
      <c r="W194" s="4">
        <f t="shared" si="30"/>
        <v>0</v>
      </c>
    </row>
    <row r="195" spans="2:23" ht="15" customHeight="1">
      <c r="D195" s="85" t="str">
        <f xml:space="preserve"> '2.1 Model setup'!K79</f>
        <v>4.2 Omkostninger vedrørende nettab i ledningsnettet</v>
      </c>
      <c r="K195" s="5" t="str">
        <f t="shared" si="29"/>
        <v>DKKt</v>
      </c>
      <c r="O195" s="202"/>
      <c r="P195" s="202"/>
      <c r="Q195" s="202"/>
      <c r="R195" s="1">
        <f xml:space="preserve"> '3.3 Forbrugstariffer og effekt'!R690</f>
        <v>0</v>
      </c>
      <c r="S195" s="1">
        <f xml:space="preserve"> '3.3 Forbrugstariffer og effekt'!S690</f>
        <v>0</v>
      </c>
      <c r="T195" s="1">
        <f xml:space="preserve"> '3.3 Forbrugstariffer og effekt'!T690</f>
        <v>0</v>
      </c>
      <c r="U195" s="1">
        <f xml:space="preserve"> '3.3 Forbrugstariffer og effekt'!U690</f>
        <v>0</v>
      </c>
      <c r="V195" s="1">
        <f xml:space="preserve"> '3.3 Forbrugstariffer og effekt'!V690</f>
        <v>0</v>
      </c>
      <c r="W195" s="4">
        <f t="shared" si="30"/>
        <v>0</v>
      </c>
    </row>
    <row r="196" spans="2:23" ht="15" customHeight="1">
      <c r="D196" s="85" t="str">
        <f xml:space="preserve"> '2.1 Model setup'!K80</f>
        <v>5.1 Omkostninger til overliggende net ifm. forbrug</v>
      </c>
      <c r="K196" s="5" t="str">
        <f t="shared" si="29"/>
        <v>DKKt</v>
      </c>
      <c r="O196" s="202"/>
      <c r="P196" s="202"/>
      <c r="Q196" s="202"/>
      <c r="R196" s="1">
        <f xml:space="preserve"> '3.3 Forbrugstariffer og effekt'!R691</f>
        <v>0</v>
      </c>
      <c r="S196" s="1">
        <f xml:space="preserve"> '3.3 Forbrugstariffer og effekt'!S691</f>
        <v>0</v>
      </c>
      <c r="T196" s="1">
        <f xml:space="preserve"> '3.3 Forbrugstariffer og effekt'!T691</f>
        <v>0</v>
      </c>
      <c r="U196" s="1">
        <f xml:space="preserve"> '3.3 Forbrugstariffer og effekt'!U691</f>
        <v>0</v>
      </c>
      <c r="V196" s="1">
        <f xml:space="preserve"> '3.3 Forbrugstariffer og effekt'!V691</f>
        <v>0</v>
      </c>
      <c r="W196" s="4">
        <f xml:space="preserve"> SUM( R196:V196 )</f>
        <v>0</v>
      </c>
    </row>
    <row r="197" spans="2:23" ht="15" customHeight="1">
      <c r="D197" s="85" t="str">
        <f xml:space="preserve"> '2.1 Model setup'!K81</f>
        <v>5.2 Øvrige omkostninger</v>
      </c>
      <c r="K197" s="5" t="str">
        <f t="shared" si="29"/>
        <v>DKKt</v>
      </c>
      <c r="O197" s="202"/>
      <c r="P197" s="202"/>
      <c r="Q197" s="202"/>
      <c r="R197" s="1">
        <f xml:space="preserve"> '3.3 Forbrugstariffer og effekt'!R692</f>
        <v>0</v>
      </c>
      <c r="S197" s="1">
        <f xml:space="preserve"> '3.3 Forbrugstariffer og effekt'!S692</f>
        <v>0</v>
      </c>
      <c r="T197" s="1">
        <f xml:space="preserve"> '3.3 Forbrugstariffer og effekt'!T692</f>
        <v>0</v>
      </c>
      <c r="U197" s="1">
        <f xml:space="preserve"> '3.3 Forbrugstariffer og effekt'!U692</f>
        <v>0</v>
      </c>
      <c r="V197" s="1">
        <f xml:space="preserve"> '3.3 Forbrugstariffer og effekt'!V692</f>
        <v>0</v>
      </c>
      <c r="W197" s="4">
        <f t="shared" si="30"/>
        <v>0</v>
      </c>
    </row>
    <row r="198" spans="2:23" ht="15" customHeight="1">
      <c r="D198" s="85" t="str">
        <f xml:space="preserve"> '2.1 Model setup'!K82</f>
        <v>6.1 Afskrivninger på transformerstationer</v>
      </c>
      <c r="K198" s="5" t="str">
        <f t="shared" si="29"/>
        <v>DKKt</v>
      </c>
      <c r="O198" s="202"/>
      <c r="P198" s="202"/>
      <c r="Q198" s="202"/>
      <c r="R198" s="1">
        <f xml:space="preserve"> '3.3 Forbrugstariffer og effekt'!R693</f>
        <v>0</v>
      </c>
      <c r="S198" s="1">
        <f xml:space="preserve"> '3.3 Forbrugstariffer og effekt'!S693</f>
        <v>0</v>
      </c>
      <c r="T198" s="1">
        <f xml:space="preserve"> '3.3 Forbrugstariffer og effekt'!T693</f>
        <v>0</v>
      </c>
      <c r="U198" s="1">
        <f xml:space="preserve"> '3.3 Forbrugstariffer og effekt'!U693</f>
        <v>0</v>
      </c>
      <c r="V198" s="1">
        <f xml:space="preserve"> '3.3 Forbrugstariffer og effekt'!V693</f>
        <v>0</v>
      </c>
      <c r="W198" s="4">
        <f t="shared" si="30"/>
        <v>0</v>
      </c>
    </row>
    <row r="199" spans="2:23" ht="15" customHeight="1">
      <c r="D199" s="85" t="str">
        <f xml:space="preserve"> '2.1 Model setup'!K83</f>
        <v>6.2 Afskrivninger på netaktiver ekskl. målere og transformerstationer</v>
      </c>
      <c r="K199" s="5" t="str">
        <f t="shared" si="29"/>
        <v>DKKt</v>
      </c>
      <c r="O199" s="202"/>
      <c r="P199" s="202"/>
      <c r="Q199" s="202"/>
      <c r="R199" s="1">
        <f xml:space="preserve"> '3.3 Forbrugstariffer og effekt'!R694</f>
        <v>0</v>
      </c>
      <c r="S199" s="1">
        <f xml:space="preserve"> '3.3 Forbrugstariffer og effekt'!S694</f>
        <v>0</v>
      </c>
      <c r="T199" s="1">
        <f xml:space="preserve"> '3.3 Forbrugstariffer og effekt'!T694</f>
        <v>0</v>
      </c>
      <c r="U199" s="1">
        <f xml:space="preserve"> '3.3 Forbrugstariffer og effekt'!U694</f>
        <v>0</v>
      </c>
      <c r="V199" s="1">
        <f xml:space="preserve"> '3.3 Forbrugstariffer og effekt'!V694</f>
        <v>0</v>
      </c>
      <c r="W199" s="4">
        <f t="shared" si="30"/>
        <v>0</v>
      </c>
    </row>
    <row r="200" spans="2:23" ht="15" customHeight="1">
      <c r="D200" s="85" t="str">
        <f xml:space="preserve"> '2.1 Model setup'!K84</f>
        <v>6.3 Afskrivninger på målere</v>
      </c>
      <c r="K200" s="5" t="str">
        <f t="shared" si="29"/>
        <v>DKKt</v>
      </c>
      <c r="O200" s="202"/>
      <c r="P200" s="202"/>
      <c r="Q200" s="202"/>
      <c r="R200" s="1">
        <f xml:space="preserve"> '3.3 Forbrugstariffer og effekt'!R695</f>
        <v>0</v>
      </c>
      <c r="S200" s="1">
        <f xml:space="preserve"> '3.3 Forbrugstariffer og effekt'!S695</f>
        <v>0</v>
      </c>
      <c r="T200" s="1">
        <f xml:space="preserve"> '3.3 Forbrugstariffer og effekt'!T695</f>
        <v>0</v>
      </c>
      <c r="U200" s="1">
        <f xml:space="preserve"> '3.3 Forbrugstariffer og effekt'!U695</f>
        <v>0</v>
      </c>
      <c r="V200" s="1">
        <f xml:space="preserve"> '3.3 Forbrugstariffer og effekt'!V695</f>
        <v>0</v>
      </c>
      <c r="W200" s="4">
        <f t="shared" si="30"/>
        <v>0</v>
      </c>
    </row>
    <row r="201" spans="2:23" ht="15" customHeight="1">
      <c r="D201" s="85" t="str">
        <f xml:space="preserve"> '2.1 Model setup'!K85</f>
        <v>7.1 Transformerstationer (forrentning)</v>
      </c>
      <c r="K201" s="5" t="str">
        <f t="shared" si="29"/>
        <v>DKKt</v>
      </c>
      <c r="O201" s="202"/>
      <c r="P201" s="202"/>
      <c r="Q201" s="202"/>
      <c r="R201" s="1">
        <f xml:space="preserve"> '3.3 Forbrugstariffer og effekt'!R696</f>
        <v>0</v>
      </c>
      <c r="S201" s="1">
        <f xml:space="preserve"> '3.3 Forbrugstariffer og effekt'!S696</f>
        <v>0</v>
      </c>
      <c r="T201" s="1">
        <f xml:space="preserve"> '3.3 Forbrugstariffer og effekt'!T696</f>
        <v>0</v>
      </c>
      <c r="U201" s="1">
        <f xml:space="preserve"> '3.3 Forbrugstariffer og effekt'!U696</f>
        <v>0</v>
      </c>
      <c r="V201" s="1">
        <f xml:space="preserve"> '3.3 Forbrugstariffer og effekt'!V696</f>
        <v>0</v>
      </c>
      <c r="W201" s="4">
        <f t="shared" si="30"/>
        <v>0</v>
      </c>
    </row>
    <row r="202" spans="2:23" ht="15" customHeight="1">
      <c r="D202" s="85" t="str">
        <f xml:space="preserve"> '2.1 Model setup'!K86</f>
        <v>7.2 Netaktiver ekskl. målere og transformerstationer (forrentning)</v>
      </c>
      <c r="K202" s="5" t="str">
        <f t="shared" si="29"/>
        <v>DKKt</v>
      </c>
      <c r="O202" s="202"/>
      <c r="P202" s="202"/>
      <c r="Q202" s="202"/>
      <c r="R202" s="1">
        <f xml:space="preserve"> '3.3 Forbrugstariffer og effekt'!R697</f>
        <v>0</v>
      </c>
      <c r="S202" s="1">
        <f xml:space="preserve"> '3.3 Forbrugstariffer og effekt'!S697</f>
        <v>0</v>
      </c>
      <c r="T202" s="1">
        <f xml:space="preserve"> '3.3 Forbrugstariffer og effekt'!T697</f>
        <v>0</v>
      </c>
      <c r="U202" s="1">
        <f xml:space="preserve"> '3.3 Forbrugstariffer og effekt'!U697</f>
        <v>0</v>
      </c>
      <c r="V202" s="1">
        <f xml:space="preserve"> '3.3 Forbrugstariffer og effekt'!V697</f>
        <v>0</v>
      </c>
      <c r="W202" s="4">
        <f t="shared" si="30"/>
        <v>0</v>
      </c>
    </row>
    <row r="203" spans="2:23" ht="15" customHeight="1">
      <c r="D203" s="99" t="str">
        <f xml:space="preserve"> '2.1 Model setup'!K87</f>
        <v>7.3 Målere (forrentning)</v>
      </c>
      <c r="K203" s="5" t="str">
        <f t="shared" si="29"/>
        <v>DKKt</v>
      </c>
      <c r="O203" s="202"/>
      <c r="P203" s="202"/>
      <c r="Q203" s="202"/>
      <c r="R203" s="1">
        <f xml:space="preserve"> '3.3 Forbrugstariffer og effekt'!R698</f>
        <v>0</v>
      </c>
      <c r="S203" s="1">
        <f xml:space="preserve"> '3.3 Forbrugstariffer og effekt'!S698</f>
        <v>0</v>
      </c>
      <c r="T203" s="1">
        <f xml:space="preserve"> '3.3 Forbrugstariffer og effekt'!T698</f>
        <v>0</v>
      </c>
      <c r="U203" s="1">
        <f xml:space="preserve"> '3.3 Forbrugstariffer og effekt'!U698</f>
        <v>0</v>
      </c>
      <c r="V203" s="1">
        <f xml:space="preserve"> '3.3 Forbrugstariffer og effekt'!V698</f>
        <v>0</v>
      </c>
      <c r="W203" s="4">
        <f t="shared" si="30"/>
        <v>0</v>
      </c>
    </row>
    <row r="204" spans="2:23" ht="15" customHeight="1">
      <c r="D204" s="186" t="s">
        <v>16</v>
      </c>
      <c r="E204" s="33"/>
      <c r="F204" s="33"/>
      <c r="G204" s="33"/>
      <c r="H204" s="33"/>
      <c r="I204" s="33"/>
      <c r="J204" s="33"/>
      <c r="K204" s="187" t="str">
        <f t="shared" si="29"/>
        <v>DKKt</v>
      </c>
      <c r="L204" s="186"/>
      <c r="M204" s="186"/>
      <c r="N204" s="186"/>
      <c r="O204" s="388"/>
      <c r="P204" s="388"/>
      <c r="Q204" s="388"/>
      <c r="R204" s="186">
        <f t="shared" ref="R204:W204" si="31" xml:space="preserve"> SUM( R186:R203 )</f>
        <v>0</v>
      </c>
      <c r="S204" s="186">
        <f t="shared" si="31"/>
        <v>0</v>
      </c>
      <c r="T204" s="186">
        <f t="shared" si="31"/>
        <v>0</v>
      </c>
      <c r="U204" s="186">
        <f t="shared" si="31"/>
        <v>0</v>
      </c>
      <c r="V204" s="186">
        <f t="shared" si="31"/>
        <v>0</v>
      </c>
      <c r="W204" s="186">
        <f t="shared" si="31"/>
        <v>0</v>
      </c>
    </row>
    <row r="208" spans="2:23" s="475" customFormat="1" ht="15" customHeight="1">
      <c r="B208" s="479" t="str">
        <f xml:space="preserve"> COUNTA(B$10:B205) &amp; ") Nedbrydning af provenu på omkostningsposter, indfødningstarif"</f>
        <v>6) Nedbrydning af provenu på omkostningsposter, indfødningstarif</v>
      </c>
      <c r="C208" s="477"/>
      <c r="D208" s="478"/>
      <c r="K208" s="472"/>
    </row>
    <row r="210" spans="4:23" ht="15" customHeight="1">
      <c r="D210" s="35" t="s">
        <v>648</v>
      </c>
      <c r="E210" s="27"/>
      <c r="F210" s="27"/>
      <c r="G210" s="27"/>
      <c r="H210" s="27"/>
      <c r="I210" s="27"/>
      <c r="J210" s="27"/>
      <c r="K210" s="32"/>
      <c r="L210" s="27"/>
      <c r="M210" s="27"/>
      <c r="N210" s="27"/>
      <c r="O210" s="27"/>
      <c r="P210" s="27"/>
      <c r="Q210" s="27"/>
      <c r="R210" s="27"/>
      <c r="S210" s="27"/>
      <c r="T210" s="27"/>
      <c r="U210" s="27"/>
      <c r="V210" s="27"/>
      <c r="W210" s="185" t="s">
        <v>16</v>
      </c>
    </row>
    <row r="211" spans="4:23" ht="15" customHeight="1">
      <c r="D211" s="85" t="str">
        <f xml:space="preserve"> '2.1 Model setup'!K70</f>
        <v>1.1 Drift og vedligeholdelse af transformerstationer</v>
      </c>
      <c r="K211" s="5" t="str">
        <f t="shared" ref="K211:K229" si="32" xml:space="preserve"> Model.Units</f>
        <v>DKKt</v>
      </c>
      <c r="O211" s="1">
        <f xml:space="preserve"> '3.5 Indfødningstarif'!O607</f>
        <v>0</v>
      </c>
      <c r="P211" s="1">
        <f xml:space="preserve"> '3.5 Indfødningstarif'!P607</f>
        <v>0</v>
      </c>
      <c r="Q211" s="202"/>
      <c r="R211" s="1">
        <f xml:space="preserve"> '3.5 Indfødningstarif'!R607</f>
        <v>0</v>
      </c>
      <c r="S211" s="1">
        <f xml:space="preserve"> '3.5 Indfødningstarif'!S607</f>
        <v>0</v>
      </c>
      <c r="T211" s="1">
        <f xml:space="preserve"> '3.5 Indfødningstarif'!T607</f>
        <v>0</v>
      </c>
      <c r="U211" s="1">
        <f xml:space="preserve"> '3.5 Indfødningstarif'!U607</f>
        <v>0</v>
      </c>
      <c r="V211" s="1">
        <f xml:space="preserve"> '3.5 Indfødningstarif'!V607</f>
        <v>0</v>
      </c>
      <c r="W211" s="4">
        <f xml:space="preserve"> SUM( O211:V211 )</f>
        <v>0</v>
      </c>
    </row>
    <row r="212" spans="4:23" ht="15" customHeight="1">
      <c r="D212" s="85" t="str">
        <f xml:space="preserve"> '2.1 Model setup'!K71</f>
        <v>1.2 Drift og vedligeholdelse af ledningsnet</v>
      </c>
      <c r="K212" s="5" t="str">
        <f t="shared" si="32"/>
        <v>DKKt</v>
      </c>
      <c r="O212" s="1">
        <f xml:space="preserve"> '3.5 Indfødningstarif'!O608</f>
        <v>0</v>
      </c>
      <c r="P212" s="1">
        <f xml:space="preserve"> '3.5 Indfødningstarif'!P608</f>
        <v>0</v>
      </c>
      <c r="Q212" s="202"/>
      <c r="R212" s="1">
        <f xml:space="preserve"> '3.5 Indfødningstarif'!R608</f>
        <v>0</v>
      </c>
      <c r="S212" s="1">
        <f xml:space="preserve"> '3.5 Indfødningstarif'!S608</f>
        <v>0</v>
      </c>
      <c r="T212" s="1">
        <f xml:space="preserve"> '3.5 Indfødningstarif'!T608</f>
        <v>0</v>
      </c>
      <c r="U212" s="1">
        <f xml:space="preserve"> '3.5 Indfødningstarif'!U608</f>
        <v>0</v>
      </c>
      <c r="V212" s="1">
        <f xml:space="preserve"> '3.5 Indfødningstarif'!V608</f>
        <v>0</v>
      </c>
      <c r="W212" s="4">
        <f t="shared" ref="W212:W225" si="33" xml:space="preserve"> SUM( O212:V212 )</f>
        <v>0</v>
      </c>
    </row>
    <row r="213" spans="4:23" ht="15" customHeight="1">
      <c r="D213" s="85" t="str">
        <f xml:space="preserve"> '2.1 Model setup'!K72</f>
        <v>1.3 Øvrige omkostninger til drift, styring og kontrol af elnettet</v>
      </c>
      <c r="K213" s="5" t="str">
        <f t="shared" si="32"/>
        <v>DKKt</v>
      </c>
      <c r="O213" s="1">
        <f xml:space="preserve"> '3.5 Indfødningstarif'!O609</f>
        <v>0</v>
      </c>
      <c r="P213" s="1">
        <f xml:space="preserve"> '3.5 Indfødningstarif'!P609</f>
        <v>0</v>
      </c>
      <c r="Q213" s="202"/>
      <c r="R213" s="1">
        <f xml:space="preserve"> '3.5 Indfødningstarif'!R609</f>
        <v>0</v>
      </c>
      <c r="S213" s="1">
        <f xml:space="preserve"> '3.5 Indfødningstarif'!S609</f>
        <v>0</v>
      </c>
      <c r="T213" s="1">
        <f xml:space="preserve"> '3.5 Indfødningstarif'!T609</f>
        <v>0</v>
      </c>
      <c r="U213" s="1">
        <f xml:space="preserve"> '3.5 Indfødningstarif'!U609</f>
        <v>0</v>
      </c>
      <c r="V213" s="1">
        <f xml:space="preserve"> '3.5 Indfødningstarif'!V609</f>
        <v>0</v>
      </c>
      <c r="W213" s="4">
        <f t="shared" si="33"/>
        <v>0</v>
      </c>
    </row>
    <row r="214" spans="4:23" ht="15" customHeight="1">
      <c r="D214" s="85" t="str">
        <f xml:space="preserve"> '2.1 Model setup'!K73</f>
        <v>1.4 Omkostninger vedrørende 132-150/30-60 kV-stationer</v>
      </c>
      <c r="K214" s="5" t="str">
        <f t="shared" si="32"/>
        <v>DKKt</v>
      </c>
      <c r="O214" s="1">
        <f xml:space="preserve"> '3.5 Indfødningstarif'!O610</f>
        <v>0</v>
      </c>
      <c r="P214" s="1">
        <f xml:space="preserve"> '3.5 Indfødningstarif'!P610</f>
        <v>0</v>
      </c>
      <c r="Q214" s="202"/>
      <c r="R214" s="1">
        <f xml:space="preserve"> '3.5 Indfødningstarif'!R610</f>
        <v>0</v>
      </c>
      <c r="S214" s="1">
        <f xml:space="preserve"> '3.5 Indfødningstarif'!S610</f>
        <v>0</v>
      </c>
      <c r="T214" s="1">
        <f xml:space="preserve"> '3.5 Indfødningstarif'!T610</f>
        <v>0</v>
      </c>
      <c r="U214" s="1">
        <f xml:space="preserve"> '3.5 Indfødningstarif'!U610</f>
        <v>0</v>
      </c>
      <c r="V214" s="1">
        <f xml:space="preserve"> '3.5 Indfødningstarif'!V610</f>
        <v>0</v>
      </c>
      <c r="W214" s="4">
        <f t="shared" si="33"/>
        <v>0</v>
      </c>
    </row>
    <row r="215" spans="4:23" ht="15" customHeight="1">
      <c r="D215" s="85" t="str">
        <f xml:space="preserve"> '2.1 Model setup'!K74</f>
        <v>2.1 Drift og vedligeholdelse af målere</v>
      </c>
      <c r="K215" s="5" t="str">
        <f t="shared" si="32"/>
        <v>DKKt</v>
      </c>
      <c r="O215" s="1">
        <f xml:space="preserve"> '3.5 Indfødningstarif'!O611</f>
        <v>0</v>
      </c>
      <c r="P215" s="1">
        <f xml:space="preserve"> '3.5 Indfødningstarif'!P611</f>
        <v>0</v>
      </c>
      <c r="Q215" s="202"/>
      <c r="R215" s="1">
        <f xml:space="preserve"> '3.5 Indfødningstarif'!R611</f>
        <v>0</v>
      </c>
      <c r="S215" s="1">
        <f xml:space="preserve"> '3.5 Indfødningstarif'!S611</f>
        <v>0</v>
      </c>
      <c r="T215" s="1">
        <f xml:space="preserve"> '3.5 Indfødningstarif'!T611</f>
        <v>0</v>
      </c>
      <c r="U215" s="1">
        <f xml:space="preserve"> '3.5 Indfødningstarif'!U611</f>
        <v>0</v>
      </c>
      <c r="V215" s="1">
        <f xml:space="preserve"> '3.5 Indfødningstarif'!V611</f>
        <v>0</v>
      </c>
      <c r="W215" s="4">
        <f t="shared" si="33"/>
        <v>0</v>
      </c>
    </row>
    <row r="216" spans="4:23" ht="15" customHeight="1">
      <c r="D216" s="85" t="str">
        <f xml:space="preserve"> '2.1 Model setup'!K75</f>
        <v>2.2 Indhentning og validering af målerdata</v>
      </c>
      <c r="K216" s="5" t="str">
        <f t="shared" si="32"/>
        <v>DKKt</v>
      </c>
      <c r="O216" s="1">
        <f xml:space="preserve"> '3.5 Indfødningstarif'!O612</f>
        <v>0</v>
      </c>
      <c r="P216" s="1">
        <f xml:space="preserve"> '3.5 Indfødningstarif'!P612</f>
        <v>0</v>
      </c>
      <c r="Q216" s="202"/>
      <c r="R216" s="1">
        <f xml:space="preserve"> '3.5 Indfødningstarif'!R612</f>
        <v>0</v>
      </c>
      <c r="S216" s="1">
        <f xml:space="preserve"> '3.5 Indfødningstarif'!S612</f>
        <v>0</v>
      </c>
      <c r="T216" s="1">
        <f xml:space="preserve"> '3.5 Indfødningstarif'!T612</f>
        <v>0</v>
      </c>
      <c r="U216" s="1">
        <f xml:space="preserve"> '3.5 Indfødningstarif'!U612</f>
        <v>0</v>
      </c>
      <c r="V216" s="1">
        <f xml:space="preserve"> '3.5 Indfødningstarif'!V612</f>
        <v>0</v>
      </c>
      <c r="W216" s="4">
        <f t="shared" si="33"/>
        <v>0</v>
      </c>
    </row>
    <row r="217" spans="4:23" ht="15" customHeight="1">
      <c r="D217" s="85" t="str">
        <f xml:space="preserve"> '2.1 Model setup'!K76</f>
        <v>2.3 Måleradministration og kundehåndtering</v>
      </c>
      <c r="K217" s="5" t="str">
        <f t="shared" si="32"/>
        <v>DKKt</v>
      </c>
      <c r="O217" s="1">
        <f xml:space="preserve"> '3.5 Indfødningstarif'!O613</f>
        <v>0</v>
      </c>
      <c r="P217" s="1">
        <f xml:space="preserve"> '3.5 Indfødningstarif'!P613</f>
        <v>0</v>
      </c>
      <c r="Q217" s="202"/>
      <c r="R217" s="1">
        <f xml:space="preserve"> '3.5 Indfødningstarif'!R613</f>
        <v>0</v>
      </c>
      <c r="S217" s="1">
        <f xml:space="preserve"> '3.5 Indfødningstarif'!S613</f>
        <v>0</v>
      </c>
      <c r="T217" s="1">
        <f xml:space="preserve"> '3.5 Indfødningstarif'!T613</f>
        <v>0</v>
      </c>
      <c r="U217" s="1">
        <f xml:space="preserve"> '3.5 Indfødningstarif'!U613</f>
        <v>0</v>
      </c>
      <c r="V217" s="1">
        <f xml:space="preserve"> '3.5 Indfødningstarif'!V613</f>
        <v>0</v>
      </c>
      <c r="W217" s="4">
        <f t="shared" si="33"/>
        <v>0</v>
      </c>
    </row>
    <row r="218" spans="4:23" ht="15" customHeight="1">
      <c r="D218" s="85" t="str">
        <f xml:space="preserve"> '2.1 Model setup'!K77</f>
        <v>3.1 Generel administration</v>
      </c>
      <c r="K218" s="5" t="str">
        <f t="shared" si="32"/>
        <v>DKKt</v>
      </c>
      <c r="O218" s="1">
        <f xml:space="preserve"> '3.5 Indfødningstarif'!O614</f>
        <v>0</v>
      </c>
      <c r="P218" s="1">
        <f xml:space="preserve"> '3.5 Indfødningstarif'!P614</f>
        <v>0</v>
      </c>
      <c r="Q218" s="202"/>
      <c r="R218" s="1">
        <f xml:space="preserve"> '3.5 Indfødningstarif'!R614</f>
        <v>0</v>
      </c>
      <c r="S218" s="1">
        <f xml:space="preserve"> '3.5 Indfødningstarif'!S614</f>
        <v>0</v>
      </c>
      <c r="T218" s="1">
        <f xml:space="preserve"> '3.5 Indfødningstarif'!T614</f>
        <v>0</v>
      </c>
      <c r="U218" s="1">
        <f xml:space="preserve"> '3.5 Indfødningstarif'!U614</f>
        <v>0</v>
      </c>
      <c r="V218" s="1">
        <f xml:space="preserve"> '3.5 Indfødningstarif'!V614</f>
        <v>0</v>
      </c>
      <c r="W218" s="4">
        <f t="shared" si="33"/>
        <v>0</v>
      </c>
    </row>
    <row r="219" spans="4:23" ht="15" customHeight="1">
      <c r="D219" s="85" t="str">
        <f xml:space="preserve"> '2.1 Model setup'!K78</f>
        <v>4.1 Omkostninger vedrørende nettab i transformerstationer</v>
      </c>
      <c r="K219" s="5" t="str">
        <f t="shared" si="32"/>
        <v>DKKt</v>
      </c>
      <c r="O219" s="1">
        <f xml:space="preserve"> '3.5 Indfødningstarif'!O615</f>
        <v>0</v>
      </c>
      <c r="P219" s="1">
        <f xml:space="preserve"> '3.5 Indfødningstarif'!P615</f>
        <v>0</v>
      </c>
      <c r="Q219" s="202"/>
      <c r="R219" s="1">
        <f xml:space="preserve"> '3.5 Indfødningstarif'!R615</f>
        <v>0</v>
      </c>
      <c r="S219" s="1">
        <f xml:space="preserve"> '3.5 Indfødningstarif'!S615</f>
        <v>0</v>
      </c>
      <c r="T219" s="1">
        <f xml:space="preserve"> '3.5 Indfødningstarif'!T615</f>
        <v>0</v>
      </c>
      <c r="U219" s="1">
        <f xml:space="preserve"> '3.5 Indfødningstarif'!U615</f>
        <v>0</v>
      </c>
      <c r="V219" s="1">
        <f xml:space="preserve"> '3.5 Indfødningstarif'!V615</f>
        <v>0</v>
      </c>
      <c r="W219" s="4">
        <f t="shared" si="33"/>
        <v>0</v>
      </c>
    </row>
    <row r="220" spans="4:23" ht="15" customHeight="1">
      <c r="D220" s="85" t="str">
        <f xml:space="preserve"> '2.1 Model setup'!K79</f>
        <v>4.2 Omkostninger vedrørende nettab i ledningsnettet</v>
      </c>
      <c r="K220" s="5" t="str">
        <f t="shared" si="32"/>
        <v>DKKt</v>
      </c>
      <c r="O220" s="1">
        <f xml:space="preserve"> '3.5 Indfødningstarif'!O616</f>
        <v>0</v>
      </c>
      <c r="P220" s="1">
        <f xml:space="preserve"> '3.5 Indfødningstarif'!P616</f>
        <v>0</v>
      </c>
      <c r="Q220" s="202"/>
      <c r="R220" s="1">
        <f xml:space="preserve"> '3.5 Indfødningstarif'!R616</f>
        <v>0</v>
      </c>
      <c r="S220" s="1">
        <f xml:space="preserve"> '3.5 Indfødningstarif'!S616</f>
        <v>0</v>
      </c>
      <c r="T220" s="1">
        <f xml:space="preserve"> '3.5 Indfødningstarif'!T616</f>
        <v>0</v>
      </c>
      <c r="U220" s="1">
        <f xml:space="preserve"> '3.5 Indfødningstarif'!U616</f>
        <v>0</v>
      </c>
      <c r="V220" s="1">
        <f xml:space="preserve"> '3.5 Indfødningstarif'!V616</f>
        <v>0</v>
      </c>
      <c r="W220" s="4">
        <f t="shared" si="33"/>
        <v>0</v>
      </c>
    </row>
    <row r="221" spans="4:23" ht="15" customHeight="1">
      <c r="D221" s="85" t="str">
        <f xml:space="preserve"> '2.1 Model setup'!K88</f>
        <v>5.1 Omkostninger til overliggende net ifm. indfødning</v>
      </c>
      <c r="K221" s="5" t="str">
        <f t="shared" si="32"/>
        <v>DKKt</v>
      </c>
      <c r="O221" s="1">
        <f xml:space="preserve"> '3.5 Indfødningstarif'!O617</f>
        <v>0</v>
      </c>
      <c r="P221" s="1">
        <f xml:space="preserve"> '3.5 Indfødningstarif'!P617</f>
        <v>0</v>
      </c>
      <c r="Q221" s="202"/>
      <c r="R221" s="1">
        <f xml:space="preserve"> '3.5 Indfødningstarif'!R617</f>
        <v>0</v>
      </c>
      <c r="S221" s="1">
        <f xml:space="preserve"> '3.5 Indfødningstarif'!S617</f>
        <v>0</v>
      </c>
      <c r="T221" s="1">
        <f xml:space="preserve"> '3.5 Indfødningstarif'!T617</f>
        <v>0</v>
      </c>
      <c r="U221" s="1">
        <f xml:space="preserve"> '3.5 Indfødningstarif'!U617</f>
        <v>0</v>
      </c>
      <c r="V221" s="1">
        <f xml:space="preserve"> '3.5 Indfødningstarif'!V617</f>
        <v>0</v>
      </c>
      <c r="W221" s="4">
        <f t="shared" si="33"/>
        <v>0</v>
      </c>
    </row>
    <row r="222" spans="4:23" ht="15" customHeight="1">
      <c r="D222" s="85" t="str">
        <f xml:space="preserve"> '2.1 Model setup'!K81</f>
        <v>5.2 Øvrige omkostninger</v>
      </c>
      <c r="K222" s="5" t="str">
        <f t="shared" si="32"/>
        <v>DKKt</v>
      </c>
      <c r="O222" s="1">
        <f xml:space="preserve"> '3.5 Indfødningstarif'!O618</f>
        <v>0</v>
      </c>
      <c r="P222" s="1">
        <f xml:space="preserve"> '3.5 Indfødningstarif'!P618</f>
        <v>0</v>
      </c>
      <c r="Q222" s="202"/>
      <c r="R222" s="1">
        <f xml:space="preserve"> '3.5 Indfødningstarif'!R618</f>
        <v>0</v>
      </c>
      <c r="S222" s="1">
        <f xml:space="preserve"> '3.5 Indfødningstarif'!S618</f>
        <v>0</v>
      </c>
      <c r="T222" s="1">
        <f xml:space="preserve"> '3.5 Indfødningstarif'!T618</f>
        <v>0</v>
      </c>
      <c r="U222" s="1">
        <f xml:space="preserve"> '3.5 Indfødningstarif'!U618</f>
        <v>0</v>
      </c>
      <c r="V222" s="1">
        <f xml:space="preserve"> '3.5 Indfødningstarif'!V618</f>
        <v>0</v>
      </c>
      <c r="W222" s="4">
        <f t="shared" si="33"/>
        <v>0</v>
      </c>
    </row>
    <row r="223" spans="4:23" ht="15" customHeight="1">
      <c r="D223" s="85" t="str">
        <f xml:space="preserve"> '2.1 Model setup'!K82</f>
        <v>6.1 Afskrivninger på transformerstationer</v>
      </c>
      <c r="K223" s="5" t="str">
        <f t="shared" si="32"/>
        <v>DKKt</v>
      </c>
      <c r="O223" s="1">
        <f xml:space="preserve"> '3.5 Indfødningstarif'!O619</f>
        <v>0</v>
      </c>
      <c r="P223" s="1">
        <f xml:space="preserve"> '3.5 Indfødningstarif'!P619</f>
        <v>0</v>
      </c>
      <c r="Q223" s="202"/>
      <c r="R223" s="1">
        <f xml:space="preserve"> '3.5 Indfødningstarif'!R619</f>
        <v>0</v>
      </c>
      <c r="S223" s="1">
        <f xml:space="preserve"> '3.5 Indfødningstarif'!S619</f>
        <v>0</v>
      </c>
      <c r="T223" s="1">
        <f xml:space="preserve"> '3.5 Indfødningstarif'!T619</f>
        <v>0</v>
      </c>
      <c r="U223" s="1">
        <f xml:space="preserve"> '3.5 Indfødningstarif'!U619</f>
        <v>0</v>
      </c>
      <c r="V223" s="1">
        <f xml:space="preserve"> '3.5 Indfødningstarif'!V619</f>
        <v>0</v>
      </c>
      <c r="W223" s="4">
        <f t="shared" si="33"/>
        <v>0</v>
      </c>
    </row>
    <row r="224" spans="4:23" ht="15" customHeight="1">
      <c r="D224" s="85" t="str">
        <f xml:space="preserve"> '2.1 Model setup'!K83</f>
        <v>6.2 Afskrivninger på netaktiver ekskl. målere og transformerstationer</v>
      </c>
      <c r="K224" s="5" t="str">
        <f t="shared" si="32"/>
        <v>DKKt</v>
      </c>
      <c r="O224" s="1">
        <f xml:space="preserve"> '3.5 Indfødningstarif'!O620</f>
        <v>0</v>
      </c>
      <c r="P224" s="1">
        <f xml:space="preserve"> '3.5 Indfødningstarif'!P620</f>
        <v>0</v>
      </c>
      <c r="Q224" s="202"/>
      <c r="R224" s="1">
        <f xml:space="preserve"> '3.5 Indfødningstarif'!R620</f>
        <v>0</v>
      </c>
      <c r="S224" s="1">
        <f xml:space="preserve"> '3.5 Indfødningstarif'!S620</f>
        <v>0</v>
      </c>
      <c r="T224" s="1">
        <f xml:space="preserve"> '3.5 Indfødningstarif'!T620</f>
        <v>0</v>
      </c>
      <c r="U224" s="1">
        <f xml:space="preserve"> '3.5 Indfødningstarif'!U620</f>
        <v>0</v>
      </c>
      <c r="V224" s="1">
        <f xml:space="preserve"> '3.5 Indfødningstarif'!V620</f>
        <v>0</v>
      </c>
      <c r="W224" s="4">
        <f t="shared" si="33"/>
        <v>0</v>
      </c>
    </row>
    <row r="225" spans="4:23" ht="15" customHeight="1">
      <c r="D225" s="85" t="str">
        <f xml:space="preserve"> '2.1 Model setup'!K84</f>
        <v>6.3 Afskrivninger på målere</v>
      </c>
      <c r="K225" s="5" t="str">
        <f t="shared" si="32"/>
        <v>DKKt</v>
      </c>
      <c r="O225" s="1">
        <f xml:space="preserve"> '3.5 Indfødningstarif'!O621</f>
        <v>0</v>
      </c>
      <c r="P225" s="1">
        <f xml:space="preserve"> '3.5 Indfødningstarif'!P621</f>
        <v>0</v>
      </c>
      <c r="Q225" s="202"/>
      <c r="R225" s="1">
        <f xml:space="preserve"> '3.5 Indfødningstarif'!R621</f>
        <v>0</v>
      </c>
      <c r="S225" s="1">
        <f xml:space="preserve"> '3.5 Indfødningstarif'!S621</f>
        <v>0</v>
      </c>
      <c r="T225" s="1">
        <f xml:space="preserve"> '3.5 Indfødningstarif'!T621</f>
        <v>0</v>
      </c>
      <c r="U225" s="1">
        <f xml:space="preserve"> '3.5 Indfødningstarif'!U621</f>
        <v>0</v>
      </c>
      <c r="V225" s="1">
        <f xml:space="preserve"> '3.5 Indfødningstarif'!V621</f>
        <v>0</v>
      </c>
      <c r="W225" s="4">
        <f t="shared" si="33"/>
        <v>0</v>
      </c>
    </row>
    <row r="226" spans="4:23" ht="15" customHeight="1">
      <c r="D226" s="85" t="str">
        <f xml:space="preserve"> '2.1 Model setup'!K85</f>
        <v>7.1 Transformerstationer (forrentning)</v>
      </c>
      <c r="K226" s="5" t="str">
        <f t="shared" si="32"/>
        <v>DKKt</v>
      </c>
      <c r="O226" s="202"/>
      <c r="P226" s="202"/>
      <c r="Q226" s="202"/>
      <c r="R226" s="202"/>
      <c r="S226" s="202"/>
      <c r="T226" s="202"/>
      <c r="U226" s="202"/>
      <c r="V226" s="202"/>
      <c r="W226" s="344"/>
    </row>
    <row r="227" spans="4:23" ht="15" customHeight="1">
      <c r="D227" s="85" t="str">
        <f xml:space="preserve"> '2.1 Model setup'!K86</f>
        <v>7.2 Netaktiver ekskl. målere og transformerstationer (forrentning)</v>
      </c>
      <c r="K227" s="5" t="str">
        <f t="shared" si="32"/>
        <v>DKKt</v>
      </c>
      <c r="O227" s="202"/>
      <c r="P227" s="202"/>
      <c r="Q227" s="202"/>
      <c r="R227" s="202"/>
      <c r="S227" s="202"/>
      <c r="T227" s="202"/>
      <c r="U227" s="202"/>
      <c r="V227" s="202"/>
      <c r="W227" s="344"/>
    </row>
    <row r="228" spans="4:23" ht="15" customHeight="1">
      <c r="D228" s="85" t="str">
        <f xml:space="preserve"> '2.1 Model setup'!K87</f>
        <v>7.3 Målere (forrentning)</v>
      </c>
      <c r="K228" s="5" t="str">
        <f t="shared" si="32"/>
        <v>DKKt</v>
      </c>
      <c r="O228" s="202"/>
      <c r="P228" s="202"/>
      <c r="Q228" s="202"/>
      <c r="R228" s="202"/>
      <c r="S228" s="202"/>
      <c r="T228" s="202"/>
      <c r="U228" s="202"/>
      <c r="V228" s="202"/>
      <c r="W228" s="344"/>
    </row>
    <row r="229" spans="4:23" ht="15" customHeight="1">
      <c r="D229" s="186" t="s">
        <v>16</v>
      </c>
      <c r="E229" s="33"/>
      <c r="F229" s="33"/>
      <c r="G229" s="33"/>
      <c r="H229" s="33"/>
      <c r="I229" s="33"/>
      <c r="J229" s="33"/>
      <c r="K229" s="187" t="str">
        <f t="shared" si="32"/>
        <v>DKKt</v>
      </c>
      <c r="L229" s="186"/>
      <c r="M229" s="186"/>
      <c r="N229" s="186"/>
      <c r="O229" s="186">
        <f t="shared" ref="O229:U229" si="34" xml:space="preserve"> SUM( O211:O228 )</f>
        <v>0</v>
      </c>
      <c r="P229" s="186">
        <f t="shared" si="34"/>
        <v>0</v>
      </c>
      <c r="Q229" s="388"/>
      <c r="R229" s="186">
        <f t="shared" si="34"/>
        <v>0</v>
      </c>
      <c r="S229" s="186">
        <f t="shared" si="34"/>
        <v>0</v>
      </c>
      <c r="T229" s="186">
        <f t="shared" si="34"/>
        <v>0</v>
      </c>
      <c r="U229" s="186">
        <f t="shared" si="34"/>
        <v>0</v>
      </c>
      <c r="V229" s="186">
        <f t="shared" ref="V229:W229" si="35" xml:space="preserve"> SUM( V211:V228 )</f>
        <v>0</v>
      </c>
      <c r="W229" s="186">
        <f t="shared" si="35"/>
        <v>0</v>
      </c>
    </row>
    <row r="231" spans="4:23" ht="15" customHeight="1">
      <c r="D231" s="35" t="s">
        <v>649</v>
      </c>
      <c r="E231" s="27"/>
      <c r="F231" s="27"/>
      <c r="G231" s="27"/>
      <c r="H231" s="27"/>
      <c r="I231" s="27"/>
      <c r="J231" s="27"/>
      <c r="K231" s="32"/>
      <c r="L231" s="27"/>
      <c r="M231" s="27"/>
      <c r="N231" s="27"/>
      <c r="O231" s="27"/>
      <c r="P231" s="27"/>
      <c r="Q231" s="27"/>
      <c r="R231" s="27"/>
      <c r="S231" s="27"/>
      <c r="T231" s="27"/>
      <c r="U231" s="27"/>
      <c r="V231" s="27"/>
      <c r="W231" s="185" t="s">
        <v>16</v>
      </c>
    </row>
    <row r="232" spans="4:23" ht="15" customHeight="1">
      <c r="D232" s="85" t="str">
        <f xml:space="preserve"> '2.1 Model setup'!K70</f>
        <v>1.1 Drift og vedligeholdelse af transformerstationer</v>
      </c>
      <c r="K232" s="5" t="str">
        <f t="shared" ref="K232:K250" si="36" xml:space="preserve"> Model.Units</f>
        <v>DKKt</v>
      </c>
      <c r="O232" s="1">
        <f xml:space="preserve"> '3.5 Indfødningstarif'!O625</f>
        <v>0</v>
      </c>
      <c r="P232" s="1">
        <f xml:space="preserve"> '3.5 Indfødningstarif'!P625</f>
        <v>0</v>
      </c>
      <c r="Q232" s="202"/>
      <c r="R232" s="1">
        <f xml:space="preserve"> '3.5 Indfødningstarif'!R625</f>
        <v>0</v>
      </c>
      <c r="S232" s="1">
        <f xml:space="preserve"> '3.5 Indfødningstarif'!S625</f>
        <v>0</v>
      </c>
      <c r="T232" s="1">
        <f xml:space="preserve"> '3.5 Indfødningstarif'!T625</f>
        <v>0</v>
      </c>
      <c r="U232" s="1">
        <f xml:space="preserve"> '3.5 Indfødningstarif'!U625</f>
        <v>0</v>
      </c>
      <c r="V232" s="1">
        <f xml:space="preserve"> '3.5 Indfødningstarif'!V625</f>
        <v>0</v>
      </c>
      <c r="W232" s="4">
        <f xml:space="preserve"> SUM( O232:V232 )</f>
        <v>0</v>
      </c>
    </row>
    <row r="233" spans="4:23" ht="15" customHeight="1">
      <c r="D233" s="85" t="str">
        <f xml:space="preserve"> '2.1 Model setup'!K71</f>
        <v>1.2 Drift og vedligeholdelse af ledningsnet</v>
      </c>
      <c r="K233" s="5" t="str">
        <f t="shared" si="36"/>
        <v>DKKt</v>
      </c>
      <c r="O233" s="1">
        <f xml:space="preserve"> '3.5 Indfødningstarif'!O626</f>
        <v>0</v>
      </c>
      <c r="P233" s="1">
        <f xml:space="preserve"> '3.5 Indfødningstarif'!P626</f>
        <v>0</v>
      </c>
      <c r="Q233" s="202"/>
      <c r="R233" s="1">
        <f xml:space="preserve"> '3.5 Indfødningstarif'!R626</f>
        <v>0</v>
      </c>
      <c r="S233" s="1">
        <f xml:space="preserve"> '3.5 Indfødningstarif'!S626</f>
        <v>0</v>
      </c>
      <c r="T233" s="1">
        <f xml:space="preserve"> '3.5 Indfødningstarif'!T626</f>
        <v>0</v>
      </c>
      <c r="U233" s="1">
        <f xml:space="preserve"> '3.5 Indfødningstarif'!U626</f>
        <v>0</v>
      </c>
      <c r="V233" s="1">
        <f xml:space="preserve"> '3.5 Indfødningstarif'!V626</f>
        <v>0</v>
      </c>
      <c r="W233" s="4">
        <f t="shared" ref="W233:W246" si="37" xml:space="preserve"> SUM( O233:V233 )</f>
        <v>0</v>
      </c>
    </row>
    <row r="234" spans="4:23" ht="15" customHeight="1">
      <c r="D234" s="85" t="str">
        <f xml:space="preserve"> '2.1 Model setup'!K72</f>
        <v>1.3 Øvrige omkostninger til drift, styring og kontrol af elnettet</v>
      </c>
      <c r="K234" s="5" t="str">
        <f t="shared" si="36"/>
        <v>DKKt</v>
      </c>
      <c r="O234" s="1">
        <f xml:space="preserve"> '3.5 Indfødningstarif'!O627</f>
        <v>0</v>
      </c>
      <c r="P234" s="1">
        <f xml:space="preserve"> '3.5 Indfødningstarif'!P627</f>
        <v>0</v>
      </c>
      <c r="Q234" s="202"/>
      <c r="R234" s="1">
        <f xml:space="preserve"> '3.5 Indfødningstarif'!R627</f>
        <v>0</v>
      </c>
      <c r="S234" s="1">
        <f xml:space="preserve"> '3.5 Indfødningstarif'!S627</f>
        <v>0</v>
      </c>
      <c r="T234" s="1">
        <f xml:space="preserve"> '3.5 Indfødningstarif'!T627</f>
        <v>0</v>
      </c>
      <c r="U234" s="1">
        <f xml:space="preserve"> '3.5 Indfødningstarif'!U627</f>
        <v>0</v>
      </c>
      <c r="V234" s="1">
        <f xml:space="preserve"> '3.5 Indfødningstarif'!V627</f>
        <v>0</v>
      </c>
      <c r="W234" s="4">
        <f t="shared" si="37"/>
        <v>0</v>
      </c>
    </row>
    <row r="235" spans="4:23" ht="15" customHeight="1">
      <c r="D235" s="85" t="str">
        <f xml:space="preserve"> '2.1 Model setup'!K73</f>
        <v>1.4 Omkostninger vedrørende 132-150/30-60 kV-stationer</v>
      </c>
      <c r="K235" s="5" t="str">
        <f t="shared" si="36"/>
        <v>DKKt</v>
      </c>
      <c r="O235" s="1">
        <f xml:space="preserve"> '3.5 Indfødningstarif'!O628</f>
        <v>0</v>
      </c>
      <c r="P235" s="1">
        <f xml:space="preserve"> '3.5 Indfødningstarif'!P628</f>
        <v>0</v>
      </c>
      <c r="Q235" s="202"/>
      <c r="R235" s="1">
        <f xml:space="preserve"> '3.5 Indfødningstarif'!R628</f>
        <v>0</v>
      </c>
      <c r="S235" s="1">
        <f xml:space="preserve"> '3.5 Indfødningstarif'!S628</f>
        <v>0</v>
      </c>
      <c r="T235" s="1">
        <f xml:space="preserve"> '3.5 Indfødningstarif'!T628</f>
        <v>0</v>
      </c>
      <c r="U235" s="1">
        <f xml:space="preserve"> '3.5 Indfødningstarif'!U628</f>
        <v>0</v>
      </c>
      <c r="V235" s="1">
        <f xml:space="preserve"> '3.5 Indfødningstarif'!V628</f>
        <v>0</v>
      </c>
      <c r="W235" s="4">
        <f t="shared" si="37"/>
        <v>0</v>
      </c>
    </row>
    <row r="236" spans="4:23" ht="15" customHeight="1">
      <c r="D236" s="85" t="str">
        <f xml:space="preserve"> '2.1 Model setup'!K74</f>
        <v>2.1 Drift og vedligeholdelse af målere</v>
      </c>
      <c r="K236" s="5" t="str">
        <f t="shared" si="36"/>
        <v>DKKt</v>
      </c>
      <c r="O236" s="1">
        <f xml:space="preserve"> '3.5 Indfødningstarif'!O629</f>
        <v>0</v>
      </c>
      <c r="P236" s="1">
        <f xml:space="preserve"> '3.5 Indfødningstarif'!P629</f>
        <v>0</v>
      </c>
      <c r="Q236" s="202"/>
      <c r="R236" s="1">
        <f xml:space="preserve"> '3.5 Indfødningstarif'!R629</f>
        <v>0</v>
      </c>
      <c r="S236" s="1">
        <f xml:space="preserve"> '3.5 Indfødningstarif'!S629</f>
        <v>0</v>
      </c>
      <c r="T236" s="1">
        <f xml:space="preserve"> '3.5 Indfødningstarif'!T629</f>
        <v>0</v>
      </c>
      <c r="U236" s="1">
        <f xml:space="preserve"> '3.5 Indfødningstarif'!U629</f>
        <v>0</v>
      </c>
      <c r="V236" s="1">
        <f xml:space="preserve"> '3.5 Indfødningstarif'!V629</f>
        <v>0</v>
      </c>
      <c r="W236" s="4">
        <f t="shared" si="37"/>
        <v>0</v>
      </c>
    </row>
    <row r="237" spans="4:23" ht="15" customHeight="1">
      <c r="D237" s="85" t="str">
        <f xml:space="preserve"> '2.1 Model setup'!K75</f>
        <v>2.2 Indhentning og validering af målerdata</v>
      </c>
      <c r="K237" s="5" t="str">
        <f t="shared" si="36"/>
        <v>DKKt</v>
      </c>
      <c r="O237" s="1">
        <f xml:space="preserve"> '3.5 Indfødningstarif'!O630</f>
        <v>0</v>
      </c>
      <c r="P237" s="1">
        <f xml:space="preserve"> '3.5 Indfødningstarif'!P630</f>
        <v>0</v>
      </c>
      <c r="Q237" s="202"/>
      <c r="R237" s="1">
        <f xml:space="preserve"> '3.5 Indfødningstarif'!R630</f>
        <v>0</v>
      </c>
      <c r="S237" s="1">
        <f xml:space="preserve"> '3.5 Indfødningstarif'!S630</f>
        <v>0</v>
      </c>
      <c r="T237" s="1">
        <f xml:space="preserve"> '3.5 Indfødningstarif'!T630</f>
        <v>0</v>
      </c>
      <c r="U237" s="1">
        <f xml:space="preserve"> '3.5 Indfødningstarif'!U630</f>
        <v>0</v>
      </c>
      <c r="V237" s="1">
        <f xml:space="preserve"> '3.5 Indfødningstarif'!V630</f>
        <v>0</v>
      </c>
      <c r="W237" s="4">
        <f t="shared" si="37"/>
        <v>0</v>
      </c>
    </row>
    <row r="238" spans="4:23" ht="15" customHeight="1">
      <c r="D238" s="85" t="str">
        <f xml:space="preserve"> '2.1 Model setup'!K76</f>
        <v>2.3 Måleradministration og kundehåndtering</v>
      </c>
      <c r="K238" s="5" t="str">
        <f t="shared" si="36"/>
        <v>DKKt</v>
      </c>
      <c r="O238" s="1">
        <f xml:space="preserve"> '3.5 Indfødningstarif'!O631</f>
        <v>0</v>
      </c>
      <c r="P238" s="1">
        <f xml:space="preserve"> '3.5 Indfødningstarif'!P631</f>
        <v>0</v>
      </c>
      <c r="Q238" s="202"/>
      <c r="R238" s="1">
        <f xml:space="preserve"> '3.5 Indfødningstarif'!R631</f>
        <v>0</v>
      </c>
      <c r="S238" s="1">
        <f xml:space="preserve"> '3.5 Indfødningstarif'!S631</f>
        <v>0</v>
      </c>
      <c r="T238" s="1">
        <f xml:space="preserve"> '3.5 Indfødningstarif'!T631</f>
        <v>0</v>
      </c>
      <c r="U238" s="1">
        <f xml:space="preserve"> '3.5 Indfødningstarif'!U631</f>
        <v>0</v>
      </c>
      <c r="V238" s="1">
        <f xml:space="preserve"> '3.5 Indfødningstarif'!V631</f>
        <v>0</v>
      </c>
      <c r="W238" s="4">
        <f t="shared" si="37"/>
        <v>0</v>
      </c>
    </row>
    <row r="239" spans="4:23" ht="15" customHeight="1">
      <c r="D239" s="85" t="str">
        <f xml:space="preserve"> '2.1 Model setup'!K77</f>
        <v>3.1 Generel administration</v>
      </c>
      <c r="K239" s="5" t="str">
        <f t="shared" si="36"/>
        <v>DKKt</v>
      </c>
      <c r="O239" s="1">
        <f xml:space="preserve"> '3.5 Indfødningstarif'!O632</f>
        <v>0</v>
      </c>
      <c r="P239" s="1">
        <f xml:space="preserve"> '3.5 Indfødningstarif'!P632</f>
        <v>0</v>
      </c>
      <c r="Q239" s="202"/>
      <c r="R239" s="1">
        <f xml:space="preserve"> '3.5 Indfødningstarif'!R632</f>
        <v>0</v>
      </c>
      <c r="S239" s="1">
        <f xml:space="preserve"> '3.5 Indfødningstarif'!S632</f>
        <v>0</v>
      </c>
      <c r="T239" s="1">
        <f xml:space="preserve"> '3.5 Indfødningstarif'!T632</f>
        <v>0</v>
      </c>
      <c r="U239" s="1">
        <f xml:space="preserve"> '3.5 Indfødningstarif'!U632</f>
        <v>0</v>
      </c>
      <c r="V239" s="1">
        <f xml:space="preserve"> '3.5 Indfødningstarif'!V632</f>
        <v>0</v>
      </c>
      <c r="W239" s="4">
        <f t="shared" si="37"/>
        <v>0</v>
      </c>
    </row>
    <row r="240" spans="4:23" ht="15" customHeight="1">
      <c r="D240" s="85" t="str">
        <f xml:space="preserve"> '2.1 Model setup'!K78</f>
        <v>4.1 Omkostninger vedrørende nettab i transformerstationer</v>
      </c>
      <c r="K240" s="5" t="str">
        <f t="shared" si="36"/>
        <v>DKKt</v>
      </c>
      <c r="O240" s="1">
        <f xml:space="preserve"> '3.5 Indfødningstarif'!O633</f>
        <v>0</v>
      </c>
      <c r="P240" s="1">
        <f xml:space="preserve"> '3.5 Indfødningstarif'!P633</f>
        <v>0</v>
      </c>
      <c r="Q240" s="202"/>
      <c r="R240" s="1">
        <f xml:space="preserve"> '3.5 Indfødningstarif'!R633</f>
        <v>0</v>
      </c>
      <c r="S240" s="1">
        <f xml:space="preserve"> '3.5 Indfødningstarif'!S633</f>
        <v>0</v>
      </c>
      <c r="T240" s="1">
        <f xml:space="preserve"> '3.5 Indfødningstarif'!T633</f>
        <v>0</v>
      </c>
      <c r="U240" s="1">
        <f xml:space="preserve"> '3.5 Indfødningstarif'!U633</f>
        <v>0</v>
      </c>
      <c r="V240" s="1">
        <f xml:space="preserve"> '3.5 Indfødningstarif'!V633</f>
        <v>0</v>
      </c>
      <c r="W240" s="4">
        <f t="shared" si="37"/>
        <v>0</v>
      </c>
    </row>
    <row r="241" spans="2:23" ht="15" customHeight="1">
      <c r="D241" s="85" t="str">
        <f xml:space="preserve"> '2.1 Model setup'!K79</f>
        <v>4.2 Omkostninger vedrørende nettab i ledningsnettet</v>
      </c>
      <c r="K241" s="5" t="str">
        <f t="shared" si="36"/>
        <v>DKKt</v>
      </c>
      <c r="O241" s="1">
        <f xml:space="preserve"> '3.5 Indfødningstarif'!O634</f>
        <v>0</v>
      </c>
      <c r="P241" s="1">
        <f xml:space="preserve"> '3.5 Indfødningstarif'!P634</f>
        <v>0</v>
      </c>
      <c r="Q241" s="202"/>
      <c r="R241" s="1">
        <f xml:space="preserve"> '3.5 Indfødningstarif'!R634</f>
        <v>0</v>
      </c>
      <c r="S241" s="1">
        <f xml:space="preserve"> '3.5 Indfødningstarif'!S634</f>
        <v>0</v>
      </c>
      <c r="T241" s="1">
        <f xml:space="preserve"> '3.5 Indfødningstarif'!T634</f>
        <v>0</v>
      </c>
      <c r="U241" s="1">
        <f xml:space="preserve"> '3.5 Indfødningstarif'!U634</f>
        <v>0</v>
      </c>
      <c r="V241" s="1">
        <f xml:space="preserve"> '3.5 Indfødningstarif'!V634</f>
        <v>0</v>
      </c>
      <c r="W241" s="4">
        <f t="shared" si="37"/>
        <v>0</v>
      </c>
    </row>
    <row r="242" spans="2:23" ht="15" customHeight="1">
      <c r="D242" s="85" t="str">
        <f xml:space="preserve"> '2.1 Model setup'!K88</f>
        <v>5.1 Omkostninger til overliggende net ifm. indfødning</v>
      </c>
      <c r="K242" s="5" t="str">
        <f t="shared" si="36"/>
        <v>DKKt</v>
      </c>
      <c r="O242" s="1">
        <f xml:space="preserve"> '3.5 Indfødningstarif'!O635</f>
        <v>0</v>
      </c>
      <c r="P242" s="1">
        <f xml:space="preserve"> '3.5 Indfødningstarif'!P635</f>
        <v>0</v>
      </c>
      <c r="Q242" s="202"/>
      <c r="R242" s="1">
        <f xml:space="preserve"> '3.5 Indfødningstarif'!R635</f>
        <v>0</v>
      </c>
      <c r="S242" s="1">
        <f xml:space="preserve"> '3.5 Indfødningstarif'!S635</f>
        <v>0</v>
      </c>
      <c r="T242" s="1">
        <f xml:space="preserve"> '3.5 Indfødningstarif'!T635</f>
        <v>0</v>
      </c>
      <c r="U242" s="1">
        <f xml:space="preserve"> '3.5 Indfødningstarif'!U635</f>
        <v>0</v>
      </c>
      <c r="V242" s="1">
        <f xml:space="preserve"> '3.5 Indfødningstarif'!V635</f>
        <v>0</v>
      </c>
      <c r="W242" s="4">
        <f t="shared" si="37"/>
        <v>0</v>
      </c>
    </row>
    <row r="243" spans="2:23" ht="15" customHeight="1">
      <c r="D243" s="85" t="str">
        <f xml:space="preserve"> '2.1 Model setup'!K81</f>
        <v>5.2 Øvrige omkostninger</v>
      </c>
      <c r="K243" s="5" t="str">
        <f t="shared" si="36"/>
        <v>DKKt</v>
      </c>
      <c r="O243" s="1">
        <f xml:space="preserve"> '3.5 Indfødningstarif'!O636</f>
        <v>0</v>
      </c>
      <c r="P243" s="1">
        <f xml:space="preserve"> '3.5 Indfødningstarif'!P636</f>
        <v>0</v>
      </c>
      <c r="Q243" s="202"/>
      <c r="R243" s="1">
        <f xml:space="preserve"> '3.5 Indfødningstarif'!R636</f>
        <v>0</v>
      </c>
      <c r="S243" s="1">
        <f xml:space="preserve"> '3.5 Indfødningstarif'!S636</f>
        <v>0</v>
      </c>
      <c r="T243" s="1">
        <f xml:space="preserve"> '3.5 Indfødningstarif'!T636</f>
        <v>0</v>
      </c>
      <c r="U243" s="1">
        <f xml:space="preserve"> '3.5 Indfødningstarif'!U636</f>
        <v>0</v>
      </c>
      <c r="V243" s="1">
        <f xml:space="preserve"> '3.5 Indfødningstarif'!V636</f>
        <v>0</v>
      </c>
      <c r="W243" s="4">
        <f t="shared" si="37"/>
        <v>0</v>
      </c>
    </row>
    <row r="244" spans="2:23" ht="15" customHeight="1">
      <c r="D244" s="85" t="str">
        <f xml:space="preserve"> '2.1 Model setup'!K82</f>
        <v>6.1 Afskrivninger på transformerstationer</v>
      </c>
      <c r="K244" s="5" t="str">
        <f t="shared" si="36"/>
        <v>DKKt</v>
      </c>
      <c r="O244" s="1">
        <f xml:space="preserve"> '3.5 Indfødningstarif'!O637</f>
        <v>0</v>
      </c>
      <c r="P244" s="1">
        <f xml:space="preserve"> '3.5 Indfødningstarif'!P637</f>
        <v>0</v>
      </c>
      <c r="Q244" s="202"/>
      <c r="R244" s="1">
        <f xml:space="preserve"> '3.5 Indfødningstarif'!R637</f>
        <v>0</v>
      </c>
      <c r="S244" s="1">
        <f xml:space="preserve"> '3.5 Indfødningstarif'!S637</f>
        <v>0</v>
      </c>
      <c r="T244" s="1">
        <f xml:space="preserve"> '3.5 Indfødningstarif'!T637</f>
        <v>0</v>
      </c>
      <c r="U244" s="1">
        <f xml:space="preserve"> '3.5 Indfødningstarif'!U637</f>
        <v>0</v>
      </c>
      <c r="V244" s="1">
        <f xml:space="preserve"> '3.5 Indfødningstarif'!V637</f>
        <v>0</v>
      </c>
      <c r="W244" s="4">
        <f t="shared" si="37"/>
        <v>0</v>
      </c>
    </row>
    <row r="245" spans="2:23" ht="15" customHeight="1">
      <c r="D245" s="85" t="str">
        <f xml:space="preserve"> '2.1 Model setup'!K83</f>
        <v>6.2 Afskrivninger på netaktiver ekskl. målere og transformerstationer</v>
      </c>
      <c r="K245" s="5" t="str">
        <f t="shared" si="36"/>
        <v>DKKt</v>
      </c>
      <c r="O245" s="1">
        <f xml:space="preserve"> '3.5 Indfødningstarif'!O638</f>
        <v>0</v>
      </c>
      <c r="P245" s="1">
        <f xml:space="preserve"> '3.5 Indfødningstarif'!P638</f>
        <v>0</v>
      </c>
      <c r="Q245" s="202"/>
      <c r="R245" s="1">
        <f xml:space="preserve"> '3.5 Indfødningstarif'!R638</f>
        <v>0</v>
      </c>
      <c r="S245" s="1">
        <f xml:space="preserve"> '3.5 Indfødningstarif'!S638</f>
        <v>0</v>
      </c>
      <c r="T245" s="1">
        <f xml:space="preserve"> '3.5 Indfødningstarif'!T638</f>
        <v>0</v>
      </c>
      <c r="U245" s="1">
        <f xml:space="preserve"> '3.5 Indfødningstarif'!U638</f>
        <v>0</v>
      </c>
      <c r="V245" s="1">
        <f xml:space="preserve"> '3.5 Indfødningstarif'!V638</f>
        <v>0</v>
      </c>
      <c r="W245" s="4">
        <f t="shared" si="37"/>
        <v>0</v>
      </c>
    </row>
    <row r="246" spans="2:23" ht="15" customHeight="1">
      <c r="D246" s="85" t="str">
        <f xml:space="preserve"> '2.1 Model setup'!K84</f>
        <v>6.3 Afskrivninger på målere</v>
      </c>
      <c r="K246" s="5" t="str">
        <f t="shared" si="36"/>
        <v>DKKt</v>
      </c>
      <c r="O246" s="1">
        <f xml:space="preserve"> '3.5 Indfødningstarif'!O639</f>
        <v>0</v>
      </c>
      <c r="P246" s="1">
        <f xml:space="preserve"> '3.5 Indfødningstarif'!P639</f>
        <v>0</v>
      </c>
      <c r="Q246" s="202"/>
      <c r="R246" s="1">
        <f xml:space="preserve"> '3.5 Indfødningstarif'!R639</f>
        <v>0</v>
      </c>
      <c r="S246" s="1">
        <f xml:space="preserve"> '3.5 Indfødningstarif'!S639</f>
        <v>0</v>
      </c>
      <c r="T246" s="1">
        <f xml:space="preserve"> '3.5 Indfødningstarif'!T639</f>
        <v>0</v>
      </c>
      <c r="U246" s="1">
        <f xml:space="preserve"> '3.5 Indfødningstarif'!U639</f>
        <v>0</v>
      </c>
      <c r="V246" s="1">
        <f xml:space="preserve"> '3.5 Indfødningstarif'!V639</f>
        <v>0</v>
      </c>
      <c r="W246" s="4">
        <f t="shared" si="37"/>
        <v>0</v>
      </c>
    </row>
    <row r="247" spans="2:23" ht="15" customHeight="1">
      <c r="D247" s="85" t="str">
        <f xml:space="preserve"> '2.1 Model setup'!K85</f>
        <v>7.1 Transformerstationer (forrentning)</v>
      </c>
      <c r="K247" s="5" t="str">
        <f t="shared" si="36"/>
        <v>DKKt</v>
      </c>
      <c r="O247" s="202"/>
      <c r="P247" s="202"/>
      <c r="Q247" s="202"/>
      <c r="R247" s="202"/>
      <c r="S247" s="202"/>
      <c r="T247" s="202"/>
      <c r="U247" s="202"/>
      <c r="V247" s="202"/>
      <c r="W247" s="344"/>
    </row>
    <row r="248" spans="2:23" ht="15" customHeight="1">
      <c r="D248" s="85" t="str">
        <f xml:space="preserve"> '2.1 Model setup'!K86</f>
        <v>7.2 Netaktiver ekskl. målere og transformerstationer (forrentning)</v>
      </c>
      <c r="K248" s="5" t="str">
        <f t="shared" si="36"/>
        <v>DKKt</v>
      </c>
      <c r="O248" s="202"/>
      <c r="P248" s="202"/>
      <c r="Q248" s="202"/>
      <c r="R248" s="202"/>
      <c r="S248" s="202"/>
      <c r="T248" s="202"/>
      <c r="U248" s="202"/>
      <c r="V248" s="202"/>
      <c r="W248" s="344"/>
    </row>
    <row r="249" spans="2:23" ht="15" customHeight="1">
      <c r="D249" s="85" t="str">
        <f xml:space="preserve"> '2.1 Model setup'!K87</f>
        <v>7.3 Målere (forrentning)</v>
      </c>
      <c r="K249" s="5" t="str">
        <f t="shared" si="36"/>
        <v>DKKt</v>
      </c>
      <c r="O249" s="202"/>
      <c r="P249" s="202"/>
      <c r="Q249" s="202"/>
      <c r="R249" s="202"/>
      <c r="S249" s="202"/>
      <c r="T249" s="202"/>
      <c r="U249" s="202"/>
      <c r="V249" s="202"/>
      <c r="W249" s="344"/>
    </row>
    <row r="250" spans="2:23" ht="15" customHeight="1">
      <c r="D250" s="186" t="s">
        <v>16</v>
      </c>
      <c r="E250" s="33"/>
      <c r="F250" s="33"/>
      <c r="G250" s="33"/>
      <c r="H250" s="33"/>
      <c r="I250" s="33"/>
      <c r="J250" s="33"/>
      <c r="K250" s="187" t="str">
        <f t="shared" si="36"/>
        <v>DKKt</v>
      </c>
      <c r="L250" s="186"/>
      <c r="M250" s="186"/>
      <c r="N250" s="186"/>
      <c r="O250" s="186">
        <f t="shared" ref="O250:W250" si="38" xml:space="preserve"> SUM( O232:O249 )</f>
        <v>0</v>
      </c>
      <c r="P250" s="186">
        <f t="shared" si="38"/>
        <v>0</v>
      </c>
      <c r="Q250" s="388"/>
      <c r="R250" s="186">
        <f t="shared" si="38"/>
        <v>0</v>
      </c>
      <c r="S250" s="186">
        <f t="shared" si="38"/>
        <v>0</v>
      </c>
      <c r="T250" s="186">
        <f t="shared" si="38"/>
        <v>0</v>
      </c>
      <c r="U250" s="186">
        <f t="shared" si="38"/>
        <v>0</v>
      </c>
      <c r="V250" s="186">
        <f t="shared" si="38"/>
        <v>0</v>
      </c>
      <c r="W250" s="186">
        <f t="shared" si="38"/>
        <v>0</v>
      </c>
    </row>
    <row r="254" spans="2:23" s="475" customFormat="1" ht="15" customHeight="1">
      <c r="B254" s="479" t="s">
        <v>104</v>
      </c>
      <c r="C254" s="477"/>
      <c r="D254" s="478"/>
      <c r="K254" s="472"/>
    </row>
  </sheetData>
  <sheetProtection sheet="1" objects="1" scenarios="1"/>
  <conditionalFormatting sqref="I4:I5 I7">
    <cfRule type="cellIs" dxfId="828" priority="86" operator="between">
      <formula>-ErrorTolerance</formula>
      <formula>ErrorTolerance</formula>
    </cfRule>
  </conditionalFormatting>
  <conditionalFormatting sqref="J2:Q3 B2:E3">
    <cfRule type="expression" dxfId="827" priority="87">
      <formula>$I$4&lt;ErrorTolerance</formula>
    </cfRule>
  </conditionalFormatting>
  <conditionalFormatting sqref="B3">
    <cfRule type="expression" dxfId="826" priority="147">
      <formula>$I$5&gt;=ErrorTolerance</formula>
    </cfRule>
  </conditionalFormatting>
  <conditionalFormatting sqref="I6">
    <cfRule type="cellIs" dxfId="825" priority="82" operator="between">
      <formula>-ErrorTolerance</formula>
      <formula>ErrorTolerance</formula>
    </cfRule>
  </conditionalFormatting>
  <conditionalFormatting sqref="L15">
    <cfRule type="cellIs" dxfId="824" priority="77" operator="greaterThan">
      <formula>0</formula>
    </cfRule>
  </conditionalFormatting>
  <conditionalFormatting sqref="L18">
    <cfRule type="cellIs" dxfId="823" priority="76" operator="greaterThan">
      <formula>0</formula>
    </cfRule>
  </conditionalFormatting>
  <conditionalFormatting sqref="F2:G2">
    <cfRule type="expression" dxfId="822" priority="11">
      <formula>Model.Navigation.View=No</formula>
    </cfRule>
  </conditionalFormatting>
  <conditionalFormatting sqref="F2:G2">
    <cfRule type="expression" dxfId="821" priority="10">
      <formula>Model.Navigation.View=No</formula>
    </cfRule>
  </conditionalFormatting>
  <conditionalFormatting sqref="H2">
    <cfRule type="expression" dxfId="820" priority="9">
      <formula>Model.Navigation.View=No</formula>
    </cfRule>
  </conditionalFormatting>
  <conditionalFormatting sqref="H2">
    <cfRule type="expression" dxfId="819" priority="8">
      <formula>Model.Navigation.View=No</formula>
    </cfRule>
  </conditionalFormatting>
  <conditionalFormatting sqref="L87">
    <cfRule type="cellIs" dxfId="818" priority="7" operator="greaterThan">
      <formula>0</formula>
    </cfRule>
  </conditionalFormatting>
  <conditionalFormatting sqref="I2">
    <cfRule type="expression" dxfId="817" priority="6">
      <formula>Model.Navigation.View=No</formula>
    </cfRule>
  </conditionalFormatting>
  <conditionalFormatting sqref="I2">
    <cfRule type="expression" dxfId="816" priority="5">
      <formula>Model.Navigation.View=No</formula>
    </cfRule>
  </conditionalFormatting>
  <conditionalFormatting sqref="L16:L17">
    <cfRule type="cellIs" dxfId="815" priority="4" operator="greaterThan">
      <formula>0</formula>
    </cfRule>
  </conditionalFormatting>
  <conditionalFormatting sqref="L23 L25">
    <cfRule type="cellIs" dxfId="814" priority="3" operator="greaterThan">
      <formula>0</formula>
    </cfRule>
  </conditionalFormatting>
  <conditionalFormatting sqref="L85">
    <cfRule type="cellIs" dxfId="813" priority="2" operator="greaterThan">
      <formula>0</formula>
    </cfRule>
  </conditionalFormatting>
  <conditionalFormatting sqref="L37:L38">
    <cfRule type="cellIs" dxfId="812" priority="1" operator="greaterThan">
      <formula>0</formula>
    </cfRule>
  </conditionalFormatting>
  <hyperlinks>
    <hyperlink ref="G2" location="'1.1 Provenu'!B11" tooltip="Gå til toppen af arket" display="'1.1 Provenu'!B11" xr:uid="{CC2EF76A-2703-42F8-B980-F39565AE0C95}"/>
    <hyperlink ref="H2" location="'2.3 Selskabsspecifikke input'!B2" tooltip="Gå til selskabsspecifikke input" display="'2.3 Selskabsspecifikke input'!B2" xr:uid="{BCE53E10-60AC-4467-8C39-B9C5197C196F}"/>
    <hyperlink ref="F2" location="Modeloverblik!B2" tooltip="Gå til modelbeskrivelse" display="Modeloverblik!B2" xr:uid="{8CDC1B1D-A446-429F-9793-9E0DF6AB328E}"/>
    <hyperlink ref="I2" location="'4.1 Fejl- og kontroloversigt'!B2" tooltip="Gå til fejl- og kontrolchecks" display="'4.1 Fejl- og kontroloversigt'!B2" xr:uid="{B5566E57-E3F2-48B0-8B4D-63D18321D415}"/>
  </hyperlinks>
  <pageMargins left="0.70866141732283472" right="0.70866141732283472" top="0.74803149606299213" bottom="0.74803149606299213" header="0.31496062992125984" footer="0.31496062992125984"/>
  <pageSetup paperSize="9" scale="46" fitToHeight="0" orientation="landscape" r:id="rId1"/>
  <headerFooter scaleWithDoc="0">
    <oddHeader>&amp;L&amp;"Arial,Bold"&amp;8Green Power Denmark | Regnearksmodel - Tarifmodel 3.0 og producentbetaling</oddHeader>
    <oddFooter>&amp;LArk: &amp;A&amp;RSide &amp;P af &amp;N</oddFooter>
  </headerFooter>
  <rowBreaks count="4" manualBreakCount="4">
    <brk id="63" max="24" man="1"/>
    <brk id="115" max="24" man="1"/>
    <brk id="161" max="24" man="1"/>
    <brk id="207"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18859-28E6-4D30-AFF0-DC79AB4A8833}">
  <sheetPr codeName="Sheet30">
    <tabColor rgb="FF307675"/>
    <outlinePr summaryBelow="0"/>
  </sheetPr>
  <dimension ref="A1:CC52"/>
  <sheetViews>
    <sheetView showGridLines="0" tabSelected="1" zoomScale="85" zoomScaleNormal="85" workbookViewId="0">
      <pane xSplit="14" ySplit="10" topLeftCell="O11" activePane="bottomRight" state="frozen"/>
      <selection activeCell="F31" sqref="F31"/>
      <selection pane="topRight" activeCell="F31" sqref="F31"/>
      <selection pane="bottomLeft" activeCell="F31" sqref="F31"/>
      <selection pane="bottomRight" activeCell="O4" sqref="O4"/>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22" width="18.6640625" style="1" customWidth="1"/>
    <col min="23" max="29" width="16.6640625" style="1" customWidth="1"/>
    <col min="30" max="81" width="16.6640625" style="1" hidden="1" customWidth="1"/>
    <col min="82" max="16384" width="9.1640625" style="1" hidden="1"/>
  </cols>
  <sheetData>
    <row r="1" spans="1:23" ht="4.9000000000000004" customHeight="1">
      <c r="A1" s="486"/>
    </row>
    <row r="2" spans="1:23" ht="19.899999999999999" customHeight="1">
      <c r="B2" s="6" t="str">
        <f ca="1" xml:space="preserve"> MID( CELL("filename", B2), FIND("]", CELL("filename",B2) ) + 1, Model.MaxChars)</f>
        <v>1.2 Tarifoversigt</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1:23"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1:23" ht="15" customHeight="1">
      <c r="F4" s="74" t="s">
        <v>274</v>
      </c>
      <c r="G4" s="2"/>
      <c r="I4" s="25">
        <f xml:space="preserve"> SUM(L:L)</f>
        <v>0</v>
      </c>
    </row>
    <row r="5" spans="1:23" ht="15" customHeight="1">
      <c r="F5" s="74" t="s">
        <v>275</v>
      </c>
      <c r="G5" s="2"/>
      <c r="I5" s="84">
        <f xml:space="preserve"> SUM(M:M)</f>
        <v>0</v>
      </c>
    </row>
    <row r="6" spans="1:23" ht="15" customHeight="1">
      <c r="F6" s="74" t="s">
        <v>276</v>
      </c>
      <c r="G6" s="2"/>
      <c r="I6" s="25">
        <f xml:space="preserve"> SUM( L:L ) + SUM( '1.1 Provenu'!L:L ) + SUM( '1.3 Varslingsanalyse'!L:L) + SUM( '1.4 Hoveddata'!L:L) + SUM('2.1 Model setup'!L:L ) + SUM('2.2 Generelle input'!L:L ) + SUM( '2.3 Selskabsspecifikke input'!L:L) + SUM( '3.1 Opsplitning af forbrug'!L:L) + SUM( '3.2 Abonnement'!L:L) + SUM( '3.3 Forbrugstariffer og effekt'!L:L) + SUM( '3.4 Tidsdifferentieret tarif'!L:L) + SUM('3.5 Indfødningstarif'!L:L)+ SUM( 'Hjælpeark, forbrugsnøgler'!L:L) + SUM( 'Hjælpeark, fall-back-metoden'!L:L )</f>
        <v>0</v>
      </c>
    </row>
    <row r="7" spans="1:23" ht="15" customHeight="1">
      <c r="F7" s="75" t="s">
        <v>236</v>
      </c>
      <c r="G7" s="26"/>
      <c r="H7" s="27"/>
      <c r="I7" s="329">
        <f xml:space="preserve"> '1.3 Varslingsanalyse'!I7</f>
        <v>0</v>
      </c>
    </row>
    <row r="8" spans="1:23" ht="15" customHeight="1">
      <c r="L8" s="484" t="str">
        <f xml:space="preserve"> Header.Labels</f>
        <v>Checks</v>
      </c>
      <c r="M8" s="484"/>
    </row>
    <row r="9" spans="1:23" ht="5.0999999999999996" customHeight="1">
      <c r="E9" s="14"/>
      <c r="F9" s="28"/>
      <c r="G9" s="28"/>
      <c r="H9" s="28"/>
      <c r="I9" s="28"/>
      <c r="J9" s="28"/>
      <c r="L9" s="485"/>
      <c r="M9" s="473"/>
      <c r="N9" s="28"/>
      <c r="O9" s="28"/>
      <c r="P9" s="28"/>
      <c r="Q9" s="28"/>
    </row>
    <row r="10" spans="1:23" s="475" customFormat="1" ht="15" customHeight="1">
      <c r="B10" s="479" t="str">
        <f xml:space="preserve"> Header.Labels</f>
        <v>Sektion</v>
      </c>
      <c r="C10" s="477"/>
      <c r="D10" s="478"/>
      <c r="E10" s="476"/>
      <c r="F10" s="472"/>
      <c r="G10" s="472"/>
      <c r="H10" s="472"/>
      <c r="I10" s="472"/>
      <c r="J10" s="472"/>
      <c r="K10" s="474" t="str">
        <f xml:space="preserve"> Header.Labels</f>
        <v>Enhed</v>
      </c>
      <c r="L10" s="474" t="str">
        <f xml:space="preserve"> Header.Labels</f>
        <v>Fejl</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row>
    <row r="11" spans="1:23" s="15" customFormat="1" ht="15" customHeight="1">
      <c r="C11" s="16"/>
      <c r="D11" s="17"/>
      <c r="F11" s="1"/>
      <c r="K11" s="19"/>
      <c r="W11" s="1"/>
    </row>
    <row r="12" spans="1:23" s="475" customFormat="1" ht="15" customHeight="1">
      <c r="B12" s="479" t="str">
        <f xml:space="preserve"> COUNTA(B$10:B11) &amp; ") Oversigt over tariffer, effektpriser, abonnementspriser og indfødningstariffer"</f>
        <v>1) Oversigt over tariffer, effektpriser, abonnementspriser og indfødningstariffer</v>
      </c>
      <c r="C12" s="477"/>
      <c r="D12" s="478"/>
      <c r="K12" s="472"/>
    </row>
    <row r="13" spans="1:23" ht="15" customHeight="1">
      <c r="L13" s="5"/>
    </row>
    <row r="14" spans="1:23" ht="15" customHeight="1">
      <c r="D14" s="4" t="s">
        <v>271</v>
      </c>
    </row>
    <row r="15" spans="1:23" ht="15" customHeight="1">
      <c r="D15" s="15" t="s">
        <v>182</v>
      </c>
      <c r="E15" s="15"/>
      <c r="F15" s="15"/>
      <c r="G15" s="15"/>
      <c r="H15" s="15"/>
      <c r="I15" s="15"/>
      <c r="J15" s="15"/>
      <c r="K15" s="19" t="s">
        <v>216</v>
      </c>
      <c r="L15" s="15"/>
      <c r="M15" s="15"/>
      <c r="N15" s="15"/>
      <c r="O15" s="274"/>
      <c r="P15" s="274"/>
      <c r="Q15" s="274"/>
      <c r="R15" s="150">
        <f xml:space="preserve"> '3.4 Tidsdifferentieret tarif'!R331</f>
        <v>0</v>
      </c>
      <c r="S15" s="150">
        <f xml:space="preserve"> '3.4 Tidsdifferentieret tarif'!S331</f>
        <v>0</v>
      </c>
      <c r="T15" s="150">
        <f xml:space="preserve"> '3.4 Tidsdifferentieret tarif'!T331</f>
        <v>0</v>
      </c>
      <c r="U15" s="150">
        <f xml:space="preserve"> '3.4 Tidsdifferentieret tarif'!U331</f>
        <v>0</v>
      </c>
      <c r="V15" s="150">
        <f xml:space="preserve"> '3.4 Tidsdifferentieret tarif'!V331</f>
        <v>0</v>
      </c>
    </row>
    <row r="16" spans="1:23" ht="15" customHeight="1">
      <c r="D16" s="1" t="s">
        <v>184</v>
      </c>
      <c r="K16" s="5" t="s">
        <v>216</v>
      </c>
      <c r="O16" s="202"/>
      <c r="P16" s="202"/>
      <c r="Q16" s="202"/>
      <c r="R16" s="121">
        <f xml:space="preserve"> '3.4 Tidsdifferentieret tarif'!R332</f>
        <v>0</v>
      </c>
      <c r="S16" s="121">
        <f xml:space="preserve"> '3.4 Tidsdifferentieret tarif'!S332</f>
        <v>0</v>
      </c>
      <c r="T16" s="121">
        <f xml:space="preserve"> '3.4 Tidsdifferentieret tarif'!T332</f>
        <v>0</v>
      </c>
      <c r="U16" s="121">
        <f xml:space="preserve"> '3.4 Tidsdifferentieret tarif'!U332</f>
        <v>0</v>
      </c>
      <c r="V16" s="121">
        <f xml:space="preserve"> '3.4 Tidsdifferentieret tarif'!V332</f>
        <v>0</v>
      </c>
    </row>
    <row r="17" spans="4:22" ht="15" customHeight="1">
      <c r="D17" s="27" t="s">
        <v>185</v>
      </c>
      <c r="E17" s="27"/>
      <c r="F17" s="27"/>
      <c r="G17" s="27"/>
      <c r="H17" s="27"/>
      <c r="I17" s="27"/>
      <c r="J17" s="27"/>
      <c r="K17" s="32" t="s">
        <v>216</v>
      </c>
      <c r="L17" s="27"/>
      <c r="M17" s="27"/>
      <c r="N17" s="27"/>
      <c r="O17" s="269"/>
      <c r="P17" s="269"/>
      <c r="Q17" s="269"/>
      <c r="R17" s="131">
        <f xml:space="preserve"> '3.4 Tidsdifferentieret tarif'!R333</f>
        <v>0</v>
      </c>
      <c r="S17" s="131">
        <f xml:space="preserve"> '3.4 Tidsdifferentieret tarif'!S333</f>
        <v>0</v>
      </c>
      <c r="T17" s="131">
        <f xml:space="preserve"> '3.4 Tidsdifferentieret tarif'!T333</f>
        <v>0</v>
      </c>
      <c r="U17" s="131">
        <f xml:space="preserve"> '3.4 Tidsdifferentieret tarif'!U333</f>
        <v>0</v>
      </c>
      <c r="V17" s="131">
        <f xml:space="preserve"> '3.4 Tidsdifferentieret tarif'!V333</f>
        <v>0</v>
      </c>
    </row>
    <row r="18" spans="4:22" ht="15" customHeight="1">
      <c r="D18" s="1"/>
    </row>
    <row r="19" spans="4:22" ht="15" customHeight="1">
      <c r="D19" s="4" t="s">
        <v>272</v>
      </c>
    </row>
    <row r="20" spans="4:22" ht="15" customHeight="1">
      <c r="D20" s="15" t="s">
        <v>182</v>
      </c>
      <c r="E20" s="15"/>
      <c r="F20" s="15"/>
      <c r="G20" s="15"/>
      <c r="H20" s="15"/>
      <c r="I20" s="15"/>
      <c r="J20" s="15"/>
      <c r="K20" s="19" t="s">
        <v>216</v>
      </c>
      <c r="L20" s="15"/>
      <c r="M20" s="15"/>
      <c r="N20" s="15"/>
      <c r="O20" s="274"/>
      <c r="P20" s="274"/>
      <c r="Q20" s="274"/>
      <c r="R20" s="150">
        <f xml:space="preserve"> '3.4 Tidsdifferentieret tarif'!R336</f>
        <v>0</v>
      </c>
      <c r="S20" s="150">
        <f xml:space="preserve"> '3.4 Tidsdifferentieret tarif'!S336</f>
        <v>0</v>
      </c>
      <c r="T20" s="150">
        <f xml:space="preserve"> '3.4 Tidsdifferentieret tarif'!T336</f>
        <v>0</v>
      </c>
      <c r="U20" s="150">
        <f xml:space="preserve"> '3.4 Tidsdifferentieret tarif'!U336</f>
        <v>0</v>
      </c>
      <c r="V20" s="150">
        <f xml:space="preserve"> '3.4 Tidsdifferentieret tarif'!V336</f>
        <v>0</v>
      </c>
    </row>
    <row r="21" spans="4:22" ht="15" customHeight="1">
      <c r="D21" s="1" t="s">
        <v>184</v>
      </c>
      <c r="K21" s="5" t="s">
        <v>216</v>
      </c>
      <c r="O21" s="202"/>
      <c r="P21" s="202"/>
      <c r="Q21" s="202"/>
      <c r="R21" s="121">
        <f xml:space="preserve"> '3.4 Tidsdifferentieret tarif'!R337</f>
        <v>0</v>
      </c>
      <c r="S21" s="121">
        <f xml:space="preserve"> '3.4 Tidsdifferentieret tarif'!S337</f>
        <v>0</v>
      </c>
      <c r="T21" s="121">
        <f xml:space="preserve"> '3.4 Tidsdifferentieret tarif'!T337</f>
        <v>0</v>
      </c>
      <c r="U21" s="121">
        <f xml:space="preserve"> '3.4 Tidsdifferentieret tarif'!U337</f>
        <v>0</v>
      </c>
      <c r="V21" s="121">
        <f xml:space="preserve"> '3.4 Tidsdifferentieret tarif'!V337</f>
        <v>0</v>
      </c>
    </row>
    <row r="22" spans="4:22" ht="15" customHeight="1">
      <c r="D22" s="27" t="s">
        <v>185</v>
      </c>
      <c r="E22" s="27"/>
      <c r="F22" s="27"/>
      <c r="G22" s="27"/>
      <c r="H22" s="27"/>
      <c r="I22" s="27"/>
      <c r="J22" s="27"/>
      <c r="K22" s="32" t="s">
        <v>216</v>
      </c>
      <c r="L22" s="27"/>
      <c r="M22" s="27"/>
      <c r="N22" s="27"/>
      <c r="O22" s="269"/>
      <c r="P22" s="269"/>
      <c r="Q22" s="269"/>
      <c r="R22" s="131">
        <f xml:space="preserve"> '3.4 Tidsdifferentieret tarif'!R338</f>
        <v>0</v>
      </c>
      <c r="S22" s="131">
        <f xml:space="preserve"> '3.4 Tidsdifferentieret tarif'!S338</f>
        <v>0</v>
      </c>
      <c r="T22" s="131">
        <f xml:space="preserve"> '3.4 Tidsdifferentieret tarif'!T338</f>
        <v>0</v>
      </c>
      <c r="U22" s="131">
        <f xml:space="preserve"> '3.4 Tidsdifferentieret tarif'!U338</f>
        <v>0</v>
      </c>
      <c r="V22" s="131">
        <f xml:space="preserve"> '3.4 Tidsdifferentieret tarif'!V338</f>
        <v>0</v>
      </c>
    </row>
    <row r="23" spans="4:22" ht="15" customHeight="1">
      <c r="D23" s="1"/>
    </row>
    <row r="24" spans="4:22" ht="15" customHeight="1">
      <c r="D24" s="4" t="s">
        <v>585</v>
      </c>
    </row>
    <row r="25" spans="4:22" ht="15" customHeight="1">
      <c r="D25" s="33" t="s">
        <v>617</v>
      </c>
      <c r="E25" s="33"/>
      <c r="F25" s="33"/>
      <c r="G25" s="33"/>
      <c r="H25" s="33"/>
      <c r="I25" s="33"/>
      <c r="J25" s="33"/>
      <c r="K25" s="34" t="s">
        <v>216</v>
      </c>
      <c r="L25" s="33"/>
      <c r="M25" s="33"/>
      <c r="N25" s="33"/>
      <c r="O25" s="183">
        <f>'3.5 Indfødningstarif'!O796</f>
        <v>0</v>
      </c>
      <c r="P25" s="183">
        <f>'3.5 Indfødningstarif'!P796</f>
        <v>0</v>
      </c>
      <c r="Q25" s="271"/>
      <c r="R25" s="183">
        <f>'3.5 Indfødningstarif'!R796</f>
        <v>0</v>
      </c>
      <c r="S25" s="183">
        <f>'3.5 Indfødningstarif'!S796</f>
        <v>0</v>
      </c>
      <c r="T25" s="183">
        <f>'3.5 Indfødningstarif'!T796</f>
        <v>0</v>
      </c>
      <c r="U25" s="183">
        <f>'3.5 Indfødningstarif'!U796</f>
        <v>0</v>
      </c>
      <c r="V25" s="183">
        <f>'3.5 Indfødningstarif'!V796</f>
        <v>0</v>
      </c>
    </row>
    <row r="26" spans="4:22" ht="15" customHeight="1">
      <c r="D26" s="1"/>
    </row>
    <row r="27" spans="4:22" ht="15" customHeight="1">
      <c r="D27" s="4" t="s">
        <v>308</v>
      </c>
    </row>
    <row r="28" spans="4:22" ht="15" customHeight="1">
      <c r="D28" s="15" t="s">
        <v>221</v>
      </c>
      <c r="E28" s="15"/>
      <c r="F28" s="15"/>
      <c r="G28" s="15"/>
      <c r="H28" s="15"/>
      <c r="I28" s="15"/>
      <c r="J28" s="15"/>
      <c r="K28" s="19" t="s">
        <v>216</v>
      </c>
      <c r="L28" s="15"/>
      <c r="M28" s="15"/>
      <c r="N28" s="15"/>
      <c r="O28" s="274"/>
      <c r="P28" s="274"/>
      <c r="Q28" s="274"/>
      <c r="R28" s="150">
        <f xml:space="preserve"> '3.3 Forbrugstariffer og effekt'!R979</f>
        <v>0</v>
      </c>
      <c r="S28" s="150">
        <f xml:space="preserve"> '3.3 Forbrugstariffer og effekt'!S979</f>
        <v>0</v>
      </c>
      <c r="T28" s="150">
        <f xml:space="preserve"> '3.3 Forbrugstariffer og effekt'!T979</f>
        <v>0</v>
      </c>
      <c r="U28" s="150">
        <f xml:space="preserve"> '3.3 Forbrugstariffer og effekt'!U979</f>
        <v>0</v>
      </c>
      <c r="V28" s="150">
        <f xml:space="preserve"> '3.3 Forbrugstariffer og effekt'!V979</f>
        <v>0</v>
      </c>
    </row>
    <row r="29" spans="4:22" ht="15" customHeight="1">
      <c r="D29" s="27" t="s">
        <v>222</v>
      </c>
      <c r="E29" s="27"/>
      <c r="F29" s="27"/>
      <c r="G29" s="27"/>
      <c r="H29" s="27"/>
      <c r="I29" s="27"/>
      <c r="J29" s="27"/>
      <c r="K29" s="32" t="s">
        <v>134</v>
      </c>
      <c r="L29" s="27"/>
      <c r="M29" s="27"/>
      <c r="N29" s="27"/>
      <c r="O29" s="269"/>
      <c r="P29" s="269"/>
      <c r="Q29" s="269"/>
      <c r="R29" s="131">
        <f xml:space="preserve"> '2.2 Generelle input'!R15</f>
        <v>65</v>
      </c>
      <c r="S29" s="131">
        <f xml:space="preserve"> '2.2 Generelle input'!S15</f>
        <v>65</v>
      </c>
      <c r="T29" s="131">
        <f xml:space="preserve"> '2.2 Generelle input'!T15</f>
        <v>65</v>
      </c>
      <c r="U29" s="131">
        <f xml:space="preserve"> '2.2 Generelle input'!U15</f>
        <v>65</v>
      </c>
      <c r="V29" s="131">
        <f xml:space="preserve"> '2.2 Generelle input'!V15</f>
        <v>65</v>
      </c>
    </row>
    <row r="30" spans="4:22" ht="15" customHeight="1">
      <c r="D30" s="1"/>
      <c r="R30" s="121"/>
      <c r="S30" s="121"/>
      <c r="T30" s="121"/>
      <c r="U30" s="121"/>
      <c r="V30" s="121"/>
    </row>
    <row r="31" spans="4:22" ht="15" customHeight="1">
      <c r="D31" s="4" t="s">
        <v>217</v>
      </c>
    </row>
    <row r="32" spans="4:22" ht="15" customHeight="1">
      <c r="D32" s="33" t="s">
        <v>219</v>
      </c>
      <c r="E32" s="33"/>
      <c r="F32" s="33"/>
      <c r="G32" s="33"/>
      <c r="H32" s="33"/>
      <c r="I32" s="33"/>
      <c r="J32" s="33"/>
      <c r="K32" s="34" t="s">
        <v>134</v>
      </c>
      <c r="L32" s="33"/>
      <c r="M32" s="33"/>
      <c r="N32" s="33"/>
      <c r="O32" s="271"/>
      <c r="P32" s="271"/>
      <c r="Q32" s="271"/>
      <c r="R32" s="183">
        <f xml:space="preserve"> '3.3 Forbrugstariffer og effekt'!R795</f>
        <v>0</v>
      </c>
      <c r="S32" s="183">
        <f xml:space="preserve"> '3.3 Forbrugstariffer og effekt'!S795</f>
        <v>0</v>
      </c>
      <c r="T32" s="183">
        <f xml:space="preserve"> '3.3 Forbrugstariffer og effekt'!T795</f>
        <v>0</v>
      </c>
      <c r="U32" s="183">
        <f xml:space="preserve"> '3.3 Forbrugstariffer og effekt'!U795</f>
        <v>0</v>
      </c>
      <c r="V32" s="183">
        <f xml:space="preserve"> '3.3 Forbrugstariffer og effekt'!V795</f>
        <v>0</v>
      </c>
    </row>
    <row r="34" spans="3:22" s="20" customFormat="1" ht="15" customHeight="1">
      <c r="C34" s="2"/>
      <c r="D34" s="2" t="s">
        <v>550</v>
      </c>
      <c r="K34" s="54"/>
      <c r="R34" s="461"/>
      <c r="S34" s="461"/>
      <c r="T34" s="461"/>
      <c r="U34" s="461"/>
      <c r="V34" s="461"/>
    </row>
    <row r="35" spans="3:22" s="20" customFormat="1" ht="15" customHeight="1">
      <c r="C35" s="2"/>
      <c r="D35" s="45" t="s">
        <v>522</v>
      </c>
      <c r="E35" s="45"/>
      <c r="F35" s="45"/>
      <c r="G35" s="45"/>
      <c r="H35" s="45"/>
      <c r="I35" s="45"/>
      <c r="J35" s="45"/>
      <c r="K35" s="462" t="s">
        <v>216</v>
      </c>
      <c r="L35" s="45"/>
      <c r="M35" s="45"/>
      <c r="N35" s="45"/>
      <c r="O35" s="463"/>
      <c r="P35" s="463"/>
      <c r="Q35" s="463"/>
      <c r="R35" s="464">
        <f xml:space="preserve"> '3.3 Forbrugstariffer og effekt'!R978</f>
        <v>0</v>
      </c>
      <c r="S35" s="464">
        <f xml:space="preserve"> '3.3 Forbrugstariffer og effekt'!S978</f>
        <v>0</v>
      </c>
      <c r="T35" s="464">
        <f xml:space="preserve"> '3.3 Forbrugstariffer og effekt'!T978</f>
        <v>0</v>
      </c>
      <c r="U35" s="464">
        <f xml:space="preserve"> '3.3 Forbrugstariffer og effekt'!U978</f>
        <v>0</v>
      </c>
      <c r="V35" s="464">
        <f xml:space="preserve"> '3.3 Forbrugstariffer og effekt'!V978</f>
        <v>0</v>
      </c>
    </row>
    <row r="36" spans="3:22" s="20" customFormat="1" ht="15" customHeight="1">
      <c r="C36" s="2"/>
      <c r="D36" s="44" t="s">
        <v>521</v>
      </c>
      <c r="E36" s="44"/>
      <c r="F36" s="44"/>
      <c r="G36" s="44"/>
      <c r="H36" s="44"/>
      <c r="I36" s="44"/>
      <c r="J36" s="44"/>
      <c r="K36" s="465" t="s">
        <v>216</v>
      </c>
      <c r="L36" s="44"/>
      <c r="M36" s="44"/>
      <c r="N36" s="44"/>
      <c r="O36" s="466"/>
      <c r="P36" s="466"/>
      <c r="Q36" s="466"/>
      <c r="R36" s="467">
        <f xml:space="preserve"> IF('3.3 Forbrugstariffer og effekt'!R849 = 0, 0, SUM( '1.1 Provenu'!R21:R23,  '1.1 Provenu'!R30 ) * tDKKtiløre / '3.3 Forbrugstariffer og effekt'!R849 )</f>
        <v>0</v>
      </c>
      <c r="S36" s="467">
        <f xml:space="preserve"> IF('3.3 Forbrugstariffer og effekt'!S849 = 0, 0, SUM( '1.1 Provenu'!S21:S23,  '1.1 Provenu'!S30 ) * tDKKtiløre / '3.3 Forbrugstariffer og effekt'!S849 )</f>
        <v>0</v>
      </c>
      <c r="T36" s="467">
        <f xml:space="preserve"> IF('3.3 Forbrugstariffer og effekt'!T849 = 0, 0, SUM( '1.1 Provenu'!T21:T23,  '1.1 Provenu'!T30 ) * tDKKtiløre / '3.3 Forbrugstariffer og effekt'!T849 )</f>
        <v>0</v>
      </c>
      <c r="U36" s="467">
        <f xml:space="preserve"> IF('3.3 Forbrugstariffer og effekt'!U849 = 0, 0, SUM( '1.1 Provenu'!U21:U23,  '1.1 Provenu'!U30 ) * tDKKtiløre / '3.3 Forbrugstariffer og effekt'!U849 )</f>
        <v>0</v>
      </c>
      <c r="V36" s="467">
        <f xml:space="preserve"> IF('3.3 Forbrugstariffer og effekt'!V849 = 0, 0, SUM( '1.1 Provenu'!V21:V23,  '1.1 Provenu'!V30 ) * tDKKtiløre / '3.3 Forbrugstariffer og effekt'!V849 )</f>
        <v>0</v>
      </c>
    </row>
    <row r="38" spans="3:22" ht="15" customHeight="1">
      <c r="D38" s="4" t="s">
        <v>39</v>
      </c>
    </row>
    <row r="39" spans="3:22" ht="15" customHeight="1">
      <c r="D39" s="123" t="s">
        <v>263</v>
      </c>
      <c r="E39" s="15"/>
      <c r="F39" s="15"/>
      <c r="G39" s="15"/>
      <c r="H39" s="15"/>
      <c r="I39" s="15"/>
      <c r="J39" s="15"/>
      <c r="K39" s="19" t="s">
        <v>218</v>
      </c>
      <c r="L39" s="15"/>
      <c r="M39" s="15"/>
      <c r="N39" s="15"/>
      <c r="O39" s="274"/>
      <c r="P39" s="274"/>
      <c r="Q39" s="15">
        <f xml:space="preserve"> '3.2 Abonnement'!R152</f>
        <v>0</v>
      </c>
      <c r="R39" s="15">
        <f xml:space="preserve"> '3.2 Abonnement'!R152</f>
        <v>0</v>
      </c>
      <c r="S39" s="15">
        <f xml:space="preserve"> '3.2 Abonnement'!S152</f>
        <v>0</v>
      </c>
      <c r="T39" s="15">
        <f xml:space="preserve"> '3.2 Abonnement'!T152</f>
        <v>0</v>
      </c>
      <c r="U39" s="15">
        <f xml:space="preserve"> '3.2 Abonnement'!U152</f>
        <v>0</v>
      </c>
      <c r="V39" s="15">
        <f xml:space="preserve"> '3.2 Abonnement'!V152</f>
        <v>0</v>
      </c>
    </row>
    <row r="40" spans="3:22" ht="15" customHeight="1">
      <c r="D40" s="85" t="s">
        <v>264</v>
      </c>
      <c r="K40" s="5" t="s">
        <v>218</v>
      </c>
      <c r="O40" s="202"/>
      <c r="P40" s="202"/>
      <c r="Q40" s="1">
        <f xml:space="preserve"> '3.2 Abonnement'!R153</f>
        <v>0</v>
      </c>
      <c r="R40" s="1">
        <f xml:space="preserve"> '3.2 Abonnement'!R153</f>
        <v>0</v>
      </c>
      <c r="S40" s="1">
        <f xml:space="preserve"> '3.2 Abonnement'!S153</f>
        <v>0</v>
      </c>
      <c r="T40" s="1">
        <f xml:space="preserve"> '3.2 Abonnement'!T153</f>
        <v>0</v>
      </c>
      <c r="U40" s="1">
        <f xml:space="preserve"> '3.2 Abonnement'!U153</f>
        <v>0</v>
      </c>
      <c r="V40" s="1">
        <f xml:space="preserve"> '3.2 Abonnement'!V153</f>
        <v>0</v>
      </c>
    </row>
    <row r="41" spans="3:22" ht="15" customHeight="1">
      <c r="D41" s="85" t="s">
        <v>243</v>
      </c>
      <c r="K41" s="5" t="s">
        <v>218</v>
      </c>
      <c r="O41" s="202"/>
      <c r="P41" s="202"/>
      <c r="Q41" s="1">
        <f xml:space="preserve"> '3.2 Abonnement'!R154</f>
        <v>0</v>
      </c>
      <c r="R41" s="1">
        <f xml:space="preserve"> '3.2 Abonnement'!R154</f>
        <v>0</v>
      </c>
      <c r="S41" s="1">
        <f xml:space="preserve"> '3.2 Abonnement'!S154</f>
        <v>0</v>
      </c>
      <c r="T41" s="1">
        <f xml:space="preserve"> '3.2 Abonnement'!T154</f>
        <v>0</v>
      </c>
      <c r="U41" s="1">
        <f xml:space="preserve"> '3.2 Abonnement'!U154</f>
        <v>0</v>
      </c>
      <c r="V41" s="1">
        <f xml:space="preserve"> '3.2 Abonnement'!V154</f>
        <v>0</v>
      </c>
    </row>
    <row r="42" spans="3:22" ht="15" customHeight="1">
      <c r="D42" s="99" t="s">
        <v>223</v>
      </c>
      <c r="E42" s="27"/>
      <c r="F42" s="27"/>
      <c r="G42" s="27"/>
      <c r="H42" s="27"/>
      <c r="I42" s="27"/>
      <c r="J42" s="27"/>
      <c r="K42" s="32" t="s">
        <v>218</v>
      </c>
      <c r="L42" s="27"/>
      <c r="M42" s="27"/>
      <c r="N42" s="27"/>
      <c r="O42" s="269"/>
      <c r="P42" s="269"/>
      <c r="Q42" s="27">
        <f xml:space="preserve"> '3.2 Abonnement'!R155</f>
        <v>0</v>
      </c>
      <c r="R42" s="27">
        <f xml:space="preserve"> '3.2 Abonnement'!R155</f>
        <v>0</v>
      </c>
      <c r="S42" s="27">
        <f xml:space="preserve"> '3.2 Abonnement'!S155</f>
        <v>0</v>
      </c>
      <c r="T42" s="27">
        <f xml:space="preserve"> '3.2 Abonnement'!T155</f>
        <v>0</v>
      </c>
      <c r="U42" s="27">
        <f xml:space="preserve"> '3.2 Abonnement'!U155</f>
        <v>0</v>
      </c>
      <c r="V42" s="27">
        <f xml:space="preserve"> '3.2 Abonnement'!V155</f>
        <v>0</v>
      </c>
    </row>
    <row r="43" spans="3:22" ht="15" customHeight="1">
      <c r="C43" s="85"/>
      <c r="D43" s="653" t="s">
        <v>684</v>
      </c>
    </row>
    <row r="44" spans="3:22" s="20" customFormat="1" ht="15" customHeight="1">
      <c r="C44" s="2"/>
      <c r="D44" s="85"/>
      <c r="E44" s="1"/>
      <c r="F44" s="1"/>
      <c r="G44" s="1"/>
      <c r="H44" s="1"/>
      <c r="I44" s="1"/>
      <c r="J44" s="1"/>
      <c r="K44" s="5"/>
      <c r="L44" s="1"/>
      <c r="M44" s="1"/>
      <c r="N44" s="1"/>
      <c r="O44" s="1"/>
      <c r="P44" s="1"/>
      <c r="Q44" s="1"/>
      <c r="R44" s="1"/>
      <c r="S44" s="1"/>
      <c r="T44" s="1"/>
      <c r="U44" s="1"/>
      <c r="V44" s="1"/>
    </row>
    <row r="45" spans="3:22" s="20" customFormat="1" ht="15" customHeight="1">
      <c r="C45" s="2"/>
      <c r="D45" s="85"/>
      <c r="E45" s="1"/>
      <c r="F45" s="1"/>
      <c r="G45" s="1"/>
      <c r="H45" s="1"/>
      <c r="I45" s="1"/>
      <c r="J45" s="1"/>
      <c r="K45" s="5"/>
      <c r="L45" s="1"/>
      <c r="M45" s="1"/>
      <c r="N45" s="1"/>
      <c r="O45" s="1"/>
      <c r="P45" s="1"/>
      <c r="Q45" s="1"/>
      <c r="R45" s="1"/>
      <c r="S45" s="1"/>
      <c r="T45" s="1"/>
      <c r="U45" s="1"/>
      <c r="V45" s="1"/>
    </row>
    <row r="46" spans="3:22" ht="15" customHeight="1">
      <c r="D46" s="85"/>
    </row>
    <row r="47" spans="3:22" ht="15" customHeight="1">
      <c r="D47" s="85"/>
    </row>
    <row r="48" spans="3:22" ht="15" customHeight="1">
      <c r="D48" s="85"/>
    </row>
    <row r="52" spans="2:11" s="475" customFormat="1" ht="15" customHeight="1">
      <c r="B52" s="479" t="s">
        <v>104</v>
      </c>
      <c r="C52" s="477"/>
      <c r="D52" s="478"/>
      <c r="K52" s="472"/>
    </row>
  </sheetData>
  <sheetProtection sheet="1" objects="1" scenarios="1"/>
  <conditionalFormatting sqref="I4:I5">
    <cfRule type="cellIs" dxfId="811" priority="20" operator="between">
      <formula>-ErrorTolerance</formula>
      <formula>ErrorTolerance</formula>
    </cfRule>
  </conditionalFormatting>
  <conditionalFormatting sqref="J2:Q3 B2:E3">
    <cfRule type="expression" dxfId="810" priority="21">
      <formula>$I$4&lt;ErrorTolerance</formula>
    </cfRule>
  </conditionalFormatting>
  <conditionalFormatting sqref="B3">
    <cfRule type="expression" dxfId="809" priority="83">
      <formula>$I$5&gt;=ErrorTolerance</formula>
    </cfRule>
  </conditionalFormatting>
  <conditionalFormatting sqref="R20:V22">
    <cfRule type="expression" dxfId="808" priority="17">
      <formula>R20 = R15</formula>
    </cfRule>
  </conditionalFormatting>
  <conditionalFormatting sqref="I6">
    <cfRule type="cellIs" dxfId="807" priority="16" operator="between">
      <formula>-ErrorTolerance</formula>
      <formula>ErrorTolerance</formula>
    </cfRule>
  </conditionalFormatting>
  <conditionalFormatting sqref="I7">
    <cfRule type="cellIs" dxfId="806" priority="15" operator="between">
      <formula>-ErrorTolerance</formula>
      <formula>ErrorTolerance</formula>
    </cfRule>
  </conditionalFormatting>
  <conditionalFormatting sqref="H2">
    <cfRule type="expression" dxfId="805" priority="8">
      <formula>Model.Navigation.View=No</formula>
    </cfRule>
  </conditionalFormatting>
  <conditionalFormatting sqref="H2">
    <cfRule type="expression" dxfId="804" priority="7">
      <formula>Model.Navigation.View=No</formula>
    </cfRule>
  </conditionalFormatting>
  <conditionalFormatting sqref="F2">
    <cfRule type="expression" dxfId="803" priority="6">
      <formula>Model.Navigation.View=No</formula>
    </cfRule>
  </conditionalFormatting>
  <conditionalFormatting sqref="F2">
    <cfRule type="expression" dxfId="802" priority="5">
      <formula>Model.Navigation.View=No</formula>
    </cfRule>
  </conditionalFormatting>
  <conditionalFormatting sqref="I2">
    <cfRule type="expression" dxfId="801" priority="4">
      <formula>Model.Navigation.View=No</formula>
    </cfRule>
  </conditionalFormatting>
  <conditionalFormatting sqref="I2">
    <cfRule type="expression" dxfId="800" priority="3">
      <formula>Model.Navigation.View=No</formula>
    </cfRule>
  </conditionalFormatting>
  <conditionalFormatting sqref="G2">
    <cfRule type="expression" dxfId="799" priority="2">
      <formula>Model.Navigation.View=No</formula>
    </cfRule>
  </conditionalFormatting>
  <conditionalFormatting sqref="G2">
    <cfRule type="expression" dxfId="798" priority="1">
      <formula>Model.Navigation.View=No</formula>
    </cfRule>
  </conditionalFormatting>
  <hyperlinks>
    <hyperlink ref="G2" location="'1.2 Tarifoversigt'!B11" tooltip="Gå til toppen af arket" display="'1.2 Tarifoversigt'!B11" xr:uid="{9D668CBB-53FA-4D03-9230-FD73BB2C99B5}"/>
    <hyperlink ref="H2" location="'2.3 Selskabsspecifikke input'!B2" tooltip="Gå til selskabsspecifikke input" display="'2.3 Selskabsspecifikke input'!B2" xr:uid="{8767B749-DFEA-40C0-AAB1-D1D60970657D}"/>
    <hyperlink ref="F2" location="Modeloverblik!B2" tooltip="Gå til modelbeskrivelse" display="Modeloverblik!B2" xr:uid="{2380EDDD-D15F-4DA5-B15F-64A92945D2EF}"/>
    <hyperlink ref="I2" location="'4.1 Fejl- og kontroloversigt'!B2" tooltip="Gå til fejl- og kontrolchecks" display="'4.1 Fejl- og kontroloversigt'!B2" xr:uid="{70400EC2-660F-4767-B97E-4493A57E76B9}"/>
  </hyperlinks>
  <pageMargins left="0.70866141732283472" right="0.70866141732283472" top="0.74803149606299213" bottom="0.74803149606299213" header="0.31496062992125984" footer="0.31496062992125984"/>
  <pageSetup paperSize="9" scale="39" fitToHeight="0" orientation="landscape" r:id="rId1"/>
  <headerFooter scaleWithDoc="0">
    <oddHeader>&amp;L&amp;"Arial,Bold"&amp;8Green Power Denmark | Regnearksmodel - Tarifmodel 3.0 og producentbetaling</oddHeader>
    <oddFooter>&amp;LArk: &amp;A&amp;RSide &amp;P af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FB5C2-0B08-40F3-BAA5-4C41CE455411}">
  <sheetPr codeName="Sheet31">
    <tabColor rgb="FF307675"/>
    <outlinePr summaryBelow="0"/>
  </sheetPr>
  <dimension ref="A1:BV103"/>
  <sheetViews>
    <sheetView showGridLines="0" zoomScale="85" zoomScaleNormal="85" workbookViewId="0">
      <pane xSplit="14" ySplit="10" topLeftCell="O11" activePane="bottomRight" state="frozen"/>
      <selection pane="topRight" activeCell="O1" sqref="O1"/>
      <selection pane="bottomLeft" activeCell="A11" sqref="A11"/>
      <selection pane="bottomRight"/>
    </sheetView>
  </sheetViews>
  <sheetFormatPr defaultColWidth="0" defaultRowHeight="15" customHeight="1"/>
  <cols>
    <col min="1" max="1" width="1.33203125" style="1" customWidth="1"/>
    <col min="2" max="2" width="4.1640625" style="1" customWidth="1"/>
    <col min="3" max="3" width="4.1640625" style="2" customWidth="1"/>
    <col min="4" max="4" width="4.1640625" style="3" customWidth="1"/>
    <col min="5" max="5" width="49.33203125" style="1" customWidth="1"/>
    <col min="6" max="8" width="5.6640625" style="1" customWidth="1"/>
    <col min="9" max="9" width="6.33203125" style="1" customWidth="1"/>
    <col min="10" max="10" width="5.6640625" style="1" customWidth="1"/>
    <col min="11" max="11" width="17" style="5" customWidth="1"/>
    <col min="12" max="13" width="9.6640625" style="1" customWidth="1"/>
    <col min="14" max="14" width="17" style="1" customWidth="1"/>
    <col min="15" max="22" width="18.6640625" style="1" customWidth="1"/>
    <col min="23" max="23" width="8.83203125" style="1" customWidth="1"/>
    <col min="24" max="31" width="18.6640625" style="1" customWidth="1"/>
    <col min="32" max="32" width="8.83203125" style="1" customWidth="1"/>
    <col min="33" max="40" width="18.6640625" style="1" customWidth="1"/>
    <col min="41" max="41" width="8.83203125" style="1" customWidth="1"/>
    <col min="42" max="74" width="16.6640625" style="1" hidden="1" customWidth="1"/>
    <col min="75" max="16384" width="9.1640625" style="1" hidden="1"/>
  </cols>
  <sheetData>
    <row r="1" spans="2:41" ht="4.9000000000000004" customHeight="1"/>
    <row r="2" spans="2:41" ht="19.899999999999999" customHeight="1">
      <c r="B2" s="6" t="str">
        <f ca="1" xml:space="preserve"> MID( CELL("filename", B2), FIND("]", CELL("filename",B2) ) + 1, Model.MaxChars)</f>
        <v>1.3 Varslingsanalyse</v>
      </c>
      <c r="C2" s="7"/>
      <c r="D2" s="8"/>
      <c r="E2" s="9"/>
      <c r="F2" s="12" t="str">
        <f xml:space="preserve"> Header.Details</f>
        <v>&amp;</v>
      </c>
      <c r="G2" s="12" t="str">
        <f xml:space="preserve"> Header.Details</f>
        <v>é</v>
      </c>
      <c r="H2" s="12" t="str">
        <f xml:space="preserve"> Header.Details</f>
        <v>¤</v>
      </c>
      <c r="I2" s="12" t="str">
        <f xml:space="preserve"> Header.Details</f>
        <v></v>
      </c>
      <c r="J2" s="22"/>
      <c r="K2" s="23"/>
      <c r="L2" s="22"/>
      <c r="M2" s="22"/>
      <c r="N2" s="22"/>
      <c r="O2" s="22"/>
      <c r="P2" s="22"/>
      <c r="Q2" s="22"/>
    </row>
    <row r="3" spans="2:41" ht="15" customHeight="1">
      <c r="B3" s="10" t="str">
        <f xml:space="preserve"> Header.Details</f>
        <v xml:space="preserve">Tarifmodel 3.0 og producentbetaling (V2) </v>
      </c>
      <c r="C3" s="7"/>
      <c r="D3" s="8"/>
      <c r="E3" s="9"/>
      <c r="F3" s="82" t="s">
        <v>2</v>
      </c>
      <c r="G3" s="16"/>
      <c r="H3" s="17"/>
      <c r="I3" s="83"/>
      <c r="J3" s="22"/>
      <c r="K3" s="24"/>
      <c r="L3" s="22"/>
      <c r="M3" s="22"/>
      <c r="N3" s="22"/>
      <c r="O3" s="22"/>
      <c r="P3" s="22"/>
      <c r="Q3" s="22"/>
    </row>
    <row r="4" spans="2:41" ht="15" customHeight="1">
      <c r="F4" s="74" t="s">
        <v>274</v>
      </c>
      <c r="G4" s="2"/>
      <c r="I4" s="25">
        <f xml:space="preserve"> SUM(L:L)</f>
        <v>0</v>
      </c>
    </row>
    <row r="5" spans="2:41" ht="15" customHeight="1">
      <c r="F5" s="74" t="s">
        <v>275</v>
      </c>
      <c r="G5" s="2"/>
      <c r="I5" s="84">
        <f xml:space="preserve"> SUM(M:M)</f>
        <v>0</v>
      </c>
    </row>
    <row r="6" spans="2:41" ht="15" customHeight="1">
      <c r="F6" s="74" t="s">
        <v>276</v>
      </c>
      <c r="G6" s="2"/>
      <c r="I6" s="25">
        <f xml:space="preserve"> SUM( L:L ) + SUM( '1.1 Provenu'!L:L ) + SUM( '1.2 Tarifoversigt'!L:L) + SUM( '1.4 Hoveddata'!L:L) + SUM('2.1 Model setup'!L:L ) + SUM('2.2 Generelle input'!L:L ) + SUM( '2.3 Selskabsspecifikke input'!L:L) + SUM( '3.1 Opsplitning af forbrug'!L:L) + SUM( '3.2 Abonnement'!L:L) + SUM( '3.3 Forbrugstariffer og effekt'!L:L) + SUM( '3.4 Tidsdifferentieret tarif'!L:L) + SUM('3.5 Indfødningstarif'!L:L)+ SUM( 'Hjælpeark, forbrugsnøgler'!L:L) + SUM( 'Hjælpeark, fall-back-metoden'!L:L )</f>
        <v>0</v>
      </c>
    </row>
    <row r="7" spans="2:41" ht="15" customHeight="1">
      <c r="F7" s="75" t="s">
        <v>236</v>
      </c>
      <c r="G7" s="26"/>
      <c r="H7" s="27"/>
      <c r="I7" s="329">
        <f xml:space="preserve"> COUNTIF( O17:V39, "&gt;10%" )</f>
        <v>0</v>
      </c>
    </row>
    <row r="8" spans="2:41" ht="15" customHeight="1">
      <c r="L8" s="484" t="str">
        <f xml:space="preserve"> Header.Labels</f>
        <v>Checks</v>
      </c>
      <c r="M8" s="488"/>
    </row>
    <row r="9" spans="2:41" ht="5.0999999999999996" customHeight="1">
      <c r="E9" s="14"/>
      <c r="F9" s="28"/>
      <c r="G9" s="28"/>
      <c r="H9" s="28"/>
      <c r="I9" s="28"/>
      <c r="J9" s="28"/>
      <c r="L9" s="485"/>
      <c r="M9" s="473"/>
      <c r="N9" s="28"/>
      <c r="O9" s="28"/>
      <c r="P9" s="28"/>
      <c r="Q9" s="28"/>
    </row>
    <row r="10" spans="2:41" s="475" customFormat="1" ht="15" customHeight="1">
      <c r="B10" s="479" t="str">
        <f xml:space="preserve"> Header.Labels</f>
        <v>Sektion</v>
      </c>
      <c r="C10" s="477"/>
      <c r="D10" s="478"/>
      <c r="E10" s="476"/>
      <c r="F10" s="487"/>
      <c r="G10" s="472"/>
      <c r="H10" s="472"/>
      <c r="I10" s="472"/>
      <c r="J10" s="472"/>
      <c r="K10" s="474" t="str">
        <f xml:space="preserve"> Header.Labels</f>
        <v>Enhed</v>
      </c>
      <c r="L10" s="474" t="s">
        <v>99</v>
      </c>
      <c r="M10" s="474" t="str">
        <f xml:space="preserve"> Header.Labels</f>
        <v>Kontrol</v>
      </c>
      <c r="N10" s="472" t="str">
        <f xml:space="preserve"> Header.Labels</f>
        <v>Konstanter</v>
      </c>
      <c r="O10" s="472" t="str">
        <f>'2.1 Model setup'!O10</f>
        <v>A-høj+</v>
      </c>
      <c r="P10" s="472" t="str">
        <f>'2.1 Model setup'!P10</f>
        <v>A-høj+,maske</v>
      </c>
      <c r="Q10" s="472" t="str">
        <f>'2.1 Model setup'!Q10</f>
        <v>A0</v>
      </c>
      <c r="R10" s="472" t="str">
        <f>'2.1 Model setup'!R10</f>
        <v>A-høj</v>
      </c>
      <c r="S10" s="472" t="str">
        <f>'2.1 Model setup'!S10</f>
        <v>A-lav</v>
      </c>
      <c r="T10" s="472" t="str">
        <f>'2.1 Model setup'!T10</f>
        <v>B-høj</v>
      </c>
      <c r="U10" s="472" t="str">
        <f>'2.1 Model setup'!U10</f>
        <v>B-lav</v>
      </c>
      <c r="V10" s="472" t="str">
        <f>'2.1 Model setup'!V10</f>
        <v>C</v>
      </c>
      <c r="X10" s="472" t="str">
        <f t="shared" ref="X10:AE10" si="0" xml:space="preserve"> O10</f>
        <v>A-høj+</v>
      </c>
      <c r="Y10" s="472" t="str">
        <f t="shared" si="0"/>
        <v>A-høj+,maske</v>
      </c>
      <c r="Z10" s="472" t="str">
        <f t="shared" si="0"/>
        <v>A0</v>
      </c>
      <c r="AA10" s="472" t="str">
        <f t="shared" si="0"/>
        <v>A-høj</v>
      </c>
      <c r="AB10" s="472" t="str">
        <f t="shared" si="0"/>
        <v>A-lav</v>
      </c>
      <c r="AC10" s="472" t="str">
        <f t="shared" si="0"/>
        <v>B-høj</v>
      </c>
      <c r="AD10" s="472" t="str">
        <f t="shared" si="0"/>
        <v>B-lav</v>
      </c>
      <c r="AE10" s="472" t="str">
        <f t="shared" si="0"/>
        <v>C</v>
      </c>
      <c r="AF10" s="472"/>
      <c r="AG10" s="472" t="str">
        <f xml:space="preserve"> O10</f>
        <v>A-høj+</v>
      </c>
      <c r="AH10" s="472" t="str">
        <f xml:space="preserve"> P10</f>
        <v>A-høj+,maske</v>
      </c>
      <c r="AI10" s="472" t="str">
        <f t="shared" ref="AI10:AN10" si="1" xml:space="preserve"> Q10</f>
        <v>A0</v>
      </c>
      <c r="AJ10" s="472" t="str">
        <f t="shared" si="1"/>
        <v>A-høj</v>
      </c>
      <c r="AK10" s="472" t="str">
        <f t="shared" si="1"/>
        <v>A-lav</v>
      </c>
      <c r="AL10" s="472" t="str">
        <f t="shared" si="1"/>
        <v>B-høj</v>
      </c>
      <c r="AM10" s="472" t="str">
        <f t="shared" si="1"/>
        <v>B-lav</v>
      </c>
      <c r="AN10" s="472" t="str">
        <f t="shared" si="1"/>
        <v>C</v>
      </c>
      <c r="AO10" s="472"/>
    </row>
    <row r="11" spans="2:41" s="15" customFormat="1" ht="9" customHeight="1">
      <c r="C11" s="16"/>
      <c r="D11" s="17"/>
      <c r="F11" s="1"/>
      <c r="K11" s="19"/>
      <c r="W11" s="1"/>
      <c r="X11" s="1"/>
      <c r="Y11" s="1"/>
      <c r="Z11" s="1"/>
    </row>
    <row r="12" spans="2:41" ht="15" customHeight="1">
      <c r="D12" s="221"/>
      <c r="E12" s="222"/>
      <c r="F12" s="222"/>
      <c r="G12" s="222"/>
      <c r="H12" s="222"/>
      <c r="I12" s="222"/>
      <c r="J12" s="222"/>
      <c r="K12" s="223"/>
      <c r="L12" s="222"/>
      <c r="M12" s="222"/>
      <c r="N12" s="222"/>
      <c r="O12" s="655" t="s">
        <v>233</v>
      </c>
      <c r="P12" s="655"/>
      <c r="Q12" s="655"/>
      <c r="R12" s="655"/>
      <c r="S12" s="655"/>
      <c r="T12" s="655"/>
      <c r="U12" s="655"/>
      <c r="V12" s="655"/>
      <c r="X12" s="655" t="s">
        <v>231</v>
      </c>
      <c r="Y12" s="655"/>
      <c r="Z12" s="655"/>
      <c r="AA12" s="655"/>
      <c r="AB12" s="655"/>
      <c r="AC12" s="655"/>
      <c r="AD12" s="655"/>
      <c r="AE12" s="655"/>
      <c r="AG12" s="655" t="s">
        <v>232</v>
      </c>
      <c r="AH12" s="655"/>
      <c r="AI12" s="655"/>
      <c r="AJ12" s="655"/>
      <c r="AK12" s="655"/>
      <c r="AL12" s="655"/>
      <c r="AM12" s="655"/>
      <c r="AN12" s="655"/>
    </row>
    <row r="13" spans="2:41" ht="9.6" customHeight="1"/>
    <row r="14" spans="2:41" s="475" customFormat="1" ht="15" customHeight="1">
      <c r="B14" s="479" t="str">
        <f xml:space="preserve"> COUNTA(B$10:B11) &amp; ")  Oversigt over nye og gamle tariffer, effektpriser og abonnementspriser samt udvikling i procent"</f>
        <v>1)  Oversigt over nye og gamle tariffer, effektpriser og abonnementspriser samt udvikling i procent</v>
      </c>
      <c r="C14" s="477"/>
      <c r="D14" s="478"/>
      <c r="K14" s="472"/>
    </row>
    <row r="16" spans="2:41" ht="15" customHeight="1">
      <c r="D16" s="4" t="s">
        <v>273</v>
      </c>
    </row>
    <row r="17" spans="4:41" ht="15" customHeight="1">
      <c r="D17" s="15" t="s">
        <v>182</v>
      </c>
      <c r="E17" s="15"/>
      <c r="F17" s="15"/>
      <c r="G17" s="15"/>
      <c r="H17" s="15"/>
      <c r="I17" s="15"/>
      <c r="J17" s="15"/>
      <c r="K17" s="19" t="s">
        <v>216</v>
      </c>
      <c r="L17" s="123"/>
      <c r="M17" s="15"/>
      <c r="N17" s="15"/>
      <c r="O17" s="274"/>
      <c r="P17" s="274"/>
      <c r="Q17" s="274"/>
      <c r="R17" s="629">
        <f xml:space="preserve"> IF( '2.3 Selskabsspecifikke input'!$N$51 = 0, 0, IF( AND( AJ17 = 0, AA17 &gt; 0 ), "na.", IF( AND( AJ17 = 0, AA17 = 0 ), 0, ( AA17 - AJ17 ) / AJ17 ) ) )</f>
        <v>0</v>
      </c>
      <c r="S17" s="629">
        <f xml:space="preserve"> IF( '2.3 Selskabsspecifikke input'!$N$51 = 0, 0, IF( AND( AK17 = 0, AB17 &gt; 0 ), "na.", IF( AND( AK17 = 0, AB17 = 0 ), 0, ( AB17 - AK17 ) / AK17 ) ) )</f>
        <v>0</v>
      </c>
      <c r="T17" s="629">
        <f xml:space="preserve"> IF( '2.3 Selskabsspecifikke input'!$N$51 = 0, 0, IF( AND( AL17 = 0, AC17 &gt; 0 ), "na.", IF( AND( AL17 = 0, AC17 = 0 ), 0, ( AC17 - AL17 ) / AL17 ) ) )</f>
        <v>0</v>
      </c>
      <c r="U17" s="629">
        <f xml:space="preserve"> IF( '2.3 Selskabsspecifikke input'!$N$51 = 0, 0, IF( AND( AM17 = 0, AD17 &gt; 0 ), "na.", IF( AND( AM17 = 0, AD17 = 0 ), 0, ( AD17 - AM17 ) / AM17 ) ) )</f>
        <v>0</v>
      </c>
      <c r="V17" s="629">
        <f xml:space="preserve"> IF( '2.3 Selskabsspecifikke input'!$N$51 = 0, 0, IF( AND( AN17 = 0, AE17 &gt; 0 ), "na.", IF( AND( AN17 = 0, AE17 = 0 ), 0, ( AE17 - AN17 ) / AN17 ) ) )</f>
        <v>0</v>
      </c>
      <c r="X17" s="387"/>
      <c r="Y17" s="387"/>
      <c r="Z17" s="387"/>
      <c r="AA17" s="150">
        <f xml:space="preserve"> '1.2 Tarifoversigt'!R15</f>
        <v>0</v>
      </c>
      <c r="AB17" s="150">
        <f xml:space="preserve"> '1.2 Tarifoversigt'!S15</f>
        <v>0</v>
      </c>
      <c r="AC17" s="150">
        <f xml:space="preserve"> '1.2 Tarifoversigt'!T15</f>
        <v>0</v>
      </c>
      <c r="AD17" s="150">
        <f xml:space="preserve"> '1.2 Tarifoversigt'!U15</f>
        <v>0</v>
      </c>
      <c r="AE17" s="150">
        <f xml:space="preserve"> '1.2 Tarifoversigt'!V15</f>
        <v>0</v>
      </c>
      <c r="AG17" s="387"/>
      <c r="AH17" s="387"/>
      <c r="AI17" s="387"/>
      <c r="AJ17" s="150">
        <f xml:space="preserve"> '2.3 Selskabsspecifikke input'!R334</f>
        <v>0</v>
      </c>
      <c r="AK17" s="150">
        <f xml:space="preserve"> '2.3 Selskabsspecifikke input'!S334</f>
        <v>0</v>
      </c>
      <c r="AL17" s="150">
        <f xml:space="preserve"> '2.3 Selskabsspecifikke input'!T334</f>
        <v>0</v>
      </c>
      <c r="AM17" s="150">
        <f xml:space="preserve"> '2.3 Selskabsspecifikke input'!U334</f>
        <v>0</v>
      </c>
      <c r="AN17" s="150">
        <f xml:space="preserve"> '2.3 Selskabsspecifikke input'!V334</f>
        <v>0</v>
      </c>
    </row>
    <row r="18" spans="4:41" ht="15" customHeight="1">
      <c r="D18" s="1" t="s">
        <v>184</v>
      </c>
      <c r="K18" s="5" t="s">
        <v>216</v>
      </c>
      <c r="L18" s="85"/>
      <c r="O18" s="202"/>
      <c r="P18" s="202"/>
      <c r="Q18" s="202"/>
      <c r="R18" s="630">
        <f xml:space="preserve"> IF( '2.3 Selskabsspecifikke input'!$N$51 = 0, 0, IF( AND( AJ18 = 0, AA18 &gt; 0 ), "na.", IF( AND( AJ18 = 0, AA18 = 0 ), 0, ( AA18 - AJ18 ) / AJ18 ) ) )</f>
        <v>0</v>
      </c>
      <c r="S18" s="630">
        <f xml:space="preserve"> IF( '2.3 Selskabsspecifikke input'!$N$51 = 0, 0, IF( AND( AK18 = 0, AB18 &gt; 0 ), "na.", IF( AND( AK18 = 0, AB18 = 0 ), 0, ( AB18 - AK18 ) / AK18 ) ) )</f>
        <v>0</v>
      </c>
      <c r="T18" s="630">
        <f xml:space="preserve"> IF( '2.3 Selskabsspecifikke input'!$N$51 = 0, 0, IF( AND( AL18 = 0, AC18 &gt; 0 ), "na.", IF( AND( AL18 = 0, AC18 = 0 ), 0, ( AC18 - AL18 ) / AL18 ) ) )</f>
        <v>0</v>
      </c>
      <c r="U18" s="630">
        <f xml:space="preserve"> IF( '2.3 Selskabsspecifikke input'!$N$51 = 0, 0, IF( AND( AM18 = 0, AD18 &gt; 0 ), "na.", IF( AND( AM18 = 0, AD18 = 0 ), 0, ( AD18 - AM18 ) / AM18 ) ) )</f>
        <v>0</v>
      </c>
      <c r="V18" s="630">
        <f xml:space="preserve"> IF( '2.3 Selskabsspecifikke input'!$N$51 = 0, 0, IF( AND( AN18 = 0, AE18 &gt; 0 ), "na.", IF( AND( AN18 = 0, AE18 = 0 ), 0, ( AE18 - AN18 ) / AN18 ) ) )</f>
        <v>0</v>
      </c>
      <c r="X18" s="197"/>
      <c r="Y18" s="197"/>
      <c r="Z18" s="197"/>
      <c r="AA18" s="121">
        <f xml:space="preserve"> '1.2 Tarifoversigt'!R16</f>
        <v>0</v>
      </c>
      <c r="AB18" s="121">
        <f xml:space="preserve"> '1.2 Tarifoversigt'!S16</f>
        <v>0</v>
      </c>
      <c r="AC18" s="121">
        <f xml:space="preserve"> '1.2 Tarifoversigt'!T16</f>
        <v>0</v>
      </c>
      <c r="AD18" s="121">
        <f xml:space="preserve"> '1.2 Tarifoversigt'!U16</f>
        <v>0</v>
      </c>
      <c r="AE18" s="121">
        <f xml:space="preserve"> '1.2 Tarifoversigt'!V16</f>
        <v>0</v>
      </c>
      <c r="AG18" s="197"/>
      <c r="AH18" s="197"/>
      <c r="AI18" s="197"/>
      <c r="AJ18" s="121">
        <f xml:space="preserve"> '2.3 Selskabsspecifikke input'!R335</f>
        <v>0</v>
      </c>
      <c r="AK18" s="121">
        <f xml:space="preserve"> '2.3 Selskabsspecifikke input'!S335</f>
        <v>0</v>
      </c>
      <c r="AL18" s="121">
        <f xml:space="preserve"> '2.3 Selskabsspecifikke input'!T335</f>
        <v>0</v>
      </c>
      <c r="AM18" s="121">
        <f xml:space="preserve"> '2.3 Selskabsspecifikke input'!U335</f>
        <v>0</v>
      </c>
      <c r="AN18" s="121">
        <f xml:space="preserve"> '2.3 Selskabsspecifikke input'!V335</f>
        <v>0</v>
      </c>
    </row>
    <row r="19" spans="4:41" ht="15" customHeight="1">
      <c r="D19" s="27" t="s">
        <v>185</v>
      </c>
      <c r="E19" s="27"/>
      <c r="F19" s="27"/>
      <c r="G19" s="27"/>
      <c r="H19" s="27"/>
      <c r="I19" s="27"/>
      <c r="J19" s="27"/>
      <c r="K19" s="32" t="s">
        <v>216</v>
      </c>
      <c r="L19" s="99"/>
      <c r="M19" s="27"/>
      <c r="N19" s="27"/>
      <c r="O19" s="269"/>
      <c r="P19" s="269"/>
      <c r="Q19" s="269"/>
      <c r="R19" s="631">
        <f xml:space="preserve"> IF( '2.3 Selskabsspecifikke input'!$N$51 = 0, 0, IF( AND( AJ19 = 0, AA19 &gt; 0 ), "na.", IF( AND( AJ19 = 0, AA19 = 0 ), 0, ( AA19 - AJ19 ) / AJ19 ) ) )</f>
        <v>0</v>
      </c>
      <c r="S19" s="631">
        <f xml:space="preserve"> IF( '2.3 Selskabsspecifikke input'!$N$51 = 0, 0, IF( AND( AK19 = 0, AB19 &gt; 0 ), "na.", IF( AND( AK19 = 0, AB19 = 0 ), 0, ( AB19 - AK19 ) / AK19 ) ) )</f>
        <v>0</v>
      </c>
      <c r="T19" s="631">
        <f xml:space="preserve"> IF( '2.3 Selskabsspecifikke input'!$N$51 = 0, 0, IF( AND( AL19 = 0, AC19 &gt; 0 ), "na.", IF( AND( AL19 = 0, AC19 = 0 ), 0, ( AC19 - AL19 ) / AL19 ) ) )</f>
        <v>0</v>
      </c>
      <c r="U19" s="631">
        <f xml:space="preserve"> IF( '2.3 Selskabsspecifikke input'!$N$51 = 0, 0, IF( AND( AM19 = 0, AD19 &gt; 0 ), "na.", IF( AND( AM19 = 0, AD19 = 0 ), 0, ( AD19 - AM19 ) / AM19 ) ) )</f>
        <v>0</v>
      </c>
      <c r="V19" s="631">
        <f xml:space="preserve"> IF( '2.3 Selskabsspecifikke input'!$N$51 = 0, 0, IF( AND( AN19 = 0, AE19 &gt; 0 ), "na.", IF( AND( AN19 = 0, AE19 = 0 ), 0, ( AE19 - AN19 ) / AN19 ) ) )</f>
        <v>0</v>
      </c>
      <c r="X19" s="270"/>
      <c r="Y19" s="270"/>
      <c r="Z19" s="270"/>
      <c r="AA19" s="131">
        <f xml:space="preserve"> '1.2 Tarifoversigt'!R17</f>
        <v>0</v>
      </c>
      <c r="AB19" s="131">
        <f xml:space="preserve"> '1.2 Tarifoversigt'!S17</f>
        <v>0</v>
      </c>
      <c r="AC19" s="131">
        <f xml:space="preserve"> '1.2 Tarifoversigt'!T17</f>
        <v>0</v>
      </c>
      <c r="AD19" s="131">
        <f xml:space="preserve"> '1.2 Tarifoversigt'!U17</f>
        <v>0</v>
      </c>
      <c r="AE19" s="131">
        <f xml:space="preserve"> '1.2 Tarifoversigt'!V17</f>
        <v>0</v>
      </c>
      <c r="AG19" s="270"/>
      <c r="AH19" s="270"/>
      <c r="AI19" s="270"/>
      <c r="AJ19" s="131">
        <f xml:space="preserve"> '2.3 Selskabsspecifikke input'!R336</f>
        <v>0</v>
      </c>
      <c r="AK19" s="131">
        <f xml:space="preserve"> '2.3 Selskabsspecifikke input'!S336</f>
        <v>0</v>
      </c>
      <c r="AL19" s="131">
        <f xml:space="preserve"> '2.3 Selskabsspecifikke input'!T336</f>
        <v>0</v>
      </c>
      <c r="AM19" s="131">
        <f xml:space="preserve"> '2.3 Selskabsspecifikke input'!U336</f>
        <v>0</v>
      </c>
      <c r="AN19" s="131">
        <f xml:space="preserve"> '2.3 Selskabsspecifikke input'!V336</f>
        <v>0</v>
      </c>
    </row>
    <row r="20" spans="4:41" ht="15" customHeight="1">
      <c r="D20" s="1"/>
      <c r="O20" s="231"/>
      <c r="P20" s="231"/>
      <c r="Q20" s="231"/>
      <c r="R20" s="632"/>
      <c r="S20" s="632"/>
      <c r="T20" s="632"/>
      <c r="U20" s="632"/>
      <c r="V20" s="632"/>
    </row>
    <row r="21" spans="4:41" ht="15" customHeight="1">
      <c r="D21" s="4" t="s">
        <v>272</v>
      </c>
      <c r="O21" s="231"/>
      <c r="P21" s="231"/>
      <c r="Q21" s="231"/>
      <c r="R21" s="632"/>
      <c r="S21" s="632"/>
      <c r="T21" s="632"/>
      <c r="U21" s="632"/>
      <c r="V21" s="632"/>
    </row>
    <row r="22" spans="4:41" ht="15" customHeight="1">
      <c r="D22" s="15" t="s">
        <v>182</v>
      </c>
      <c r="E22" s="15"/>
      <c r="F22" s="15"/>
      <c r="G22" s="15"/>
      <c r="H22" s="15"/>
      <c r="I22" s="15"/>
      <c r="J22" s="15"/>
      <c r="K22" s="19" t="s">
        <v>216</v>
      </c>
      <c r="L22" s="123"/>
      <c r="M22" s="15"/>
      <c r="N22" s="15"/>
      <c r="O22" s="274"/>
      <c r="P22" s="274"/>
      <c r="Q22" s="274"/>
      <c r="R22" s="629">
        <f xml:space="preserve"> IF( '2.3 Selskabsspecifikke input'!$N$51 = 0, 0, IF( AND( AJ22 = 0, AA22 &gt; 0 ), "na.", IF( AND( AJ22 = 0, AA22 = 0 ), 0, ( AA22 - AJ22 ) / AJ22 ) ) )</f>
        <v>0</v>
      </c>
      <c r="S22" s="629">
        <f xml:space="preserve"> IF( '2.3 Selskabsspecifikke input'!$N$51 = 0, 0, IF( AND( AK22 = 0, AB22 &gt; 0 ), "na.", IF( AND( AK22 = 0, AB22 = 0 ), 0, ( AB22 - AK22 ) / AK22 ) ) )</f>
        <v>0</v>
      </c>
      <c r="T22" s="629">
        <f xml:space="preserve"> IF( '2.3 Selskabsspecifikke input'!$N$51 = 0, 0, IF( AND( AL22 = 0, AC22 &gt; 0 ), "na.", IF( AND( AL22 = 0, AC22 = 0 ), 0, ( AC22 - AL22 ) / AL22 ) ) )</f>
        <v>0</v>
      </c>
      <c r="U22" s="629">
        <f xml:space="preserve"> IF( '2.3 Selskabsspecifikke input'!$N$51 = 0, 0, IF( AND( AM22 = 0, AD22 &gt; 0 ), "na.", IF( AND( AM22 = 0, AD22 = 0 ), 0, ( AD22 - AM22 ) / AM22 ) ) )</f>
        <v>0</v>
      </c>
      <c r="V22" s="629">
        <f xml:space="preserve"> IF( '2.3 Selskabsspecifikke input'!$N$51 = 0, 0, IF( AND( AN22 = 0, AE22 &gt; 0 ), "na.", IF( AND( AN22 = 0, AE22 = 0 ), 0, ( AE22 - AN22 ) / AN22 ) ) )</f>
        <v>0</v>
      </c>
      <c r="X22" s="387"/>
      <c r="Y22" s="387"/>
      <c r="Z22" s="387"/>
      <c r="AA22" s="150">
        <f xml:space="preserve"> '1.2 Tarifoversigt'!R20</f>
        <v>0</v>
      </c>
      <c r="AB22" s="150">
        <f xml:space="preserve"> '1.2 Tarifoversigt'!S20</f>
        <v>0</v>
      </c>
      <c r="AC22" s="150">
        <f xml:space="preserve"> '1.2 Tarifoversigt'!T20</f>
        <v>0</v>
      </c>
      <c r="AD22" s="150">
        <f xml:space="preserve"> '1.2 Tarifoversigt'!U20</f>
        <v>0</v>
      </c>
      <c r="AE22" s="150">
        <f xml:space="preserve"> '1.2 Tarifoversigt'!V20</f>
        <v>0</v>
      </c>
      <c r="AG22" s="387"/>
      <c r="AH22" s="387"/>
      <c r="AI22" s="387"/>
      <c r="AJ22" s="150">
        <f xml:space="preserve"> '2.3 Selskabsspecifikke input'!R339</f>
        <v>0</v>
      </c>
      <c r="AK22" s="150">
        <f xml:space="preserve"> '2.3 Selskabsspecifikke input'!S339</f>
        <v>0</v>
      </c>
      <c r="AL22" s="150">
        <f xml:space="preserve"> '2.3 Selskabsspecifikke input'!T339</f>
        <v>0</v>
      </c>
      <c r="AM22" s="150">
        <f xml:space="preserve"> '2.3 Selskabsspecifikke input'!U339</f>
        <v>0</v>
      </c>
      <c r="AN22" s="150">
        <f xml:space="preserve"> '2.3 Selskabsspecifikke input'!V339</f>
        <v>0</v>
      </c>
    </row>
    <row r="23" spans="4:41" ht="15" customHeight="1">
      <c r="D23" s="1" t="s">
        <v>184</v>
      </c>
      <c r="K23" s="5" t="s">
        <v>216</v>
      </c>
      <c r="L23" s="85"/>
      <c r="O23" s="202"/>
      <c r="P23" s="202"/>
      <c r="Q23" s="202"/>
      <c r="R23" s="630">
        <f xml:space="preserve"> IF( '2.3 Selskabsspecifikke input'!$N$51 = 0, 0, IF( AND( AJ23 = 0, AA23 &gt; 0 ), "na.", IF( AND( AJ23 = 0, AA23 = 0 ), 0, ( AA23 - AJ23 ) / AJ23 ) ) )</f>
        <v>0</v>
      </c>
      <c r="S23" s="630">
        <f xml:space="preserve"> IF( '2.3 Selskabsspecifikke input'!$N$51 = 0, 0, IF( AND( AK23 = 0, AB23 &gt; 0 ), "na.", IF( AND( AK23 = 0, AB23 = 0 ), 0, ( AB23 - AK23 ) / AK23 ) ) )</f>
        <v>0</v>
      </c>
      <c r="T23" s="630">
        <f xml:space="preserve"> IF( '2.3 Selskabsspecifikke input'!$N$51 = 0, 0, IF( AND( AL23 = 0, AC23 &gt; 0 ), "na.", IF( AND( AL23 = 0, AC23 = 0 ), 0, ( AC23 - AL23 ) / AL23 ) ) )</f>
        <v>0</v>
      </c>
      <c r="U23" s="630">
        <f xml:space="preserve"> IF( '2.3 Selskabsspecifikke input'!$N$51 = 0, 0, IF( AND( AM23 = 0, AD23 &gt; 0 ), "na.", IF( AND( AM23 = 0, AD23 = 0 ), 0, ( AD23 - AM23 ) / AM23 ) ) )</f>
        <v>0</v>
      </c>
      <c r="V23" s="630">
        <f xml:space="preserve"> IF( '2.3 Selskabsspecifikke input'!$N$51 = 0, 0, IF( AND( AN23 = 0, AE23 &gt; 0 ), "na.", IF( AND( AN23 = 0, AE23 = 0 ), 0, ( AE23 - AN23 ) / AN23 ) ) )</f>
        <v>0</v>
      </c>
      <c r="X23" s="197"/>
      <c r="Y23" s="197"/>
      <c r="Z23" s="197"/>
      <c r="AA23" s="121">
        <f xml:space="preserve"> '1.2 Tarifoversigt'!R21</f>
        <v>0</v>
      </c>
      <c r="AB23" s="121">
        <f xml:space="preserve"> '1.2 Tarifoversigt'!S21</f>
        <v>0</v>
      </c>
      <c r="AC23" s="121">
        <f xml:space="preserve"> '1.2 Tarifoversigt'!T21</f>
        <v>0</v>
      </c>
      <c r="AD23" s="121">
        <f xml:space="preserve"> '1.2 Tarifoversigt'!U21</f>
        <v>0</v>
      </c>
      <c r="AE23" s="121">
        <f xml:space="preserve"> '1.2 Tarifoversigt'!V21</f>
        <v>0</v>
      </c>
      <c r="AG23" s="197"/>
      <c r="AH23" s="197"/>
      <c r="AI23" s="197"/>
      <c r="AJ23" s="121">
        <f xml:space="preserve"> '2.3 Selskabsspecifikke input'!R340</f>
        <v>0</v>
      </c>
      <c r="AK23" s="121">
        <f xml:space="preserve"> '2.3 Selskabsspecifikke input'!S340</f>
        <v>0</v>
      </c>
      <c r="AL23" s="121">
        <f xml:space="preserve"> '2.3 Selskabsspecifikke input'!T340</f>
        <v>0</v>
      </c>
      <c r="AM23" s="121">
        <f xml:space="preserve"> '2.3 Selskabsspecifikke input'!U340</f>
        <v>0</v>
      </c>
      <c r="AN23" s="121">
        <f xml:space="preserve"> '2.3 Selskabsspecifikke input'!V340</f>
        <v>0</v>
      </c>
    </row>
    <row r="24" spans="4:41" ht="15" customHeight="1">
      <c r="D24" s="27" t="s">
        <v>185</v>
      </c>
      <c r="E24" s="27"/>
      <c r="F24" s="27"/>
      <c r="G24" s="27"/>
      <c r="H24" s="27"/>
      <c r="I24" s="27"/>
      <c r="J24" s="27"/>
      <c r="K24" s="32" t="s">
        <v>216</v>
      </c>
      <c r="L24" s="99"/>
      <c r="M24" s="27"/>
      <c r="N24" s="27"/>
      <c r="O24" s="269"/>
      <c r="P24" s="269"/>
      <c r="Q24" s="269"/>
      <c r="R24" s="631">
        <f xml:space="preserve"> IF( '2.3 Selskabsspecifikke input'!$N$51 = 0, 0, IF( AND( AJ24 = 0, AA24 &gt; 0 ), "na.", IF( AND( AJ24 = 0, AA24 = 0 ), 0, ( AA24 - AJ24 ) / AJ24 ) ) )</f>
        <v>0</v>
      </c>
      <c r="S24" s="631">
        <f xml:space="preserve"> IF( '2.3 Selskabsspecifikke input'!$N$51 = 0, 0, IF( AND( AK24 = 0, AB24 &gt; 0 ), "na.", IF( AND( AK24 = 0, AB24 = 0 ), 0, ( AB24 - AK24 ) / AK24 ) ) )</f>
        <v>0</v>
      </c>
      <c r="T24" s="631">
        <f xml:space="preserve"> IF( '2.3 Selskabsspecifikke input'!$N$51 = 0, 0, IF( AND( AL24 = 0, AC24 &gt; 0 ), "na.", IF( AND( AL24 = 0, AC24 = 0 ), 0, ( AC24 - AL24 ) / AL24 ) ) )</f>
        <v>0</v>
      </c>
      <c r="U24" s="631">
        <f xml:space="preserve"> IF( '2.3 Selskabsspecifikke input'!$N$51 = 0, 0, IF( AND( AM24 = 0, AD24 &gt; 0 ), "na.", IF( AND( AM24 = 0, AD24 = 0 ), 0, ( AD24 - AM24 ) / AM24 ) ) )</f>
        <v>0</v>
      </c>
      <c r="V24" s="631">
        <f xml:space="preserve"> IF( '2.3 Selskabsspecifikke input'!$N$51 = 0, 0, IF( AND( AN24 = 0, AE24 &gt; 0 ), "na.", IF( AND( AN24 = 0, AE24 = 0 ), 0, ( AE24 - AN24 ) / AN24 ) ) )</f>
        <v>0</v>
      </c>
      <c r="X24" s="270"/>
      <c r="Y24" s="270"/>
      <c r="Z24" s="270"/>
      <c r="AA24" s="131">
        <f xml:space="preserve"> '1.2 Tarifoversigt'!R22</f>
        <v>0</v>
      </c>
      <c r="AB24" s="131">
        <f xml:space="preserve"> '1.2 Tarifoversigt'!S22</f>
        <v>0</v>
      </c>
      <c r="AC24" s="131">
        <f xml:space="preserve"> '1.2 Tarifoversigt'!T22</f>
        <v>0</v>
      </c>
      <c r="AD24" s="131">
        <f xml:space="preserve"> '1.2 Tarifoversigt'!U22</f>
        <v>0</v>
      </c>
      <c r="AE24" s="131">
        <f xml:space="preserve"> '1.2 Tarifoversigt'!V22</f>
        <v>0</v>
      </c>
      <c r="AG24" s="270"/>
      <c r="AH24" s="270"/>
      <c r="AI24" s="270"/>
      <c r="AJ24" s="131">
        <f xml:space="preserve"> '2.3 Selskabsspecifikke input'!R341</f>
        <v>0</v>
      </c>
      <c r="AK24" s="131">
        <f xml:space="preserve"> '2.3 Selskabsspecifikke input'!S341</f>
        <v>0</v>
      </c>
      <c r="AL24" s="131">
        <f xml:space="preserve"> '2.3 Selskabsspecifikke input'!T341</f>
        <v>0</v>
      </c>
      <c r="AM24" s="131">
        <f xml:space="preserve"> '2.3 Selskabsspecifikke input'!U341</f>
        <v>0</v>
      </c>
      <c r="AN24" s="131">
        <f xml:space="preserve"> '2.3 Selskabsspecifikke input'!V341</f>
        <v>0</v>
      </c>
    </row>
    <row r="25" spans="4:41" ht="15" customHeight="1">
      <c r="D25" s="1"/>
      <c r="L25" s="85"/>
      <c r="O25" s="630"/>
      <c r="P25" s="630"/>
      <c r="Q25" s="630"/>
      <c r="R25" s="630"/>
      <c r="S25" s="630"/>
      <c r="T25" s="630"/>
      <c r="U25" s="630"/>
      <c r="V25" s="630"/>
      <c r="X25" s="121"/>
      <c r="Y25" s="121"/>
      <c r="Z25" s="121"/>
      <c r="AA25" s="121"/>
      <c r="AB25" s="121"/>
      <c r="AC25" s="121"/>
      <c r="AD25" s="121"/>
      <c r="AE25" s="121"/>
      <c r="AF25" s="121"/>
      <c r="AG25" s="121"/>
      <c r="AH25" s="121"/>
      <c r="AI25" s="121"/>
      <c r="AJ25" s="121"/>
      <c r="AK25" s="121"/>
      <c r="AL25" s="121"/>
      <c r="AM25" s="121"/>
      <c r="AN25" s="121"/>
      <c r="AO25" s="121"/>
    </row>
    <row r="26" spans="4:41" ht="15" customHeight="1">
      <c r="D26" s="4" t="s">
        <v>585</v>
      </c>
      <c r="O26" s="231"/>
      <c r="P26" s="231"/>
      <c r="Q26" s="231"/>
      <c r="R26" s="632"/>
      <c r="S26" s="632"/>
      <c r="T26" s="632"/>
      <c r="U26" s="632"/>
      <c r="V26" s="632"/>
    </row>
    <row r="27" spans="4:41" ht="15" customHeight="1">
      <c r="D27" s="33" t="s">
        <v>585</v>
      </c>
      <c r="E27" s="33"/>
      <c r="F27" s="33"/>
      <c r="G27" s="33"/>
      <c r="H27" s="33"/>
      <c r="I27" s="33"/>
      <c r="J27" s="33"/>
      <c r="K27" s="34" t="s">
        <v>216</v>
      </c>
      <c r="L27" s="90"/>
      <c r="M27" s="33"/>
      <c r="N27" s="33"/>
      <c r="O27" s="633">
        <f xml:space="preserve"> IF( AND( AG27 = 0, X27 &gt; 0 ), "na.", IF( AND( AG27 = 0, X27 = 0 ), 0, ( X27 - AG27 ) / AG27 ) )</f>
        <v>0</v>
      </c>
      <c r="P27" s="633">
        <f xml:space="preserve"> IF( AND( AH27 = 0, Y27 &gt; 0 ), "na.", IF( AND( AH27 = 0, Y27 = 0 ), 0, ( Y27 - AH27 ) / AH27 ) )</f>
        <v>0</v>
      </c>
      <c r="Q27" s="271"/>
      <c r="R27" s="633">
        <f xml:space="preserve"> IF( AND( AJ27 = 0, AA27 &gt; 0 ), "na.", IF( AND( AJ27 = 0, AA27 = 0 ), 0, ( AA27 - AJ27 ) / AJ27 ) )</f>
        <v>0</v>
      </c>
      <c r="S27" s="633">
        <f xml:space="preserve"> IF( AND( AK27 = 0, AB27 &gt; 0 ), "na.", IF( AND( AK27 = 0, AB27 = 0 ), 0, ( AB27 - AK27 ) / AK27 ) )</f>
        <v>0</v>
      </c>
      <c r="T27" s="633">
        <f xml:space="preserve"> IF( AND( AL27 = 0, AC27 &gt; 0 ), "na.", IF( AND( AL27 = 0, AC27 = 0 ), 0, ( AC27 - AL27 ) / AL27 ) )</f>
        <v>0</v>
      </c>
      <c r="U27" s="633">
        <f xml:space="preserve"> IF( AND( AM27 = 0, AD27 &gt; 0 ), "na.", IF( AND( AM27 = 0, AD27 = 0 ), 0, ( AD27 - AM27 ) / AM27 ) )</f>
        <v>0</v>
      </c>
      <c r="V27" s="633">
        <f xml:space="preserve"> IF( AND( AN27 = 0, AE27 &gt; 0 ), "na.", IF( AND( AN27 = 0, AE27 = 0 ), 0, ( AE27 - AN27 ) / AN27 ) )</f>
        <v>0</v>
      </c>
      <c r="X27" s="183">
        <f xml:space="preserve"> '1.2 Tarifoversigt'!O25</f>
        <v>0</v>
      </c>
      <c r="Y27" s="183">
        <f xml:space="preserve"> '1.2 Tarifoversigt'!P25</f>
        <v>0</v>
      </c>
      <c r="Z27" s="141"/>
      <c r="AA27" s="183">
        <f xml:space="preserve"> '1.2 Tarifoversigt'!R25</f>
        <v>0</v>
      </c>
      <c r="AB27" s="183">
        <f xml:space="preserve"> '1.2 Tarifoversigt'!S25</f>
        <v>0</v>
      </c>
      <c r="AC27" s="183">
        <f xml:space="preserve"> '1.2 Tarifoversigt'!T25</f>
        <v>0</v>
      </c>
      <c r="AD27" s="183">
        <f xml:space="preserve"> '1.2 Tarifoversigt'!U25</f>
        <v>0</v>
      </c>
      <c r="AE27" s="183">
        <f xml:space="preserve"> '1.2 Tarifoversigt'!V25</f>
        <v>0</v>
      </c>
      <c r="AG27" s="183">
        <f xml:space="preserve"> '2.3 Selskabsspecifikke input'!O344</f>
        <v>0</v>
      </c>
      <c r="AH27" s="183">
        <f xml:space="preserve"> '2.3 Selskabsspecifikke input'!P344</f>
        <v>0</v>
      </c>
      <c r="AI27" s="141"/>
      <c r="AJ27" s="183">
        <f xml:space="preserve"> '2.3 Selskabsspecifikke input'!R344</f>
        <v>0</v>
      </c>
      <c r="AK27" s="183">
        <f xml:space="preserve"> '2.3 Selskabsspecifikke input'!S344</f>
        <v>0</v>
      </c>
      <c r="AL27" s="183">
        <f xml:space="preserve"> '2.3 Selskabsspecifikke input'!T344</f>
        <v>0</v>
      </c>
      <c r="AM27" s="183">
        <f xml:space="preserve"> '2.3 Selskabsspecifikke input'!U344</f>
        <v>0</v>
      </c>
      <c r="AN27" s="183">
        <f xml:space="preserve"> '2.3 Selskabsspecifikke input'!V344</f>
        <v>0</v>
      </c>
    </row>
    <row r="28" spans="4:41" ht="15" customHeight="1">
      <c r="D28" s="1"/>
      <c r="O28" s="231"/>
      <c r="P28" s="231"/>
      <c r="Q28" s="231"/>
      <c r="R28" s="632"/>
      <c r="S28" s="632"/>
      <c r="T28" s="632"/>
      <c r="U28" s="632"/>
      <c r="V28" s="632"/>
    </row>
    <row r="29" spans="4:41" ht="15" customHeight="1">
      <c r="D29" s="4" t="s">
        <v>120</v>
      </c>
      <c r="O29" s="231"/>
      <c r="P29" s="231"/>
      <c r="Q29" s="231"/>
      <c r="R29" s="632"/>
      <c r="S29" s="632"/>
      <c r="T29" s="632"/>
      <c r="U29" s="632"/>
      <c r="V29" s="632"/>
    </row>
    <row r="30" spans="4:41" ht="15" customHeight="1">
      <c r="D30" s="33" t="s">
        <v>221</v>
      </c>
      <c r="E30" s="33"/>
      <c r="F30" s="33"/>
      <c r="G30" s="33"/>
      <c r="H30" s="33"/>
      <c r="I30" s="33"/>
      <c r="J30" s="33"/>
      <c r="K30" s="34" t="s">
        <v>216</v>
      </c>
      <c r="L30" s="90"/>
      <c r="M30" s="33"/>
      <c r="N30" s="33"/>
      <c r="O30" s="271"/>
      <c r="P30" s="271"/>
      <c r="Q30" s="271"/>
      <c r="R30" s="633">
        <f xml:space="preserve"> IF( '2.3 Selskabsspecifikke input'!$N$51 = 0, 0, IF( AND( AJ30 = 0, AA30 &gt; 0 ), "na.", IF( AND( AJ30 = 0, AA30 = 0 ), 0, ( AA30 - AJ30 ) / AJ30 ) ) )</f>
        <v>0</v>
      </c>
      <c r="S30" s="633">
        <f xml:space="preserve"> IF( '2.3 Selskabsspecifikke input'!$N$51 = 0, 0, IF( AND( AK30 = 0, AB30 &gt; 0 ), "na.", IF( AND( AK30 = 0, AB30 = 0 ), 0, ( AB30 - AK30 ) / AK30 ) ) )</f>
        <v>0</v>
      </c>
      <c r="T30" s="633">
        <f xml:space="preserve"> IF( '2.3 Selskabsspecifikke input'!$N$51 = 0, 0, IF( AND( AL30 = 0, AC30 &gt; 0 ), "na.", IF( AND( AL30 = 0, AC30 = 0 ), 0, ( AC30 - AL30 ) / AL30 ) ) )</f>
        <v>0</v>
      </c>
      <c r="U30" s="633">
        <f xml:space="preserve"> IF( '2.3 Selskabsspecifikke input'!$N$51 = 0, 0, IF( AND( AM30 = 0, AD30 &gt; 0 ), "na.", IF( AND( AM30 = 0, AD30 = 0 ), 0, ( AD30 - AM30 ) / AM30 ) ) )</f>
        <v>0</v>
      </c>
      <c r="V30" s="633">
        <f xml:space="preserve"> IF( '2.3 Selskabsspecifikke input'!$N$51 = 0, 0, IF( AND( AN30 = 0, AE30 &gt; 0 ), "na.", IF( AND( AN30 = 0, AE30 = 0 ), 0, ( AE30 - AN30 ) / AN30 ) ) )</f>
        <v>0</v>
      </c>
      <c r="X30" s="141"/>
      <c r="Y30" s="141"/>
      <c r="Z30" s="141"/>
      <c r="AA30" s="183">
        <f xml:space="preserve"> '1.2 Tarifoversigt'!R28</f>
        <v>0</v>
      </c>
      <c r="AB30" s="183">
        <f xml:space="preserve"> '1.2 Tarifoversigt'!S28</f>
        <v>0</v>
      </c>
      <c r="AC30" s="183">
        <f xml:space="preserve"> '1.2 Tarifoversigt'!T28</f>
        <v>0</v>
      </c>
      <c r="AD30" s="183">
        <f xml:space="preserve"> '1.2 Tarifoversigt'!U28</f>
        <v>0</v>
      </c>
      <c r="AE30" s="183">
        <f xml:space="preserve"> '1.2 Tarifoversigt'!V28</f>
        <v>0</v>
      </c>
      <c r="AG30" s="141"/>
      <c r="AH30" s="141"/>
      <c r="AI30" s="141"/>
      <c r="AJ30" s="183">
        <f xml:space="preserve"> '2.3 Selskabsspecifikke input'!R347</f>
        <v>0</v>
      </c>
      <c r="AK30" s="183">
        <f xml:space="preserve"> '2.3 Selskabsspecifikke input'!S347</f>
        <v>0</v>
      </c>
      <c r="AL30" s="183">
        <f xml:space="preserve"> '2.3 Selskabsspecifikke input'!T347</f>
        <v>0</v>
      </c>
      <c r="AM30" s="183">
        <f xml:space="preserve"> '2.3 Selskabsspecifikke input'!U347</f>
        <v>0</v>
      </c>
      <c r="AN30" s="183">
        <f xml:space="preserve"> '2.3 Selskabsspecifikke input'!V347</f>
        <v>0</v>
      </c>
    </row>
    <row r="31" spans="4:41" ht="15" customHeight="1">
      <c r="D31" s="1"/>
      <c r="O31" s="231"/>
      <c r="P31" s="231"/>
      <c r="Q31" s="231"/>
      <c r="R31" s="632"/>
      <c r="S31" s="632"/>
      <c r="T31" s="632"/>
      <c r="U31" s="632"/>
      <c r="V31" s="632"/>
    </row>
    <row r="32" spans="4:41" ht="15" customHeight="1">
      <c r="D32" s="4" t="s">
        <v>217</v>
      </c>
      <c r="O32" s="231"/>
      <c r="P32" s="231"/>
      <c r="Q32" s="231"/>
      <c r="R32" s="632"/>
      <c r="S32" s="632"/>
      <c r="T32" s="632"/>
      <c r="U32" s="632"/>
      <c r="V32" s="632"/>
    </row>
    <row r="33" spans="4:40" ht="15" customHeight="1">
      <c r="D33" s="33" t="s">
        <v>219</v>
      </c>
      <c r="E33" s="33"/>
      <c r="F33" s="33"/>
      <c r="G33" s="33"/>
      <c r="H33" s="33"/>
      <c r="I33" s="33"/>
      <c r="J33" s="33"/>
      <c r="K33" s="34" t="str">
        <f xml:space="preserve"> Model.Units</f>
        <v>DKKt</v>
      </c>
      <c r="L33" s="90"/>
      <c r="M33" s="33"/>
      <c r="N33" s="33"/>
      <c r="O33" s="271"/>
      <c r="P33" s="271"/>
      <c r="Q33" s="271"/>
      <c r="R33" s="633">
        <f xml:space="preserve"> IF( '2.3 Selskabsspecifikke input'!$N$51 = 0, 0, IF( AND( AJ33 = 0, AA33 &gt; 0 ), "na.", IF( AND( AJ33 = 0, AA33 = 0 ), 0, ( AA33 - AJ33 ) / AJ33 ) ) )</f>
        <v>0</v>
      </c>
      <c r="S33" s="633">
        <f xml:space="preserve"> IF( '2.3 Selskabsspecifikke input'!$N$51 = 0, 0, IF( AND( AK33 = 0, AB33 &gt; 0 ), "na.", IF( AND( AK33 = 0, AB33 = 0 ), 0, ( AB33 - AK33 ) / AK33 ) ) )</f>
        <v>0</v>
      </c>
      <c r="T33" s="633">
        <f xml:space="preserve"> IF( '2.3 Selskabsspecifikke input'!$N$51 = 0, 0, IF( AND( AL33 = 0, AC33 &gt; 0 ), "na.", IF( AND( AL33 = 0, AC33 = 0 ), 0, ( AC33 - AL33 ) / AL33 ) ) )</f>
        <v>0</v>
      </c>
      <c r="U33" s="633">
        <f xml:space="preserve"> IF( '2.3 Selskabsspecifikke input'!$N$51 = 0, 0, IF( AND( AM33 = 0, AD33 &gt; 0 ), "na.", IF( AND( AM33 = 0, AD33 = 0 ), 0, ( AD33 - AM33 ) / AM33 ) ) )</f>
        <v>0</v>
      </c>
      <c r="V33" s="633">
        <f xml:space="preserve"> IF( '2.3 Selskabsspecifikke input'!$N$51 = 0, 0, IF( AND( AN33 = 0, AE33 &gt; 0 ), "na.", IF( AND( AN33 = 0, AE33 = 0 ), 0, ( AE33 - AN33 ) / AN33 ) ) )</f>
        <v>0</v>
      </c>
      <c r="X33" s="271"/>
      <c r="Y33" s="271"/>
      <c r="Z33" s="271"/>
      <c r="AA33" s="33">
        <f xml:space="preserve"> '1.2 Tarifoversigt'!R32</f>
        <v>0</v>
      </c>
      <c r="AB33" s="33">
        <f xml:space="preserve"> '1.2 Tarifoversigt'!S32</f>
        <v>0</v>
      </c>
      <c r="AC33" s="33">
        <f xml:space="preserve"> '1.2 Tarifoversigt'!T32</f>
        <v>0</v>
      </c>
      <c r="AD33" s="33">
        <f xml:space="preserve"> '1.2 Tarifoversigt'!U32</f>
        <v>0</v>
      </c>
      <c r="AE33" s="33">
        <f xml:space="preserve"> '1.2 Tarifoversigt'!V32</f>
        <v>0</v>
      </c>
      <c r="AG33" s="271"/>
      <c r="AH33" s="271"/>
      <c r="AI33" s="271"/>
      <c r="AJ33" s="33">
        <f xml:space="preserve"> '2.3 Selskabsspecifikke input'!R350</f>
        <v>0</v>
      </c>
      <c r="AK33" s="33">
        <f xml:space="preserve"> '2.3 Selskabsspecifikke input'!S350</f>
        <v>0</v>
      </c>
      <c r="AL33" s="33">
        <f xml:space="preserve"> '2.3 Selskabsspecifikke input'!T350</f>
        <v>0</v>
      </c>
      <c r="AM33" s="33">
        <f xml:space="preserve"> '2.3 Selskabsspecifikke input'!U350</f>
        <v>0</v>
      </c>
      <c r="AN33" s="33">
        <f xml:space="preserve"> '2.3 Selskabsspecifikke input'!V350</f>
        <v>0</v>
      </c>
    </row>
    <row r="34" spans="4:40" ht="15" customHeight="1">
      <c r="O34" s="231"/>
      <c r="P34" s="231"/>
      <c r="Q34" s="231"/>
      <c r="R34" s="632"/>
      <c r="S34" s="632"/>
      <c r="T34" s="632"/>
      <c r="U34" s="632"/>
      <c r="V34" s="632"/>
    </row>
    <row r="35" spans="4:40" ht="15" customHeight="1">
      <c r="D35" s="4" t="s">
        <v>39</v>
      </c>
      <c r="O35" s="231"/>
      <c r="P35" s="231"/>
      <c r="Q35" s="231"/>
      <c r="R35" s="632"/>
      <c r="S35" s="632"/>
      <c r="T35" s="632"/>
      <c r="U35" s="632"/>
      <c r="V35" s="632"/>
    </row>
    <row r="36" spans="4:40" ht="15" customHeight="1">
      <c r="D36" s="123" t="s">
        <v>263</v>
      </c>
      <c r="E36" s="15"/>
      <c r="F36" s="15"/>
      <c r="G36" s="15"/>
      <c r="H36" s="15"/>
      <c r="I36" s="15"/>
      <c r="J36" s="15"/>
      <c r="K36" s="19" t="s">
        <v>218</v>
      </c>
      <c r="L36" s="123"/>
      <c r="M36" s="15"/>
      <c r="N36" s="15"/>
      <c r="O36" s="629">
        <f t="shared" ref="O36:P39" si="2" xml:space="preserve"> IF( AND( AG36 = 0, X36 &gt; 0 ), "na.", IF( AND( AG36 = 0, X36 = 0 ), 0, ( X36 - AG36 ) / AG36 ) )</f>
        <v>0</v>
      </c>
      <c r="P36" s="629">
        <f t="shared" si="2"/>
        <v>0</v>
      </c>
      <c r="Q36" s="629">
        <f t="shared" ref="Q36:V39" si="3" xml:space="preserve"> IF( AND( AI36 = 0, Z36 &gt; 0 ), "na.", IF( AND( AI36 = 0, Z36 = 0 ), 0, ( Z36 - AI36 ) / AI36 ) )</f>
        <v>0</v>
      </c>
      <c r="R36" s="629">
        <f t="shared" si="3"/>
        <v>0</v>
      </c>
      <c r="S36" s="629">
        <f t="shared" si="3"/>
        <v>0</v>
      </c>
      <c r="T36" s="629">
        <f t="shared" si="3"/>
        <v>0</v>
      </c>
      <c r="U36" s="629">
        <f t="shared" si="3"/>
        <v>0</v>
      </c>
      <c r="V36" s="629">
        <f t="shared" si="3"/>
        <v>0</v>
      </c>
      <c r="X36" s="15">
        <f xml:space="preserve"> '1.2 Tarifoversigt'!O39</f>
        <v>0</v>
      </c>
      <c r="Y36" s="15">
        <f xml:space="preserve"> '1.2 Tarifoversigt'!P39</f>
        <v>0</v>
      </c>
      <c r="Z36" s="15">
        <f xml:space="preserve"> '1.2 Tarifoversigt'!Q39</f>
        <v>0</v>
      </c>
      <c r="AA36" s="15">
        <f xml:space="preserve"> '1.2 Tarifoversigt'!R39</f>
        <v>0</v>
      </c>
      <c r="AB36" s="15">
        <f xml:space="preserve"> '1.2 Tarifoversigt'!S39</f>
        <v>0</v>
      </c>
      <c r="AC36" s="15">
        <f xml:space="preserve"> '1.2 Tarifoversigt'!T39</f>
        <v>0</v>
      </c>
      <c r="AD36" s="15">
        <f xml:space="preserve"> '1.2 Tarifoversigt'!U39</f>
        <v>0</v>
      </c>
      <c r="AE36" s="15">
        <f xml:space="preserve"> '1.2 Tarifoversigt'!V39</f>
        <v>0</v>
      </c>
      <c r="AG36" s="15">
        <f xml:space="preserve"> '2.3 Selskabsspecifikke input'!O353</f>
        <v>0</v>
      </c>
      <c r="AH36" s="15">
        <f xml:space="preserve"> '2.3 Selskabsspecifikke input'!P353</f>
        <v>0</v>
      </c>
      <c r="AI36" s="15">
        <f xml:space="preserve"> '2.3 Selskabsspecifikke input'!Q353</f>
        <v>0</v>
      </c>
      <c r="AJ36" s="15">
        <f xml:space="preserve"> '2.3 Selskabsspecifikke input'!R353</f>
        <v>0</v>
      </c>
      <c r="AK36" s="15">
        <f xml:space="preserve"> '2.3 Selskabsspecifikke input'!S353</f>
        <v>0</v>
      </c>
      <c r="AL36" s="15">
        <f xml:space="preserve"> '2.3 Selskabsspecifikke input'!T353</f>
        <v>0</v>
      </c>
      <c r="AM36" s="15">
        <f xml:space="preserve"> '2.3 Selskabsspecifikke input'!U353</f>
        <v>0</v>
      </c>
      <c r="AN36" s="15">
        <f xml:space="preserve"> '2.3 Selskabsspecifikke input'!V353</f>
        <v>0</v>
      </c>
    </row>
    <row r="37" spans="4:40" ht="15" customHeight="1">
      <c r="D37" s="85" t="s">
        <v>681</v>
      </c>
      <c r="K37" s="5" t="s">
        <v>218</v>
      </c>
      <c r="L37" s="85"/>
      <c r="O37" s="630">
        <f t="shared" si="2"/>
        <v>0</v>
      </c>
      <c r="P37" s="630">
        <f t="shared" si="2"/>
        <v>0</v>
      </c>
      <c r="Q37" s="630">
        <f t="shared" si="3"/>
        <v>0</v>
      </c>
      <c r="R37" s="630">
        <f t="shared" si="3"/>
        <v>0</v>
      </c>
      <c r="S37" s="630">
        <f t="shared" si="3"/>
        <v>0</v>
      </c>
      <c r="T37" s="630">
        <f t="shared" si="3"/>
        <v>0</v>
      </c>
      <c r="U37" s="630">
        <f t="shared" si="3"/>
        <v>0</v>
      </c>
      <c r="V37" s="630">
        <f t="shared" si="3"/>
        <v>0</v>
      </c>
      <c r="X37" s="1">
        <f xml:space="preserve"> '1.2 Tarifoversigt'!O40</f>
        <v>0</v>
      </c>
      <c r="Y37" s="1">
        <f xml:space="preserve"> '1.2 Tarifoversigt'!P40</f>
        <v>0</v>
      </c>
      <c r="Z37" s="1">
        <f xml:space="preserve"> '1.2 Tarifoversigt'!Q40</f>
        <v>0</v>
      </c>
      <c r="AA37" s="1">
        <f xml:space="preserve"> '1.2 Tarifoversigt'!R40</f>
        <v>0</v>
      </c>
      <c r="AB37" s="1">
        <f xml:space="preserve"> '1.2 Tarifoversigt'!S40</f>
        <v>0</v>
      </c>
      <c r="AC37" s="1">
        <f xml:space="preserve"> '1.2 Tarifoversigt'!T40</f>
        <v>0</v>
      </c>
      <c r="AD37" s="1">
        <f xml:space="preserve"> '1.2 Tarifoversigt'!U40</f>
        <v>0</v>
      </c>
      <c r="AE37" s="1">
        <f xml:space="preserve"> '1.2 Tarifoversigt'!V40</f>
        <v>0</v>
      </c>
      <c r="AG37" s="1">
        <f xml:space="preserve"> '2.3 Selskabsspecifikke input'!O354</f>
        <v>0</v>
      </c>
      <c r="AH37" s="1">
        <f xml:space="preserve"> '2.3 Selskabsspecifikke input'!P354</f>
        <v>0</v>
      </c>
      <c r="AI37" s="1">
        <f xml:space="preserve"> '2.3 Selskabsspecifikke input'!Q354</f>
        <v>0</v>
      </c>
      <c r="AJ37" s="1">
        <f xml:space="preserve"> '2.3 Selskabsspecifikke input'!R354</f>
        <v>0</v>
      </c>
      <c r="AK37" s="1">
        <f xml:space="preserve"> '2.3 Selskabsspecifikke input'!S354</f>
        <v>0</v>
      </c>
      <c r="AL37" s="1">
        <f xml:space="preserve"> '2.3 Selskabsspecifikke input'!T354</f>
        <v>0</v>
      </c>
      <c r="AM37" s="1">
        <f xml:space="preserve"> '2.3 Selskabsspecifikke input'!U354</f>
        <v>0</v>
      </c>
      <c r="AN37" s="1">
        <f xml:space="preserve"> '2.3 Selskabsspecifikke input'!V354</f>
        <v>0</v>
      </c>
    </row>
    <row r="38" spans="4:40" ht="15" customHeight="1">
      <c r="D38" s="85" t="s">
        <v>243</v>
      </c>
      <c r="K38" s="5" t="s">
        <v>218</v>
      </c>
      <c r="L38" s="85"/>
      <c r="O38" s="630">
        <f t="shared" si="2"/>
        <v>0</v>
      </c>
      <c r="P38" s="630">
        <f t="shared" si="2"/>
        <v>0</v>
      </c>
      <c r="Q38" s="630">
        <f t="shared" si="3"/>
        <v>0</v>
      </c>
      <c r="R38" s="630">
        <f t="shared" si="3"/>
        <v>0</v>
      </c>
      <c r="S38" s="630">
        <f t="shared" si="3"/>
        <v>0</v>
      </c>
      <c r="T38" s="630">
        <f t="shared" si="3"/>
        <v>0</v>
      </c>
      <c r="U38" s="630">
        <f t="shared" si="3"/>
        <v>0</v>
      </c>
      <c r="V38" s="630">
        <f t="shared" si="3"/>
        <v>0</v>
      </c>
      <c r="X38" s="1">
        <f xml:space="preserve"> '1.2 Tarifoversigt'!O41</f>
        <v>0</v>
      </c>
      <c r="Y38" s="1">
        <f xml:space="preserve"> '1.2 Tarifoversigt'!P41</f>
        <v>0</v>
      </c>
      <c r="Z38" s="1">
        <f xml:space="preserve"> '1.2 Tarifoversigt'!Q41</f>
        <v>0</v>
      </c>
      <c r="AA38" s="1">
        <f xml:space="preserve"> '1.2 Tarifoversigt'!R41</f>
        <v>0</v>
      </c>
      <c r="AB38" s="1">
        <f xml:space="preserve"> '1.2 Tarifoversigt'!S41</f>
        <v>0</v>
      </c>
      <c r="AC38" s="1">
        <f xml:space="preserve"> '1.2 Tarifoversigt'!T41</f>
        <v>0</v>
      </c>
      <c r="AD38" s="1">
        <f xml:space="preserve"> '1.2 Tarifoversigt'!U41</f>
        <v>0</v>
      </c>
      <c r="AE38" s="1">
        <f xml:space="preserve"> '1.2 Tarifoversigt'!V41</f>
        <v>0</v>
      </c>
      <c r="AG38" s="1">
        <f xml:space="preserve"> '2.3 Selskabsspecifikke input'!O355</f>
        <v>0</v>
      </c>
      <c r="AH38" s="1">
        <f xml:space="preserve"> '2.3 Selskabsspecifikke input'!P355</f>
        <v>0</v>
      </c>
      <c r="AI38" s="1">
        <f xml:space="preserve"> '2.3 Selskabsspecifikke input'!Q355</f>
        <v>0</v>
      </c>
      <c r="AJ38" s="1">
        <f xml:space="preserve"> '2.3 Selskabsspecifikke input'!R355</f>
        <v>0</v>
      </c>
      <c r="AK38" s="1">
        <f xml:space="preserve"> '2.3 Selskabsspecifikke input'!S355</f>
        <v>0</v>
      </c>
      <c r="AL38" s="1">
        <f xml:space="preserve"> '2.3 Selskabsspecifikke input'!T355</f>
        <v>0</v>
      </c>
      <c r="AM38" s="1">
        <f xml:space="preserve"> '2.3 Selskabsspecifikke input'!U355</f>
        <v>0</v>
      </c>
      <c r="AN38" s="1">
        <f xml:space="preserve"> '2.3 Selskabsspecifikke input'!V355</f>
        <v>0</v>
      </c>
    </row>
    <row r="39" spans="4:40" ht="15" customHeight="1">
      <c r="D39" s="99" t="s">
        <v>223</v>
      </c>
      <c r="E39" s="27"/>
      <c r="F39" s="27"/>
      <c r="G39" s="27"/>
      <c r="H39" s="27"/>
      <c r="I39" s="27"/>
      <c r="J39" s="27"/>
      <c r="K39" s="32" t="s">
        <v>218</v>
      </c>
      <c r="L39" s="99"/>
      <c r="M39" s="27"/>
      <c r="N39" s="27"/>
      <c r="O39" s="631">
        <f t="shared" si="2"/>
        <v>0</v>
      </c>
      <c r="P39" s="631">
        <f t="shared" si="2"/>
        <v>0</v>
      </c>
      <c r="Q39" s="631">
        <f t="shared" si="3"/>
        <v>0</v>
      </c>
      <c r="R39" s="631">
        <f t="shared" si="3"/>
        <v>0</v>
      </c>
      <c r="S39" s="631">
        <f t="shared" si="3"/>
        <v>0</v>
      </c>
      <c r="T39" s="631">
        <f t="shared" si="3"/>
        <v>0</v>
      </c>
      <c r="U39" s="631">
        <f t="shared" si="3"/>
        <v>0</v>
      </c>
      <c r="V39" s="631">
        <f xml:space="preserve"> IF( AND( AN39 = 0, AE39 &gt; 0 ), "na.", IF( AND( AN39 = 0, AE39 = 0 ), 0, ( AE39 - AN39 ) / AN39 ) )</f>
        <v>0</v>
      </c>
      <c r="X39" s="27">
        <f xml:space="preserve"> '1.2 Tarifoversigt'!O42</f>
        <v>0</v>
      </c>
      <c r="Y39" s="27">
        <f xml:space="preserve"> '1.2 Tarifoversigt'!P42</f>
        <v>0</v>
      </c>
      <c r="Z39" s="27">
        <f xml:space="preserve"> '1.2 Tarifoversigt'!Q42</f>
        <v>0</v>
      </c>
      <c r="AA39" s="27">
        <f xml:space="preserve"> '1.2 Tarifoversigt'!R42</f>
        <v>0</v>
      </c>
      <c r="AB39" s="27">
        <f xml:space="preserve"> '1.2 Tarifoversigt'!S42</f>
        <v>0</v>
      </c>
      <c r="AC39" s="27">
        <f xml:space="preserve"> '1.2 Tarifoversigt'!T42</f>
        <v>0</v>
      </c>
      <c r="AD39" s="27">
        <f xml:space="preserve"> '1.2 Tarifoversigt'!U42</f>
        <v>0</v>
      </c>
      <c r="AE39" s="27">
        <f xml:space="preserve"> '1.2 Tarifoversigt'!V42</f>
        <v>0</v>
      </c>
      <c r="AG39" s="27">
        <f xml:space="preserve"> '2.3 Selskabsspecifikke input'!O356</f>
        <v>0</v>
      </c>
      <c r="AH39" s="27">
        <f xml:space="preserve"> '2.3 Selskabsspecifikke input'!P356</f>
        <v>0</v>
      </c>
      <c r="AI39" s="27">
        <f xml:space="preserve"> '2.3 Selskabsspecifikke input'!Q356</f>
        <v>0</v>
      </c>
      <c r="AJ39" s="27">
        <f xml:space="preserve"> '2.3 Selskabsspecifikke input'!R356</f>
        <v>0</v>
      </c>
      <c r="AK39" s="27">
        <f xml:space="preserve"> '2.3 Selskabsspecifikke input'!S356</f>
        <v>0</v>
      </c>
      <c r="AL39" s="27">
        <f xml:space="preserve"> '2.3 Selskabsspecifikke input'!T356</f>
        <v>0</v>
      </c>
      <c r="AM39" s="27">
        <f xml:space="preserve"> '2.3 Selskabsspecifikke input'!U356</f>
        <v>0</v>
      </c>
      <c r="AN39" s="27">
        <f xml:space="preserve"> '2.3 Selskabsspecifikke input'!V356</f>
        <v>0</v>
      </c>
    </row>
    <row r="40" spans="4:40" s="85" customFormat="1" ht="15" customHeight="1">
      <c r="D40" s="653" t="s">
        <v>684</v>
      </c>
    </row>
    <row r="45" spans="4:40" ht="15" customHeight="1">
      <c r="AA45" s="205"/>
      <c r="AB45" s="205"/>
      <c r="AC45" s="205"/>
      <c r="AD45" s="205"/>
      <c r="AE45" s="205"/>
      <c r="AF45" s="205"/>
      <c r="AG45" s="205"/>
      <c r="AH45" s="205"/>
      <c r="AI45" s="205"/>
      <c r="AJ45" s="205"/>
      <c r="AK45" s="205"/>
      <c r="AL45" s="205"/>
      <c r="AM45" s="205"/>
      <c r="AN45" s="205"/>
    </row>
    <row r="103" spans="2:11" s="475" customFormat="1" ht="15" customHeight="1">
      <c r="B103" s="479" t="s">
        <v>104</v>
      </c>
      <c r="C103" s="477"/>
      <c r="D103" s="478"/>
      <c r="K103" s="472"/>
    </row>
  </sheetData>
  <sheetProtection sheet="1" objects="1" scenarios="1"/>
  <mergeCells count="3">
    <mergeCell ref="O12:V12"/>
    <mergeCell ref="X12:AE12"/>
    <mergeCell ref="AG12:AN12"/>
  </mergeCells>
  <conditionalFormatting sqref="I7">
    <cfRule type="cellIs" dxfId="797" priority="59" operator="between">
      <formula>-ErrorTolerance</formula>
      <formula>ErrorTolerance</formula>
    </cfRule>
  </conditionalFormatting>
  <conditionalFormatting sqref="B3">
    <cfRule type="expression" dxfId="796" priority="124">
      <formula>$I$5&gt;=ErrorTolerance</formula>
    </cfRule>
  </conditionalFormatting>
  <conditionalFormatting sqref="O25:Q25 R37:V38 R22:V25">
    <cfRule type="cellIs" dxfId="795" priority="55" operator="greaterThanOrEqual">
      <formula>0.1</formula>
    </cfRule>
  </conditionalFormatting>
  <conditionalFormatting sqref="R39:V40">
    <cfRule type="cellIs" dxfId="794" priority="45" operator="greaterThanOrEqual">
      <formula>0.1</formula>
    </cfRule>
  </conditionalFormatting>
  <conditionalFormatting sqref="R33:V33">
    <cfRule type="cellIs" dxfId="793" priority="53" operator="greaterThanOrEqual">
      <formula>0.1</formula>
    </cfRule>
  </conditionalFormatting>
  <conditionalFormatting sqref="R36:V36">
    <cfRule type="cellIs" dxfId="792" priority="52" operator="greaterThanOrEqual">
      <formula>0.1</formula>
    </cfRule>
  </conditionalFormatting>
  <conditionalFormatting sqref="R30:V30">
    <cfRule type="cellIs" dxfId="791" priority="50" operator="greaterThanOrEqual">
      <formula>0.1</formula>
    </cfRule>
  </conditionalFormatting>
  <conditionalFormatting sqref="R17:V19">
    <cfRule type="cellIs" dxfId="790" priority="44" operator="greaterThanOrEqual">
      <formula>0.1</formula>
    </cfRule>
  </conditionalFormatting>
  <conditionalFormatting sqref="L17:L19 L37:L38">
    <cfRule type="cellIs" dxfId="789" priority="43" operator="greaterThan">
      <formula>0</formula>
    </cfRule>
  </conditionalFormatting>
  <conditionalFormatting sqref="L22:L25">
    <cfRule type="cellIs" dxfId="788" priority="42" operator="greaterThan">
      <formula>0</formula>
    </cfRule>
  </conditionalFormatting>
  <conditionalFormatting sqref="L33">
    <cfRule type="cellIs" dxfId="787" priority="41" operator="greaterThan">
      <formula>0</formula>
    </cfRule>
  </conditionalFormatting>
  <conditionalFormatting sqref="L36">
    <cfRule type="cellIs" dxfId="786" priority="40" operator="greaterThan">
      <formula>0</formula>
    </cfRule>
  </conditionalFormatting>
  <conditionalFormatting sqref="L30">
    <cfRule type="cellIs" dxfId="785" priority="38" operator="greaterThan">
      <formula>0</formula>
    </cfRule>
  </conditionalFormatting>
  <conditionalFormatting sqref="L39:L40">
    <cfRule type="cellIs" dxfId="784" priority="36" operator="greaterThan">
      <formula>0</formula>
    </cfRule>
  </conditionalFormatting>
  <conditionalFormatting sqref="J2:Q3 B2:E3">
    <cfRule type="expression" dxfId="783" priority="208">
      <formula>$I$7&lt;ErrorTolerance</formula>
    </cfRule>
  </conditionalFormatting>
  <conditionalFormatting sqref="I6">
    <cfRule type="cellIs" dxfId="782" priority="35" operator="between">
      <formula>-ErrorTolerance</formula>
      <formula>ErrorTolerance</formula>
    </cfRule>
  </conditionalFormatting>
  <conditionalFormatting sqref="I4">
    <cfRule type="cellIs" dxfId="781" priority="34" operator="between">
      <formula>-ErrorTolerance</formula>
      <formula>ErrorTolerance</formula>
    </cfRule>
  </conditionalFormatting>
  <conditionalFormatting sqref="H2">
    <cfRule type="expression" dxfId="780" priority="22">
      <formula>Model.Navigation.View=No</formula>
    </cfRule>
  </conditionalFormatting>
  <conditionalFormatting sqref="H2">
    <cfRule type="expression" dxfId="779" priority="21">
      <formula>Model.Navigation.View=No</formula>
    </cfRule>
  </conditionalFormatting>
  <conditionalFormatting sqref="AJ22:AN24">
    <cfRule type="expression" dxfId="778" priority="17">
      <formula>AJ22 = AJ17</formula>
    </cfRule>
  </conditionalFormatting>
  <conditionalFormatting sqref="F2">
    <cfRule type="expression" dxfId="777" priority="16">
      <formula>Model.Navigation.View=No</formula>
    </cfRule>
  </conditionalFormatting>
  <conditionalFormatting sqref="F2">
    <cfRule type="expression" dxfId="776" priority="15">
      <formula>Model.Navigation.View=No</formula>
    </cfRule>
  </conditionalFormatting>
  <conditionalFormatting sqref="I2">
    <cfRule type="expression" dxfId="775" priority="14">
      <formula>Model.Navigation.View=No</formula>
    </cfRule>
  </conditionalFormatting>
  <conditionalFormatting sqref="I2">
    <cfRule type="expression" dxfId="774" priority="13">
      <formula>Model.Navigation.View=No</formula>
    </cfRule>
  </conditionalFormatting>
  <conditionalFormatting sqref="I5">
    <cfRule type="cellIs" dxfId="773" priority="12" operator="between">
      <formula>-ErrorTolerance</formula>
      <formula>ErrorTolerance</formula>
    </cfRule>
  </conditionalFormatting>
  <conditionalFormatting sqref="G2">
    <cfRule type="expression" dxfId="772" priority="11">
      <formula>Model.Navigation.View=No</formula>
    </cfRule>
  </conditionalFormatting>
  <conditionalFormatting sqref="G2">
    <cfRule type="expression" dxfId="771" priority="10">
      <formula>Model.Navigation.View=No</formula>
    </cfRule>
  </conditionalFormatting>
  <conditionalFormatting sqref="O37:Q38">
    <cfRule type="cellIs" dxfId="770" priority="7" operator="greaterThanOrEqual">
      <formula>0.1</formula>
    </cfRule>
  </conditionalFormatting>
  <conditionalFormatting sqref="O39:Q40">
    <cfRule type="cellIs" dxfId="769" priority="5" operator="greaterThanOrEqual">
      <formula>0.1</formula>
    </cfRule>
  </conditionalFormatting>
  <conditionalFormatting sqref="O36:Q36">
    <cfRule type="cellIs" dxfId="768" priority="6" operator="greaterThanOrEqual">
      <formula>0.1</formula>
    </cfRule>
  </conditionalFormatting>
  <conditionalFormatting sqref="R27:V27">
    <cfRule type="cellIs" dxfId="767" priority="4" operator="greaterThanOrEqual">
      <formula>0.1</formula>
    </cfRule>
  </conditionalFormatting>
  <conditionalFormatting sqref="L27">
    <cfRule type="cellIs" dxfId="766" priority="3" operator="greaterThan">
      <formula>0</formula>
    </cfRule>
  </conditionalFormatting>
  <conditionalFormatting sqref="O27:P27">
    <cfRule type="cellIs" dxfId="765" priority="2" operator="greaterThanOrEqual">
      <formula>0.1</formula>
    </cfRule>
  </conditionalFormatting>
  <conditionalFormatting sqref="O17:V40">
    <cfRule type="containsText" dxfId="764" priority="1" operator="containsText" text="na.">
      <formula>NOT(ISERROR(SEARCH("na.",O17)))</formula>
    </cfRule>
  </conditionalFormatting>
  <hyperlinks>
    <hyperlink ref="G2" location="'1.3 Varslingsanalyse'!B13" tooltip="Gå til toppen af arket" display="'1.3 Varslingsanalyse'!B13" xr:uid="{CAF29B30-9354-4924-BB2B-A9C24C8D6ADD}"/>
    <hyperlink ref="H2" location="'2.3 Selskabsspecifikke input'!B2" tooltip="Gå til selskabsspecifikke input" display="'2.3 Selskabsspecifikke input'!B2" xr:uid="{3E57E420-1BC2-4712-B7A8-242A1B32657C}"/>
    <hyperlink ref="F2" location="Modeloverblik!B2" tooltip="Gå til modelbeskrivelse" display="Modeloverblik!B2" xr:uid="{8E482C37-5E0B-4836-8FF3-C456DA1A6AC2}"/>
    <hyperlink ref="I2" location="'4.1 Fejl- og kontroloversigt'!B2" tooltip="Gå til fejl- og kontrolchecks" display="'4.1 Fejl- og kontroloversigt'!B2" xr:uid="{0FED358C-2900-43ED-B290-080BB94F5A13}"/>
  </hyperlinks>
  <pageMargins left="0.70866141732283472" right="0.70866141732283472" top="0.74803149606299213" bottom="0.74803149606299213" header="0.31496062992125984" footer="0.31496062992125984"/>
  <pageSetup paperSize="9" scale="45" fitToHeight="0" pageOrder="overThenDown" orientation="landscape" r:id="rId1"/>
  <headerFooter scaleWithDoc="0">
    <oddHeader>&amp;L&amp;"Arial,Bold"&amp;8Green Power Denmark | Regnearksmodel - Tarifmodel 3.0 og producentbetaling</oddHeader>
    <oddFooter>&amp;LArk: &amp;A&amp;RSide &amp;P af &amp;N</oddFooter>
  </headerFooter>
  <colBreaks count="2" manualBreakCount="2">
    <brk id="23" max="39" man="1"/>
    <brk id="32" max="39"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A I e 0 V D Y z F O W k A A A A 9 Q A A A B I A H A B D b 2 5 m a W c v U G F j a 2 F n Z S 5 4 b W w g o h g A K K A U A A A A A A A A A A A A A A A A A A A A A A A A A A A A h Y 8 x D o I w G I W v Q r r T l h o T J D 9 l 0 E 1 J T E y M a 1 M q N E I x t F j u 5 u C R v I I Y R d 0 c 3 / e + 4 b 3 7 9 Q b Z 0 N T B R X V W t y Z F E a Y o U E a 2 h T Z l i n p 3 D G O U c d g K e R K l C k b Z 2 G S w R Y o q 5 8 4 J I d 5 7 7 G e 4 7 U r C K I 3 I I d / s Z K U a g T 6 y / i + H 2 l g n j F S I w / 4 1 h j O 8 o H g e M 0 y B T A x y b b 4 9 G + c + 2 x 8 I y 7 5 2 f a d 4 I c L V G s g U g b w v 8 A d Q S w M E F A A C A A g A A I e 0 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C H t F Q o i k e 4 D g A A A B E A A A A T A B w A R m 9 y b X V s Y X M v U 2 V j d G l v b j E u b S C i G A A o o B Q A A A A A A A A A A A A A A A A A A A A A A A A A A A A r T k 0 u y c z P U w i G 0 I b W A F B L A Q I t A B Q A A g A I A A C H t F Q 2 M x T l p A A A A P U A A A A S A A A A A A A A A A A A A A A A A A A A A A B D b 2 5 m a W c v U G F j a 2 F n Z S 5 4 b W x Q S w E C L Q A U A A I A C A A A h 7 R U D 8 r p q 6 Q A A A D p A A A A E w A A A A A A A A A A A A A A A A D w A A A A W 0 N v b n R l b n R f V H l w Z X N d L n h t b F B L A Q I t A B Q A A g A I A A C H t F 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o 2 G k E l k f c T Y x X + Y / D w W g G A A A A A A I A A A A A A A N m A A D A A A A A E A A A A A U Y b v V + S q U L + 2 q N J Y n 8 B N E A A A A A B I A A A K A A A A A Q A A A A O T d B m 9 Y L c S D i b x 4 u 7 A u K 8 1 A A A A B 3 O V i v b / q x Z K C o L 8 m Z h G r t R P 8 r Y i / z P V c + t m 0 2 g t Z 6 x 5 K e c L 2 D o Z / 1 t t e v f L y O H Q y H o r 0 b C e p 3 d w 4 + S B z 7 J l 6 P T J 9 8 H + 0 o 8 D 6 2 Y 1 3 p P 8 5 3 v x Q A A A A 7 b / Y + c z 7 x J Z z A 2 S e T l 5 o I + a u w J g = = < / D a t a M a s h u p > 
</file>

<file path=customXml/itemProps1.xml><?xml version="1.0" encoding="utf-8"?>
<ds:datastoreItem xmlns:ds="http://schemas.openxmlformats.org/officeDocument/2006/customXml" ds:itemID="{899981F9-10C8-42E1-8FA4-22D42809542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26</vt:i4>
      </vt:variant>
      <vt:variant>
        <vt:lpstr>Navngivne områder</vt:lpstr>
      </vt:variant>
      <vt:variant>
        <vt:i4>40</vt:i4>
      </vt:variant>
    </vt:vector>
  </HeadingPairs>
  <TitlesOfParts>
    <vt:vector size="66" baseType="lpstr">
      <vt:lpstr>Forside</vt:lpstr>
      <vt:lpstr>Modeloverblik</vt:lpstr>
      <vt:lpstr>Disclaimer</vt:lpstr>
      <vt:lpstr>Opdateringslog, netselskab</vt:lpstr>
      <vt:lpstr>Opdateringslog, Green Power Den</vt:lpstr>
      <vt:lpstr>1. Output --&gt;</vt:lpstr>
      <vt:lpstr>1.1 Provenu</vt:lpstr>
      <vt:lpstr>1.2 Tarifoversigt</vt:lpstr>
      <vt:lpstr>1.3 Varslingsanalyse</vt:lpstr>
      <vt:lpstr>1.4 Hoveddata</vt:lpstr>
      <vt:lpstr>1.5 Indfødningstarif</vt:lpstr>
      <vt:lpstr>2. Input --&gt;</vt:lpstr>
      <vt:lpstr>2.1 Model setup</vt:lpstr>
      <vt:lpstr>2.2 Generelle input</vt:lpstr>
      <vt:lpstr>2.3 Selskabsspecifikke input</vt:lpstr>
      <vt:lpstr>3. Beregninger --&gt;</vt:lpstr>
      <vt:lpstr>3.1 Opsplitning af forbrug</vt:lpstr>
      <vt:lpstr>3.2 Abonnement</vt:lpstr>
      <vt:lpstr>3.3 Forbrugstariffer og effekt</vt:lpstr>
      <vt:lpstr>3.4 Tidsdifferentieret tarif</vt:lpstr>
      <vt:lpstr>3.5 Indfødningstarif</vt:lpstr>
      <vt:lpstr>4. Fejl- og kontrolark --&gt;</vt:lpstr>
      <vt:lpstr>4.1 Fejl- og kontroloversigt</vt:lpstr>
      <vt:lpstr>Hjælpeark --&gt;</vt:lpstr>
      <vt:lpstr>Hjælpeark, forbrugsnøgler</vt:lpstr>
      <vt:lpstr>Hjælpeark, fall-back-metoden</vt:lpstr>
      <vt:lpstr>DKKtiløre</vt:lpstr>
      <vt:lpstr>Header.A</vt:lpstr>
      <vt:lpstr>Header.Details</vt:lpstr>
      <vt:lpstr>Header.Labels</vt:lpstr>
      <vt:lpstr>List.Fordelingsnøgle</vt:lpstr>
      <vt:lpstr>List.HøjLav</vt:lpstr>
      <vt:lpstr>List.Last</vt:lpstr>
      <vt:lpstr>List.tarifeffekt</vt:lpstr>
      <vt:lpstr>List.YesNo</vt:lpstr>
      <vt:lpstr>Model.Units</vt:lpstr>
      <vt:lpstr>Model.Units2</vt:lpstr>
      <vt:lpstr>No</vt:lpstr>
      <vt:lpstr>tDKKtilDKK</vt:lpstr>
      <vt:lpstr>tDKKtiløre</vt:lpstr>
      <vt:lpstr>'1.1 Provenu'!Udskriftsområde</vt:lpstr>
      <vt:lpstr>'1.2 Tarifoversigt'!Udskriftsområde</vt:lpstr>
      <vt:lpstr>'1.3 Varslingsanalyse'!Udskriftsområde</vt:lpstr>
      <vt:lpstr>'1.4 Hoveddata'!Udskriftsområde</vt:lpstr>
      <vt:lpstr>'1.5 Indfødningstarif'!Udskriftsområde</vt:lpstr>
      <vt:lpstr>'2.1 Model setup'!Udskriftsområde</vt:lpstr>
      <vt:lpstr>Disclaimer!Udskriftsområde</vt:lpstr>
      <vt:lpstr>Modeloverblik!Udskriftsområde</vt:lpstr>
      <vt:lpstr>'Opdateringslog, Green Power Den'!Udskriftsområde</vt:lpstr>
      <vt:lpstr>'Opdateringslog, netselskab'!Udskriftsområde</vt:lpstr>
      <vt:lpstr>'1.1 Provenu'!Udskriftstitler</vt:lpstr>
      <vt:lpstr>'1.2 Tarifoversigt'!Udskriftstitler</vt:lpstr>
      <vt:lpstr>'1.3 Varslingsanalyse'!Udskriftstitler</vt:lpstr>
      <vt:lpstr>'1.4 Hoveddata'!Udskriftstitler</vt:lpstr>
      <vt:lpstr>'1.5 Indfødningstarif'!Udskriftstitler</vt:lpstr>
      <vt:lpstr>'2.1 Model setup'!Udskriftstitler</vt:lpstr>
      <vt:lpstr>'2.2 Generelle input'!Udskriftstitler</vt:lpstr>
      <vt:lpstr>'2.3 Selskabsspecifikke input'!Udskriftstitler</vt:lpstr>
      <vt:lpstr>'3.1 Opsplitning af forbrug'!Udskriftstitler</vt:lpstr>
      <vt:lpstr>'3.2 Abonnement'!Udskriftstitler</vt:lpstr>
      <vt:lpstr>'3.3 Forbrugstariffer og effekt'!Udskriftstitler</vt:lpstr>
      <vt:lpstr>'3.4 Tidsdifferentieret tarif'!Udskriftstitler</vt:lpstr>
      <vt:lpstr>'3.5 Indfødningstarif'!Udskriftstitler</vt:lpstr>
      <vt:lpstr>'4.1 Fejl- og kontroloversigt'!Udskriftstitler</vt:lpstr>
      <vt:lpstr>'Hjælpeark, fall-back-metoden'!Udskriftstitler</vt:lpstr>
      <vt:lpstr>'Hjælpeark, forbrugsnøgler'!Udskriftstitler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DKMJY</dc:creator>
  <cp:lastModifiedBy>Jonas Philip Christensen</cp:lastModifiedBy>
  <cp:lastPrinted>2022-12-05T14:44:56Z</cp:lastPrinted>
  <dcterms:created xsi:type="dcterms:W3CDTF">2020-01-29T07:45:11Z</dcterms:created>
  <dcterms:modified xsi:type="dcterms:W3CDTF">2023-01-04T12:37:46Z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wC Document Node Id">
    <vt:lpwstr>22849254</vt:lpwstr>
  </property>
  <property fmtid="{D5CDD505-2E9C-101B-9397-08002B2CF9AE}" pid="3" name="PwC Version Number">
    <vt:lpwstr>31</vt:lpwstr>
  </property>
</Properties>
</file>